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2083"/>
  <sheetViews>
    <sheetView workbookViewId="0">
      <selection activeCell="A1" sqref="A1"/>
    </sheetView>
  </sheetViews>
  <sheetFormatPr baseColWidth="8" defaultRowHeight="15"/>
  <sheetData>
    <row r="1">
      <c r="A1" s="1" t="inlineStr">
        <is>
          <t>ID</t>
        </is>
      </c>
      <c r="B1" s="1" t="inlineStr">
        <is>
          <t>Title</t>
        </is>
      </c>
      <c r="C1" s="1" t="inlineStr">
        <is>
          <t>Body</t>
        </is>
      </c>
      <c r="D1" s="1" t="inlineStr">
        <is>
          <t>Score</t>
        </is>
      </c>
      <c r="E1" s="1" t="inlineStr">
        <is>
          <t>Comments</t>
        </is>
      </c>
      <c r="F1" s="1" t="inlineStr">
        <is>
          <t>Link</t>
        </is>
      </c>
      <c r="G1" s="1" t="inlineStr">
        <is>
          <t>Date</t>
        </is>
      </c>
      <c r="H1" s="1" t="inlineStr">
        <is>
          <t>flair</t>
        </is>
      </c>
    </row>
    <row r="2">
      <c r="A2" t="inlineStr">
        <is>
          <t>ak7eee</t>
        </is>
      </c>
      <c r="B2" t="inlineStr">
        <is>
          <t>Sticky: So You Have an Eye Problem</t>
        </is>
      </c>
      <c r="C2" t="inlineStr">
        <is>
          <t>This subreddit was created by ophthalmologists and optometrists due to a flood of patient questions in other related subreddits about their own ocular health. Ideally, we will have professional eye care providers volunteering their time freely to **assist** those with the most concerning-sounding symptoms or histories. However...
**Online advice will never replace an in-person medical exam, ESPECIALLY for ocular concerns**. Symptom description is often too vague and physical exam findings are extraordinarily specific, and too microscopic for you to see or even usually for you to take a good picture of yourself. Also, our advice **is not and can not be construed as true medical advice, given that there is no physical exam or real way for us to follow up/through on your problem. This subreddit's purpose is NOT to provide direction, advisement or recommendations for your problems**. In a legal sense, that is impossible. But there is a high demand for help, and we will do what we can.
At the current time, we will still welcome layman questions about general eye topics in other subreddits such as r/ophthalmology.  However, if your question is in regards to your own eye problem, it will be redirected here.
Please understand that given the high legal liability of telling someone "Eh, you're probably fine, don't worry about it," that even the most innocuous-sounding complaint may not receive a satisfactory answer.
&amp;amp;#x200B;
**Physicians and optometrists:** we welcome and are grateful for the volunteering of your time here. Back in r/ophthalmology, if you would like to be recognized for your volunteer efforts in r/eyetriage, please send me a PM and we will first check to verify your volunteer activity on this subreddit, then discuss it from there.
&amp;amp;#x200B;
Best,
arcades</t>
        </is>
      </c>
      <c r="D2" t="n">
        <v>1</v>
      </c>
      <c r="E2" t="n">
        <v>0</v>
      </c>
      <c r="F2">
        <f>HYPERLINK("https://www.reddit.com/r/eyetriage/comments/ak7eee/sticky_so_you_have_an_eye_problem/")</f>
        <v/>
      </c>
      <c r="G2" t="inlineStr">
        <is>
          <t>2019-01-26 17:20:45</t>
        </is>
      </c>
      <c r="H2" t="inlineStr"/>
    </row>
    <row r="3">
      <c r="A3" t="inlineStr">
        <is>
          <t>ak8xy6</t>
        </is>
      </c>
      <c r="B3" t="inlineStr">
        <is>
          <t>Raising my eyelid/eyebrow with my finger causes the opposite eyelid to close involuntarily.</t>
        </is>
      </c>
      <c r="C3" t="inlineStr">
        <is>
          <t>The higher I lift my upper eyelid/eyebrow, the more the opposite eyelid closes. Even if I try to "fight" this and lift my eyelid as it's closing, I am not able to. This effect happens with both eyes. I have mild ptosis of my right eyelid which developed around 18 months ago too. I am in my mid 20s.
I tested my mother, and her eyelid didn't close... Should I be concerned? Does this particular phenomenon have a name?</t>
        </is>
      </c>
      <c r="D3" t="n">
        <v>1</v>
      </c>
      <c r="E3" t="n">
        <v>6</v>
      </c>
      <c r="F3">
        <f>HYPERLINK("https://www.reddit.com/r/eyetriage/comments/ak8xy6/raising_my_eyelideyebrow_with_my_finger_causes/")</f>
        <v/>
      </c>
      <c r="G3" t="inlineStr">
        <is>
          <t>2019-01-26 20:39:33</t>
        </is>
      </c>
      <c r="H3" t="inlineStr"/>
    </row>
    <row r="4">
      <c r="A4" t="inlineStr">
        <is>
          <t>akawcq</t>
        </is>
      </c>
      <c r="B4" t="inlineStr">
        <is>
          <t>Double vision - is there anything I can do?</t>
        </is>
      </c>
      <c r="C4" t="inlineStr">
        <is>
          <t>I'm 16 and first noticed horizontal binocular double vision 5 months ago. I don't think it'd be safe for me to drive and I spend most of the day with one eye closed so that I can read the board at school.
Yesterday an optometrist confirmed that I have double vision, but otherwise perfect eyesight. She wanted to find a cause before prescribing prism so I've been referred to an ophthalmologist, but the waiting time will most likely be around 4-6 months. 
In the meantime, is there anything I can do to alleviate the double vision? Covering one eye gets rid of it, so am I able to at least wear an eye patch? Or should I just ask for prism lenses? I'd appreciate any advice, as it's becoming increasingly frustrating. 
Thank you :)
&amp;amp;#x200B;
&amp;amp;#x200B;</t>
        </is>
      </c>
      <c r="D4" t="n">
        <v>1</v>
      </c>
      <c r="E4" t="n">
        <v>14</v>
      </c>
      <c r="F4">
        <f>HYPERLINK("https://www.reddit.com/r/eyetriage/comments/akawcq/double_vision_is_there_anything_i_can_do/")</f>
        <v/>
      </c>
      <c r="G4" t="inlineStr">
        <is>
          <t>2019-01-27 02:15:11</t>
        </is>
      </c>
      <c r="H4" t="inlineStr"/>
    </row>
    <row r="5">
      <c r="A5" t="inlineStr">
        <is>
          <t>akc71t</t>
        </is>
      </c>
      <c r="B5" t="inlineStr">
        <is>
          <t>Brown vision after ICL- could my iris have been nicked?</t>
        </is>
      </c>
      <c r="C5" t="inlineStr">
        <is>
          <t xml:space="preserve">I had ICL surgery on my right eye on 1/24. Woke up immediately to brown vision, like I’m wearing brown-tinted sunglasses.  Surgeon didn’t seem to know what could be causing it other than “swelling.”  
Has anyone heard of this as a side effect? Someone mentioned to me that he could’ve nicked my iris, which is dark brown, causing it to shed brown pigment.  Or, he could’ve bumped into my endothelium.  
Despite now having an uncorrected left eye at -8.50 and a right eye that seems to have increasingly good vision despite the brown haze, I do not want the left eye done until I figure this out.  It is so brown tinted that I can’t see through it at night or in low lighting situations.  </t>
        </is>
      </c>
      <c r="D5" t="n">
        <v>1</v>
      </c>
      <c r="E5" t="n">
        <v>1</v>
      </c>
      <c r="F5">
        <f>HYPERLINK("https://www.reddit.com/r/eyetriage/comments/akc71t/brown_vision_after_icl_could_my_iris_have_been/")</f>
        <v/>
      </c>
      <c r="G5" t="inlineStr">
        <is>
          <t>2019-01-27 05:55:55</t>
        </is>
      </c>
      <c r="H5" t="inlineStr"/>
    </row>
    <row r="6">
      <c r="A6" t="inlineStr">
        <is>
          <t>akgpqn</t>
        </is>
      </c>
      <c r="B6" t="inlineStr">
        <is>
          <t>Flonase and increased IOP</t>
        </is>
      </c>
      <c r="C6" t="inlineStr">
        <is>
          <t xml:space="preserve"> I went to the Optometrist last week because I felt like my pressures were up (Glaucoma suspect) and found that my pressures were up (35 right eye, 38 left eye) because I started taking Flonase in December. Usually, my pressures around 20-24 with Lumigan on any normal day. I didn't take my flonase that evening, and I went to a glaucoma specialist the next day, after starting dorzolamide eyedrops, and my pressures were 17 right, 12 left, the next day. The drops have lowered my pressures, but I was wondering how long it will take for my base pressures to normalize after the discontinuation of the Flonase. I took one spray in each nostril, each night, for around 5 weeks. </t>
        </is>
      </c>
      <c r="D6" t="n">
        <v>1</v>
      </c>
      <c r="E6" t="n">
        <v>3</v>
      </c>
      <c r="F6">
        <f>HYPERLINK("https://www.reddit.com/r/eyetriage/comments/akgpqn/flonase_and_increased_iop/")</f>
        <v/>
      </c>
      <c r="G6" t="inlineStr">
        <is>
          <t>2019-01-27 14:37:40</t>
        </is>
      </c>
      <c r="H6" t="inlineStr"/>
    </row>
    <row r="7">
      <c r="A7" t="inlineStr">
        <is>
          <t>akiniy</t>
        </is>
      </c>
      <c r="B7" t="inlineStr">
        <is>
          <t>Noticed a lot more veins in my eyes</t>
        </is>
      </c>
      <c r="C7" t="inlineStr">
        <is>
          <t>https://imgur.com/a/GDaWylv
The pictures in the link are my right eyes only but it’s the same in my left as well.
Is this something I should get checked out? It’s been like this for several months but currently I don’t feel any symptoms. My eyes do feel irritated at work though since I look at a computer screen all day. Dry eyes? Any help is appreciated.</t>
        </is>
      </c>
      <c r="D7" t="n">
        <v>1</v>
      </c>
      <c r="E7" t="n">
        <v>3</v>
      </c>
      <c r="F7">
        <f>HYPERLINK("https://www.reddit.com/r/eyetriage/comments/akiniy/noticed_a_lot_more_veins_in_my_eyes/")</f>
        <v/>
      </c>
      <c r="G7" t="inlineStr">
        <is>
          <t>2019-01-27 18:05:10</t>
        </is>
      </c>
      <c r="H7" t="inlineStr"/>
    </row>
    <row r="8">
      <c r="A8" t="inlineStr">
        <is>
          <t>akn7o2</t>
        </is>
      </c>
      <c r="B8" t="inlineStr">
        <is>
          <t>Discomfort in left eye that comes and goes</t>
        </is>
      </c>
      <c r="C8" t="inlineStr">
        <is>
          <t>Ever since I tried on contacts which was like 4 months ago, my left eye felt weird, like something was in there. A few days pass and it’s gone. Now it’s appeared again and it’s really distracting for me. When I use eye drops or put ice on my eyelid my eye feels better, but then it returns.  I tried washing my eye out with warm water and searching for the culprit, but nothing worked. What could this be? It’s been annoying me for the past 3 days now.</t>
        </is>
      </c>
      <c r="D8" t="n">
        <v>1</v>
      </c>
      <c r="E8" t="n">
        <v>4</v>
      </c>
      <c r="F8">
        <f>HYPERLINK("https://www.reddit.com/r/eyetriage/comments/akn7o2/discomfort_in_left_eye_that_comes_and_goes/")</f>
        <v/>
      </c>
      <c r="G8" t="inlineStr">
        <is>
          <t>2019-01-28 05:02:46</t>
        </is>
      </c>
      <c r="H8" t="inlineStr"/>
    </row>
    <row r="9">
      <c r="A9" t="inlineStr">
        <is>
          <t>akrp5l</t>
        </is>
      </c>
      <c r="B9" t="inlineStr">
        <is>
          <t>Bloodshot eyes with no other symptoms/discomfort</t>
        </is>
      </c>
      <c r="C9" t="inlineStr">
        <is>
          <t>Hi, for the past week and a half I've had bloodshot eyes with no other symptoms. No itching, no burning, no vision changes, doesn't feel dry, no pus. I don't even know my eyes are red until I look in the mirror.
They are extremely bloodshot in the morning and last an hour or two after waking up, then they somewhat clear up during the day and flare up again at night, however they are still visibly red all day, just to a lesser degree. They are particularly bad in the corners of my eye towards my nose. 
I am a contact lens wearer and have worn them every day for several months and I never sleep with them and I take good care of them and my eyes like I'm supposed to. I've worn glasses for a day and it didn't help, and I don't think it's the contacts anyway because it's the worst when I wake up and I haven't been wearing them for 8 hours obviously. I'm a nonsmoker and have no diseases/medication.
I tried Systane Ultra for the past 24 hours with no noticable improvement.
What could this be? I'm tired of looking like I've been crying all the time lol.</t>
        </is>
      </c>
      <c r="D9" t="n">
        <v>1</v>
      </c>
      <c r="E9" t="n">
        <v>1</v>
      </c>
      <c r="F9">
        <f>HYPERLINK("https://www.reddit.com/r/eyetriage/comments/akrp5l/bloodshot_eyes_with_no_other_symptomsdiscomfort/")</f>
        <v/>
      </c>
      <c r="G9" t="inlineStr">
        <is>
          <t>2019-01-28 12:33:35</t>
        </is>
      </c>
      <c r="H9" t="inlineStr"/>
    </row>
    <row r="10">
      <c r="A10" t="inlineStr">
        <is>
          <t>akska0</t>
        </is>
      </c>
      <c r="B10" t="inlineStr">
        <is>
          <t>retinal imaging looks like I've had laser surgery but I never have.</t>
        </is>
      </c>
      <c r="C10" t="inlineStr">
        <is>
          <t xml:space="preserve">After a basic eye exam for new glasses I was referred to an Ophthalmologist for what appeared to be nerve degeneration and poor peripheral vision. I went for my first visit where they dilated my eyes and had a look in them, that was about a month ago. Today i had some retinal imaging done. The tech said it looked like I had laser surgery before. I asked her why and she told me that she is seeing something that she normally sees in people who have had laser surgery. What could cause this, and should I be concerned?  Not sure if its relevant but I'm a 28 year old male and I have worn glasses almost my entire life. </t>
        </is>
      </c>
      <c r="D10" t="n">
        <v>1</v>
      </c>
      <c r="E10" t="n">
        <v>1</v>
      </c>
      <c r="F10">
        <f>HYPERLINK("https://www.reddit.com/r/eyetriage/comments/akska0/retinal_imaging_looks_like_ive_had_laser_surgery/")</f>
        <v/>
      </c>
      <c r="G10" t="inlineStr">
        <is>
          <t>2019-01-28 13:50:25</t>
        </is>
      </c>
      <c r="H10" t="inlineStr"/>
    </row>
    <row r="11">
      <c r="A11" t="inlineStr">
        <is>
          <t>akssl8</t>
        </is>
      </c>
      <c r="B11" t="inlineStr">
        <is>
          <t>Synoptophore</t>
        </is>
      </c>
      <c r="C11" t="inlineStr">
        <is>
          <t>How accurate is this machine? Has anyone achieved positive outcomes from the results  it? Thank you.</t>
        </is>
      </c>
      <c r="D11" t="n">
        <v>1</v>
      </c>
      <c r="E11" t="n">
        <v>5</v>
      </c>
      <c r="F11">
        <f>HYPERLINK("https://www.reddit.com/r/eyetriage/comments/akssl8/synoptophore/")</f>
        <v/>
      </c>
      <c r="G11" t="inlineStr">
        <is>
          <t>2019-01-28 14:11:27</t>
        </is>
      </c>
      <c r="H11" t="inlineStr"/>
    </row>
    <row r="12">
      <c r="A12" t="inlineStr">
        <is>
          <t>akvp5p</t>
        </is>
      </c>
      <c r="B12" t="inlineStr">
        <is>
          <t>blurred vision in one eye, no answers from doctors</t>
        </is>
      </c>
      <c r="C12" t="inlineStr">
        <is>
          <t xml:space="preserve">For about 6 months now my vision has been blurry in my left eye. It started when I got my first pair of new contacts, and brought it up during my follow up visit and was told the prescription is right. 
About 4 months later, I was in a car accident where I had flashes of light in the same eye that was blurry due to a concussion, so I had another appointment as well as a visit with a retinal specialist. Luckily, nothing was wrong with my sight but during these appointments I again brought up how my left eye is always blurry. 
In all, I’ve had my prescription checked 3 times in the past 6 months and each time they say it’s the same in both eyes (-5.25) and that it’s most likely due to dryness or it’s the contact so I should switch the brand at my yearly appointment (which would be in July). Normally I would agree, but eye drops don’t make it better even temporarily and if I switch my contacts I still have blurred vision in the left eye. 
At this point I’m not sure what to do, because I’m only able to see the eye doctor 2 times in a year for free, and the retinal specialist was on a lien due to the insurance so I can’t afford any eye appointments but the eye strain is constantly giving me headaches and my only glasses are 5 years old so they’re the wrong prescription (and my left eye is still blurrier in them too). 
What could be the cause of the blurred vision??? Thanks!! (-: </t>
        </is>
      </c>
      <c r="D12" t="n">
        <v>1</v>
      </c>
      <c r="E12" t="n">
        <v>18</v>
      </c>
      <c r="F12">
        <f>HYPERLINK("https://www.reddit.com/r/eyetriage/comments/akvp5p/blurred_vision_in_one_eye_no_answers_from_doctors/")</f>
        <v/>
      </c>
      <c r="G12" t="inlineStr">
        <is>
          <t>2019-01-28 19:11:10</t>
        </is>
      </c>
      <c r="H12" t="inlineStr"/>
    </row>
    <row r="13">
      <c r="A13" t="inlineStr">
        <is>
          <t>akye1t</t>
        </is>
      </c>
      <c r="B13" t="inlineStr">
        <is>
          <t>Very small grey spot that comesand goes</t>
        </is>
      </c>
      <c r="C13" t="inlineStr">
        <is>
          <t>Hello I don't know if I should go and see my retina specialist, but I have a weird very small grey spot that moves in any direction for 10 to 30 seconds then fade away and disappear, it can come back totally randomly. At first I thought it was the residue I had from my 2 retina surgeries back in summer, that is also the same shape and color but sometimes get bigger and with a lighter grey and also goes away. But it's the second time I put a glaucoma drop in my right eye and close it, while keeping the left eye open, and saw the small grey spot moving then disappearing! I have a pvd since September in the left eye, and my retina specialist checked me at the beginning of this month saying there is no tear or blood though he can't know if the pvd is totally finished or not. I know what is a floater, I have some due to pvd and this weird spot is not a floater or else it won't go away, but what could it be?</t>
        </is>
      </c>
      <c r="D13" t="n">
        <v>1</v>
      </c>
      <c r="E13" t="n">
        <v>8</v>
      </c>
      <c r="F13">
        <f>HYPERLINK("https://www.reddit.com/r/eyetriage/comments/akye1t/very_small_grey_spot_that_comesand_goes/")</f>
        <v/>
      </c>
      <c r="G13" t="inlineStr">
        <is>
          <t>2019-01-29 01:29:19</t>
        </is>
      </c>
      <c r="H13" t="inlineStr"/>
    </row>
    <row r="14">
      <c r="A14" t="inlineStr">
        <is>
          <t>al42zj</t>
        </is>
      </c>
      <c r="B14" t="inlineStr">
        <is>
          <t>thoughts on after-eye-surgery vision</t>
        </is>
      </c>
      <c r="C14" t="inlineStr">
        <is>
          <t>I'm just wondering what other's think of this....
What I see now:
Can read books, smart phone, read instructions, etc all without glasses and all without needing to adjust arm length.
Can walk around, jog without glasses
Need glasses to drive, bike, hike, kayak, and watch TV
My activity level is pretty high, but I don't mind wearing glasses.
I love to bike, kayak, and hike. So to me, clear vision and depth perception are very important. I don't mind wearing glasses to achieve this.
However, after the surgery, I would still like to be able to read, look at my phone, etc without needing reading glasses.
I'm just wondering what other's think of what my Dr. said.
Here are the notes from the Doctor:
LEFT eye first
Lens options discussed with the patient, elects for monofocal lens, now wants to aim for near vision (-2.75 to -3 dpt) Wants a clear lens not yellow Patient is also interested in discussing possibility of mini-monovision Patient is also interested in astigmatism correction during cataract surgery
Patient understands that he will not see at distance without glasses but going forward, if the right eye needs cataract surgery as well, it can be offset by OS -2.25 dpt to -2.5 dpt OD emmetropia or intermediate
Thanks!</t>
        </is>
      </c>
      <c r="D14" t="n">
        <v>1</v>
      </c>
      <c r="E14" t="n">
        <v>2</v>
      </c>
      <c r="F14">
        <f>HYPERLINK("https://www.reddit.com/r/eyetriage/comments/al42zj/thoughts_on_aftereyesurgery_vision/")</f>
        <v/>
      </c>
      <c r="G14" t="inlineStr">
        <is>
          <t>2019-01-29 12:06:22</t>
        </is>
      </c>
      <c r="H14" t="inlineStr"/>
    </row>
    <row r="15">
      <c r="A15" t="inlineStr">
        <is>
          <t>al7oke</t>
        </is>
      </c>
      <c r="B15" t="inlineStr">
        <is>
          <t>Blind spot(?) fusing objects together.</t>
        </is>
      </c>
      <c r="C15" t="inlineStr">
        <is>
          <t>When I was about 15, about 10 or so years ago, I had two separate instances - spread out about 6 months apart - where I lost partial sight for a couple hours. When I would look at someone’s face, it wasn’t there. Instead, the area directly above where their head should be was fused to their shoulders. So basically, anyone I was looking directly at appeared headless.
There was no dark area in my vision and no headache associated with it, just areas fused together. Maybe just mild sensitivity to light, but no other symptoms other than what I described. I only went to the nurse’s office and closed my eyes during these instances, and never saw an ophthalmologist, as this only lasted a short duration.
I’ve always wondered what could have caused this. I’ve never talked to anyone else that’s experienced it and it only happened twice, briefly. I’ve googled the symptoms before but haven’t really come across anything that sounded exactly right. Not sure if it’s worth mentioning, but I wear glasses for astigmatism, though did not at the time.
This is my first reddit post so please forgive me if I’m misusing this somehow.</t>
        </is>
      </c>
      <c r="D15" t="n">
        <v>1</v>
      </c>
      <c r="E15" t="n">
        <v>4</v>
      </c>
      <c r="F15">
        <f>HYPERLINK("https://www.reddit.com/r/eyetriage/comments/al7oke/blind_spot_fusing_objects_together/")</f>
        <v/>
      </c>
      <c r="G15" t="inlineStr">
        <is>
          <t>2019-01-29 18:00:54</t>
        </is>
      </c>
      <c r="H15" t="inlineStr"/>
    </row>
    <row r="16">
      <c r="A16" t="inlineStr">
        <is>
          <t>alfb6p</t>
        </is>
      </c>
      <c r="B16" t="inlineStr">
        <is>
          <t>Temporary blurred vision, went away in 10 minutes. Worried.</t>
        </is>
      </c>
      <c r="C16" t="inlineStr">
        <is>
          <t>Hi, I'm 18 years old and a HUGE hypochondriac. I worry about every single health changes that happen within my body. I recently had an appointment with an ENT about a ear problem.
Now I'm worrying about the slight blurry vision I had around 3-4 months ago. I was playing a game on my computer when suddenly it seemed like I couldn't focus and read anything. It's very hard to describe but the "Migraine Aura" description is really really close to what I was experiencing. I went into slight panic and stood up and got myself something to drink and stopped using the computer. The vision came back fully in about 5-10 minute time and nothing has happened since.
Is this something I'm supposed to be worried about? I can't stand my worrying any longer and I can't really afford to go to another doctor for this problem (they also rarely calm me down anyway, I jump straight into the next conclusion).. what are the chances that this is something serious?
I do not have any vision problems as of yet and no blurry vision stayed after I had this episode. I have 20/20 vision.
I will note that this has happened once before when I was in class in school, about 1-2 years ago. What do you think this is? I'm so worried that this is TIA or something.</t>
        </is>
      </c>
      <c r="D16" t="n">
        <v>1</v>
      </c>
      <c r="E16" t="n">
        <v>1</v>
      </c>
      <c r="F16">
        <f>HYPERLINK("https://www.reddit.com/r/eyetriage/comments/alfb6p/temporary_blurred_vision_went_away_in_10_minutes/")</f>
        <v/>
      </c>
      <c r="G16" t="inlineStr">
        <is>
          <t>2019-01-30 09:51:44</t>
        </is>
      </c>
      <c r="H16" t="inlineStr"/>
    </row>
    <row r="17">
      <c r="A17" t="inlineStr">
        <is>
          <t>alfc11</t>
        </is>
      </c>
      <c r="B17" t="inlineStr">
        <is>
          <t>Question about cataract surgery in Louisville, KY.</t>
        </is>
      </c>
      <c r="C17" t="inlineStr">
        <is>
          <t xml:space="preserve">Which ophthalmologists in and near Louisville charge the least extra for multifocal and accomodative lenses?  Should patients shop around and compare such prices, by calling all of them one by one?  Or are some of them already known to charge a lot less than others, to narrow down how many have to be called?
</t>
        </is>
      </c>
      <c r="D17" t="n">
        <v>1</v>
      </c>
      <c r="E17" t="n">
        <v>1</v>
      </c>
      <c r="F17">
        <f>HYPERLINK("https://www.reddit.com/r/eyetriage/comments/alfc11/question_about_cataract_surgery_in_louisville_ky/")</f>
        <v/>
      </c>
      <c r="G17" t="inlineStr">
        <is>
          <t>2019-01-30 09:53:52</t>
        </is>
      </c>
      <c r="H17" t="inlineStr"/>
    </row>
    <row r="18">
      <c r="A18" t="inlineStr">
        <is>
          <t>algvhu</t>
        </is>
      </c>
      <c r="B18" t="inlineStr">
        <is>
          <t>anyone have Experience with implanted contact lenses</t>
        </is>
      </c>
      <c r="C18" t="inlineStr">
        <is>
          <t>I’m not a candidate for LASIK (prescription is too extreme- far sighted), and while I was recommended getting my lenses replaced when I went in for a consult, my optometrist believes this is not the best option for me (not a candidate for multi focal bc of astigmatism), and suggested implanted contacts. The space where they would go is narrow, as I’m far sighted (30 whatever measurements for that space), but I can check with a specialist to see if that would even be an option for me. I dislike my contacts (ridged gas permeable), as they get easily irritated because of their small size, so stuff gets underneath them a lot. Also, since I have hypothyroidism my optometrist believes I will eventually come to a point where my eyes will be too dry for contacts (around menopause).
Anyone have experience with implanted lenses?</t>
        </is>
      </c>
      <c r="D18" t="n">
        <v>1</v>
      </c>
      <c r="E18" t="n">
        <v>2</v>
      </c>
      <c r="F18">
        <f>HYPERLINK("https://www.reddit.com/r/eyetriage/comments/algvhu/anyone_have_experience_with_implanted_contact/")</f>
        <v/>
      </c>
      <c r="G18" t="inlineStr">
        <is>
          <t>2019-01-30 12:11:04</t>
        </is>
      </c>
      <c r="H18" t="inlineStr"/>
    </row>
    <row r="19">
      <c r="A19" t="inlineStr">
        <is>
          <t>aljqmv</t>
        </is>
      </c>
      <c r="B19" t="inlineStr">
        <is>
          <t>Worrying eye issues</t>
        </is>
      </c>
      <c r="C19" t="inlineStr">
        <is>
          <t>Hey everyone, for the past 3 months or so I will sometimes wake up in the morning with excruciating pain in my left eye, tears pouring out all over my face, with my eye being very red. It first happened maybe a few months ago in the middle of the night, then again in November and once after that. Now it has happened to me for the past 2 mornings - when I woke up Monday I felt like there might be something in my eye, so I rubbed it in my tiredness and it immediately erupted into tears and 8/10ish pain. Today when I woke up there wasn't much pain, but my eye was tearing up and extremely red/irritated looking. It's always been the left eye, and it will also be sensitive to light. Sometimes it causes a sensation in my sinuses/runny nose but this could be pain related or not related at all. It eventually goes back to normal after around an hour. However, as I'm writing this it feels like there's something stuck in my eye (I don't think that's the case, as I've rinsed it out several times and this has happened often and always gone away)
The only eye issues that I know of having is something with my muscles from what I remember, where if something is close to my right eye it will follow along with it separate from the other. i.e. , my eyes don't work well together often times. (I was told what this was technically called, but I can't remember. Had it my whole life.) I had a routine eye exam in December 2017 (from an optometrist) that found no issues. Any suggestions as to what this might be would be appreciated.</t>
        </is>
      </c>
      <c r="D19" t="n">
        <v>1</v>
      </c>
      <c r="E19" t="n">
        <v>5</v>
      </c>
      <c r="F19">
        <f>HYPERLINK("https://www.reddit.com/r/eyetriage/comments/aljqmv/worrying_eye_issues/")</f>
        <v/>
      </c>
      <c r="G19" t="inlineStr">
        <is>
          <t>2019-01-30 16:40:58</t>
        </is>
      </c>
      <c r="H19" t="inlineStr"/>
    </row>
    <row r="20">
      <c r="A20" t="inlineStr">
        <is>
          <t>alrsdp</t>
        </is>
      </c>
      <c r="B20" t="inlineStr">
        <is>
          <t>Ocular migraine or TIA?</t>
        </is>
      </c>
      <c r="C20" t="inlineStr">
        <is>
          <t>Hi, I'm 18 years old and a huge hypochondriac. I never really worried about this thing before I looked up the symptoms because of curiosity. 
I've had this "ocular migraine" 2-3 times in my life now. Once when I was maybe 12, one around 2 years ago and one a month ago. The first time I got this it was scary, I saw white lights that went in the way of my vision and I couldn't focus or read anything because it always seemed like something was in the way of my eyes. Similar to what you see when you stand up too quickly, but it was milder and gradual other than sudden. It resolved in about 10-15 minutes.
About a month ago I had this again and while I was a bit worried I knew that I had this before and it would resolve itself so I didn't stress too much, and it did resolve in about 10-15 minutes as well.
A headache never follows and I get no other symptoms relating to TIA at all. But I've just read that a headache usually follow ocular migraines.
I really can't afford stressing about this because of all the work I have this school semester, this is the last one until I graduate.
How do I know if this is ocular migraines or TIA or something serious? I've read that TIA's are usually sudden and follow other symptoms as well but the word usually scares me. When does the real stroke usually follow after a TIA symptom?
Thank you.</t>
        </is>
      </c>
      <c r="D20" t="n">
        <v>1</v>
      </c>
      <c r="E20" t="n">
        <v>13</v>
      </c>
      <c r="F20">
        <f>HYPERLINK("https://www.reddit.com/r/eyetriage/comments/alrsdp/ocular_migraine_or_tia/")</f>
        <v/>
      </c>
      <c r="G20" t="inlineStr">
        <is>
          <t>2019-01-31 09:22:24</t>
        </is>
      </c>
      <c r="H20" t="inlineStr"/>
    </row>
    <row r="21">
      <c r="A21" t="inlineStr">
        <is>
          <t>alxpv1</t>
        </is>
      </c>
      <c r="B21" t="inlineStr">
        <is>
          <t>Temporary red hue in vision</t>
        </is>
      </c>
      <c r="C21" t="inlineStr">
        <is>
          <t xml:space="preserve"> So, here's the story, I'm a 22-year-old male and a few minutes ago I was in the restroom having a bowel movement and was pushing at a comfortable level, suddenly my vision begins to have a reddish hue as if you had put a red filter or lens over my eyes only to shortly resolve seconds later. Found some photos that illustrated my situation well.
I'm posting this on Reddit as there's no one to speak to at this hour and it's the end of the week, making it difficult to schedule an appointment with an ophthalmologist.
Google told me possible vitreous hemorrhage and just need someone to reassure me that I'm not going to go blind anytime soon.
[https://i.stack.imgur.com/k8dph.jpg](https://i.stack.imgur.com/k8dph.jpg)
[https://i.stack.imgur.com/7TFoB.jpg](https://i.stack.imgur.com/7TFoB.jpg)</t>
        </is>
      </c>
      <c r="D21" t="n">
        <v>1</v>
      </c>
      <c r="E21" t="n">
        <v>5</v>
      </c>
      <c r="F21">
        <f>HYPERLINK("https://www.reddit.com/r/eyetriage/comments/alxpv1/temporary_red_hue_in_vision/")</f>
        <v/>
      </c>
      <c r="G21" t="inlineStr">
        <is>
          <t>2019-01-31 19:23:12</t>
        </is>
      </c>
      <c r="H21" t="inlineStr"/>
    </row>
    <row r="22">
      <c r="A22" t="inlineStr">
        <is>
          <t>alz96d</t>
        </is>
      </c>
      <c r="B22" t="inlineStr">
        <is>
          <t>Mystery eye disturbance that Militarty docs cant find.</t>
        </is>
      </c>
      <c r="C22" t="inlineStr">
        <is>
          <t xml:space="preserve">My left eye was hit with a military grade lazer (rifle) 2-3 years ago. I had on protective glasses but they were only ballistic, not laser proof. 
I am a male, 35+ yo, no smoking, no physical eye trauma, occasional alcohol, active and healthy, 2 coffees a day. 20/10 vision as a kid, 20/20 now.
The laser came across at an angle (from right to left) and my left eye was sore (as if someone punched me) and I lost night vision for that night.  I was fine the next day. 
Fast forward one year and my left eye started to have a 'blurr' in it. Imagine looking through a pair of sunglasses with a vertical scratch, or a vertical water bubble. It was very apparent when light came at from behind and I was looking forward. I thought it was an eye booger but it was not. 
Present day, The visual disturbance is consistent, left of center, and when I shift my eyes right and then left, it slides across my left eye from left to right (no physical sensation, just the optical). It is always in the same place, the same size, and reacts to the same stimuli and conditions. 
The same occurs when I look hard left to right but not as pronounced. 
Here's where the differentiation comes in. 
It only happens in medium light (outdoors or indoors.) It does not exist in direct or high intensity light. It is also present when I am wearing sunglasses (depending on the outdoor light intensity). 
I know it isnt psychosomatic because it catches me off guard when I am driving and looking around. 
When it is extremely sunny, the optical disturbance goes away. When it is dark, it goes away. But when it is medium light, or for example, i look up at the ceiling fan right now and shift my view, the vertical visual disturbance is still there and shifts with my view. (It looks like a scratch on a pair of glasses does when I look at the light and shift my eyes left and right. 
I have been to the military retinal specialists, they have dialated and conducted two scans and two inspections and my retina is fine and they dont see any floaters. They conductrd a luminsesnce eye drop test and there isnt a scratch anywhere. 
Interestingly: They dialate my eye and the disturbamce goes away. They then look in there and cant see anything (everything looks normal).  I leave (feeling like a malingerer) and the disturbance is gone until the next day when my eye is back to normal. 
So I'm open for suggestions or ways I can prove what the hell is wrong with my eye. Is it a lens scratch? A pre-cataract? Are they looking in the wrong places? Can they NOT dialate my eye and look for it? It really strikes me as some sort of lens issue because it comes and goes based on the variability of the light and it is consistent in placement when I look left to right and up and down (left of center). 
Please, any advice would be great, Im kindof going crazy. Thanks. 
</t>
        </is>
      </c>
      <c r="D22" t="n">
        <v>1</v>
      </c>
      <c r="E22" t="n">
        <v>3</v>
      </c>
      <c r="F22">
        <f>HYPERLINK("https://www.reddit.com/r/eyetriage/comments/alz96d/mystery_eye_disturbance_that_militarty_docs_cant/")</f>
        <v/>
      </c>
      <c r="G22" t="inlineStr">
        <is>
          <t>2019-01-31 22:32:25</t>
        </is>
      </c>
      <c r="H22" t="inlineStr"/>
    </row>
    <row r="23">
      <c r="A23" t="inlineStr">
        <is>
          <t>am34pj</t>
        </is>
      </c>
      <c r="B23" t="inlineStr">
        <is>
          <t>Hypersensitivity to red color causing pain in the eyes</t>
        </is>
      </c>
      <c r="C23" t="inlineStr">
        <is>
          <t>Hello,
This is a xpost from r/AskDocs but I think this might be interesting from some of you here. If xpost is innapropriate I will remove it.
I have this problem since a long time, I can't remember if it started at some point or I just always had this, but my first memories realizing it was during my teenage.
I never really talked about it since I thought it was a common thing everybody had, like we like to think that bulls are annoyed by the color red, or that red is an "aggressive color" in our culture. One day at work, I was working on the computer (I am building websites) and changed a page background color from red to blue to relax my eyes. One of my coworker asked my why I changed the whole identity of the page I worked on, thinking I was mistaking. I explained him that I never understood people thinking it was a good idea to have a full background in red, since it was hurting the eyes so much. Then a discussion took place and I realized it wasn't such a common thing.
The symptoms are, the more red I have in my field of view, the more it will hurt my eyes, physically. The pain looks like when you have a migraine, but only the eye pain, no headache. The more it last, the more it hurts and would force me to look away or close my eyes. It feels like my blood pressure gets higher (this is only how I feel it) and I get very irritable. In very extreme cases I got nausea, but this rarely happen. After being exposed to red color for too long, my vision change, I like to describe it as an "instagram filter in the eyes", I would say colder. I interpret this as if I see all the colors without their portion of red in it. Purple become plain blue for example.
I'm a male in early 30's, work behind a screen (but it started before that). I'm 90 kg / 200 pounds for 1,81m / 6', Caucasian with brown eyes, no specific medical issues nor medication. I'm a smoker (pack a day), drinking quite often (one beer every day or so and can get drunk in the weekend) and have no use of recreational drugs lately that are worth to mention (very rare). I did use psychotropics substances (LSD, PCP, etc.) during my teenage, enough to be relevant here.
Doing any research on this topic led me nowhere but to "red eyes" problems or photo-phobia, but nothing related to a hypersensitivity to a specific color frequency.
I have decided to take an appointment with an ophthalmologist (in a month), but I fear that these symptoms might be very specific and uncommon, and would like to have a feedback and ideas on it.
I hope this was clear and enough detailed. Thanks a lot for your time.
PS: I deleted the un-commented original post because the title was wrong, also forgot some details about the symptoms.</t>
        </is>
      </c>
      <c r="D23" t="n">
        <v>1</v>
      </c>
      <c r="E23" t="n">
        <v>2</v>
      </c>
      <c r="F23">
        <f>HYPERLINK("https://www.reddit.com/r/eyetriage/comments/am34pj/hypersensitivity_to_red_color_causing_pain_in_the/")</f>
        <v/>
      </c>
      <c r="G23" t="inlineStr">
        <is>
          <t>2019-02-01 07:28:43</t>
        </is>
      </c>
      <c r="H23" t="inlineStr"/>
    </row>
    <row r="24">
      <c r="A24" t="inlineStr">
        <is>
          <t>am3xhd</t>
        </is>
      </c>
      <c r="B24" t="inlineStr">
        <is>
          <t>Ghosting/double vision when subjected to high contrasting lights (more info in post)</t>
        </is>
      </c>
      <c r="C24" t="inlineStr">
        <is>
          <t>Hello eyetriage, I have posted on the ophthalmology subreddit before because I had blurry vision on my left eye. I also had this weird ghosting or double vision-effect which was especially noticable in the night (for example streetlights or white letters/numbers on a black background on a computer screen etc.) The best way I can describe it in more detail is to link you these two images: [https://sites.google.com/a/albayati.com/test/Home/Keratoconus\_what\_I\_see.jpg](https://sites.google.com/a/albayati.com/test/Home/Keratoconus_what_I_see.jpg) and [https://i.imgur.com/IHWBflS.png](https://i.imgur.com/IHWBflS.png) 
Now, since I went to the doctor and got glasses, my vision is a lot more clear; it's back to normal, BUT the ghosting problem persists! As you can see, one of the images that I linked is literally called "Keratoconus what I see", and I did look up that disease, but I'm not a doctor, so I'm not gonna self-diagonse of course. I'm definitely booking another appointment with my doctor - don't worry, but I simply wanted to see what you guys thought. 
Thanks a bunch in advance.</t>
        </is>
      </c>
      <c r="D24" t="n">
        <v>1</v>
      </c>
      <c r="E24" t="n">
        <v>5</v>
      </c>
      <c r="F24">
        <f>HYPERLINK("https://www.reddit.com/r/eyetriage/comments/am3xhd/ghostingdouble_vision_when_subjected_to_high/")</f>
        <v/>
      </c>
      <c r="G24" t="inlineStr">
        <is>
          <t>2019-02-01 08:42:09</t>
        </is>
      </c>
      <c r="H24" t="inlineStr"/>
    </row>
    <row r="25">
      <c r="A25" t="inlineStr">
        <is>
          <t>amf811</t>
        </is>
      </c>
      <c r="B25" t="inlineStr">
        <is>
          <t>Shadow that comes and goes</t>
        </is>
      </c>
      <c r="C25" t="inlineStr">
        <is>
          <t>Hello, r/eyetriage
I had posters on r/ophthalmology before to ask about retinal tears that 'healed' and ongoing issue with eye floaters, and flashes (which stopped a month back) 
I had got a dilated exam by an ophthalmologist last month, they said I don't have to worry. Everything looks fine I.e. no detachment.
Last week I started seeing a dark spot in my vision intermittently. It's not central but still in the area in vision where monocular vision overlaps. It is often circular in shape has a darker border, the middle section is lighter grey/brown. Though it resembles one floater I have, it's way bigger. 
The catch is it disappears as soon as I notice it. And after closing either eye I can't find it. 
I have a scheduled eye appointment next month. I am wondering what this might be and if I should schedule appointment sooner.. 
Other eye issues I have - nearsightedness, bilateral astigmatism, high introcular pressure (no treatment at this time) 
Thank you</t>
        </is>
      </c>
      <c r="D25" t="n">
        <v>1</v>
      </c>
      <c r="E25" t="n">
        <v>6</v>
      </c>
      <c r="F25">
        <f>HYPERLINK("https://www.reddit.com/r/eyetriage/comments/amf811/shadow_that_comes_and_goes/")</f>
        <v/>
      </c>
      <c r="G25" t="inlineStr">
        <is>
          <t>2019-02-02 07:48:20</t>
        </is>
      </c>
      <c r="H25" t="inlineStr"/>
    </row>
    <row r="26">
      <c r="A26" t="inlineStr">
        <is>
          <t>amfj0u</t>
        </is>
      </c>
      <c r="B26" t="inlineStr">
        <is>
          <t>Eye pain and tearing when looking at a screen, such as TV, laptop and any other tech..</t>
        </is>
      </c>
      <c r="C26" t="inlineStr">
        <is>
          <t>I have anti reflective glasses and a dioptre of -0.5, still having pain whenever there is a source of light..</t>
        </is>
      </c>
      <c r="D26" t="n">
        <v>1</v>
      </c>
      <c r="E26" t="n">
        <v>2</v>
      </c>
      <c r="F26">
        <f>HYPERLINK("https://www.reddit.com/r/eyetriage/comments/amfj0u/eye_pain_and_tearing_when_looking_at_a_screen/")</f>
        <v/>
      </c>
      <c r="G26" t="inlineStr">
        <is>
          <t>2019-02-02 08:20:02</t>
        </is>
      </c>
      <c r="H26" t="inlineStr"/>
    </row>
    <row r="27">
      <c r="A27" t="inlineStr">
        <is>
          <t>amk4lx</t>
        </is>
      </c>
      <c r="B27" t="inlineStr">
        <is>
          <t>Help with possible accommodation focus spasm/constant contraction?</t>
        </is>
      </c>
      <c r="C27" t="inlineStr">
        <is>
          <t>Had blurred vision (not bad enough I can’t see jusy so things aren’t quite clear) for a couple of weeks. Think it might have been happening for a while but not so I notice and it got noticeable after a day when I was really stressed. Optician check found that my “accommodation focus was all over the place” and I have been referred to a specialist in binocular vision. Got to wait for that to come through. I am on screens pretty much all the time for work (like 8-9 hours a day then am home on my phone/watching tv)
I have health anxiety. since the check my anxiety has gone through the roof.
I have read it can be caused by tumours and other horrible things and the more stressed I become the worse I feel.
I have read that it often comes and goes but mine seems pretty consistent. sometimes when I’m distracted it doesn’t seem as bad.
I have tried to calm down but wondered if there were any tips for relaxing the eye muscles (if it is a spasm) and whether anyone knew whether it is likely to go away on its own if I do manage to calm?
Also what the referral is likely to look for as I’m really worried about it.
Sorry for the long post my optician just said she didn’t know much about it and it was unusual which freaked me out even more! Thanks in advance.Could it be anxiety related?</t>
        </is>
      </c>
      <c r="D27" t="n">
        <v>1</v>
      </c>
      <c r="E27" t="n">
        <v>24</v>
      </c>
      <c r="F27">
        <f>HYPERLINK("https://www.reddit.com/r/eyetriage/comments/amk4lx/help_with_possible_accommodation_focus/")</f>
        <v/>
      </c>
      <c r="G27" t="inlineStr">
        <is>
          <t>2019-02-02 16:06:49</t>
        </is>
      </c>
      <c r="H27" t="inlineStr"/>
    </row>
    <row r="28">
      <c r="A28" t="inlineStr">
        <is>
          <t>ammi6l</t>
        </is>
      </c>
      <c r="B28" t="inlineStr">
        <is>
          <t>Floater in eye</t>
        </is>
      </c>
      <c r="C28" t="inlineStr">
        <is>
          <t xml:space="preserve">I got hit by a racketball ball in the eye, and now while blinking sometimes I see a floater. It was very red the day I got hit, but it's been two days, and now the whole eye is normal, but a little spot is still red. Also, that eye's temple is aching. What can I do in this situation? I'm planning to get an appointment this Monday. </t>
        </is>
      </c>
      <c r="D28" t="n">
        <v>1</v>
      </c>
      <c r="E28" t="n">
        <v>3</v>
      </c>
      <c r="F28">
        <f>HYPERLINK("https://www.reddit.com/r/eyetriage/comments/ammi6l/floater_in_eye/")</f>
        <v/>
      </c>
      <c r="G28" t="inlineStr">
        <is>
          <t>2019-02-02 20:58:39</t>
        </is>
      </c>
      <c r="H28" t="inlineStr"/>
    </row>
    <row r="29">
      <c r="A29" t="inlineStr">
        <is>
          <t>ams568</t>
        </is>
      </c>
      <c r="B29" t="inlineStr">
        <is>
          <t>Eye Problem with lights that has been driving me crazy</t>
        </is>
      </c>
      <c r="C29" t="inlineStr">
        <is>
          <t>So over the past year I've had this problem that I think has gotten worse. Basically, anytime I'm around any kind of light (especially at night) my eyes cant propely focus on it and these beams of light come out of it and distort my vision. These beams of light follow my line of sight when I blink or move my eyes around.
&amp;amp;#x200B;
I went to an eye doctor and he said it was dry eye, but I've been putting in eyedrops/using a hot compress all the time and it doesn't seem to help the problem at all. My vision is pretty good, and I haven't noticed any difficulty seeing things far away. It's LITERALLY just lights and it's to the point where I can't drive at night because light beams come out the top and bottom of every car light and it distracts my vision.</t>
        </is>
      </c>
      <c r="D29" t="n">
        <v>1</v>
      </c>
      <c r="E29" t="n">
        <v>5</v>
      </c>
      <c r="F29">
        <f>HYPERLINK("https://www.reddit.com/r/eyetriage/comments/ams568/eye_problem_with_lights_that_has_been_driving_me/")</f>
        <v/>
      </c>
      <c r="G29" t="inlineStr">
        <is>
          <t>2019-02-03 10:12:10</t>
        </is>
      </c>
      <c r="H29" t="inlineStr"/>
    </row>
    <row r="30">
      <c r="A30" t="inlineStr">
        <is>
          <t>amudln</t>
        </is>
      </c>
      <c r="B30" t="inlineStr">
        <is>
          <t>BlephEx &amp;amp; Lipiflow</t>
        </is>
      </c>
      <c r="C30" t="inlineStr">
        <is>
          <t>Does anyone have experience with these procedures and If so can you recommend a clinic for them?</t>
        </is>
      </c>
      <c r="D30" t="n">
        <v>1</v>
      </c>
      <c r="E30" t="n">
        <v>2</v>
      </c>
      <c r="F30">
        <f>HYPERLINK("https://www.reddit.com/r/eyetriage/comments/amudln/blephex_lipiflow/")</f>
        <v/>
      </c>
      <c r="G30" t="inlineStr">
        <is>
          <t>2019-02-03 13:39:05</t>
        </is>
      </c>
      <c r="H30" t="inlineStr"/>
    </row>
    <row r="31">
      <c r="A31" t="inlineStr">
        <is>
          <t>amv5rf</t>
        </is>
      </c>
      <c r="B31" t="inlineStr">
        <is>
          <t>Springing pupil syndrome?</t>
        </is>
      </c>
      <c r="C31" t="inlineStr">
        <is>
          <t>So i wasn't sure whether to post here, the optometry subreddit or the ophthalmology one, so I figured this one is as good as any.
I was diagnosed with the springing pupil syndrome/defect about three years ago and while I understand that it's benign and honestly I dont really pay attention to it unless I have any unusual migraine patterns, I can't seem to find much information about long term prognosis for patients with this syndrome? More precisely, is it ever going to go away? Or do something else to my eye? Any long term side effects that can occur as a result?
I did ask my optometrist but honestly I haven't found any that has actually heard of that defect yet, even after showing them my letter from the hospital! It seems to be a very unknown thing in the UK at least? The articles I found were very vague as well and my curious nature is just not satisfied with the minimal information.</t>
        </is>
      </c>
      <c r="D31" t="n">
        <v>1</v>
      </c>
      <c r="E31" t="n">
        <v>2</v>
      </c>
      <c r="F31">
        <f>HYPERLINK("https://www.reddit.com/r/eyetriage/comments/amv5rf/springing_pupil_syndrome/")</f>
        <v/>
      </c>
      <c r="G31" t="inlineStr">
        <is>
          <t>2019-02-03 14:55:06</t>
        </is>
      </c>
      <c r="H31" t="inlineStr"/>
    </row>
    <row r="32">
      <c r="A32" t="inlineStr">
        <is>
          <t>amyp3o</t>
        </is>
      </c>
      <c r="B32" t="inlineStr">
        <is>
          <t>Random 'sun eye'? AKA another hypochondriac .</t>
        </is>
      </c>
      <c r="C32" t="inlineStr">
        <is>
          <t>So, I'm a bit of a hypochondriac (I'm sure you've never heard that before on here), so this happened just a few moments ago, I freaked out, and here I am.
Basically, I went to let my dog out, came back in the house and as I was walking to my computer, my right eye just randomly got weird. I don't want to say it was blurry, it was more of a sensation when you stare at the sun for a minuet and then it goes bright and it's hard to see for a second. Only my right eye, then it went away.
This has not happened to me before, so I was a little taken aback. Does anyone know what this is? Am I freaking out for absolutely no reason? Is it something similar to when you see 'stars' because you moved your head too fast?</t>
        </is>
      </c>
      <c r="D32" t="n">
        <v>1</v>
      </c>
      <c r="E32" t="n">
        <v>3</v>
      </c>
      <c r="F32">
        <f>HYPERLINK("https://www.reddit.com/r/eyetriage/comments/amyp3o/random_sun_eye_aka_another_hypochondriac/")</f>
        <v/>
      </c>
      <c r="G32" t="inlineStr">
        <is>
          <t>2019-02-03 21:54:51</t>
        </is>
      </c>
      <c r="H32" t="inlineStr"/>
    </row>
    <row r="33">
      <c r="A33" t="inlineStr">
        <is>
          <t>an32at</t>
        </is>
      </c>
      <c r="B33" t="inlineStr">
        <is>
          <t>Ghost images</t>
        </is>
      </c>
      <c r="C33" t="inlineStr">
        <is>
          <t>I have a patient with glioblastima who is complaining of ghost images both monocularly and binocularly. (They were also slightly exotropic in the OD w/ horizontal binocular diplopia but this has resolved.) The ghost images are reported to be repeat images which fade off into the distance, like standing between two mirrors. Their next ophthalmologist visit isn’t until 6 weeks from now. 
Any advice on how to help them mitigate the problem until their appointment? (Personally I’m also interested in possible causes but helping the patient obviously comes first...)</t>
        </is>
      </c>
      <c r="D33" t="n">
        <v>1</v>
      </c>
      <c r="E33" t="n">
        <v>4</v>
      </c>
      <c r="F33">
        <f>HYPERLINK("https://www.reddit.com/r/eyetriage/comments/an32at/ghost_images/")</f>
        <v/>
      </c>
      <c r="G33" t="inlineStr">
        <is>
          <t>2019-02-04 08:04:05</t>
        </is>
      </c>
      <c r="H33" t="inlineStr"/>
    </row>
    <row r="34">
      <c r="A34" t="inlineStr">
        <is>
          <t>an8ydr</t>
        </is>
      </c>
      <c r="B34" t="inlineStr">
        <is>
          <t>25M with CRVO/macular edema, on NHS waiting list for treatment, worth going private?</t>
        </is>
      </c>
      <c r="C34" t="inlineStr">
        <is>
          <t>Hello, I feel like this is going to be a long message so I apologise in advance but it's something that has been deeply disruptive (I'm a theatre student who's had to cancel several classes) I'm in the UK so I'm hoping most of this terminology is universal.
Around a month ago now I woke up with blurred vision in my left eye and immediately went to A+E who over the course of a couple of days diagnosed me with central retinal vein occlusion, a condition I'm told is extremely rare for someone my age (25). They've also in the last visit added macular edema (sp?) to my condition list. Eyesight has never been stellar to begin with (-6.75 left eye, -5.5 right, astigmatism in both eyes) but with each visit to the hospital I've noticed the left eye get worse (on my first visit I could read the 3rd line of the chart, then only the top, then couldn't see the board at all but could count fingers, now can't count fingers) My blood pressure was deemed normal after several checks and I've done about 12 blood tests that have all come back normal (more results on the way). They've recommended injections to the eye but it'll be another month or so before I can have them. My current clinician believes there could possibly be a lesion or tumour blocking the artery and has put me down for a CT scan but NHS cuts being what they are that's also at least a month wait.  I have regular stinging headaches located on the left side which could possibly come from strain but are still worrying - am I right to be as worried as I am and should I shell out ridiculous amounts of money to get it seen to immediately or wait to be pushed through the system for free but with an extremely long waiting period? Sorry for the essay, thought as much information as possible would help, thanks in advance for any comments you may have!</t>
        </is>
      </c>
      <c r="D34" t="n">
        <v>1</v>
      </c>
      <c r="E34" t="n">
        <v>4</v>
      </c>
      <c r="F34">
        <f>HYPERLINK("https://www.reddit.com/r/eyetriage/comments/an8ydr/25m_with_crvomacular_edema_on_nhs_waiting_list/")</f>
        <v/>
      </c>
      <c r="G34" t="inlineStr">
        <is>
          <t>2019-02-04 17:32:25</t>
        </is>
      </c>
      <c r="H34" t="inlineStr"/>
    </row>
    <row r="35">
      <c r="A35" t="inlineStr">
        <is>
          <t>an8zrj</t>
        </is>
      </c>
      <c r="B35" t="inlineStr">
        <is>
          <t>I have a stupid Question and i'm too embarrassed to ask my ophthalmologist. I have Keratoconus and I'm wondering is lenses will Make it worse?</t>
        </is>
      </c>
      <c r="C35" t="inlineStr">
        <is>
          <t>Soo I have Keratoconus in my left eye , and I can Berly focus with it , and My right eye is also on the same path and does most of the heavy lifting. I do have a surgery planned in the next few months, But I was wondering ... will wearing soft colored contacts worsen my Keratoconus ? or scar my eyes?</t>
        </is>
      </c>
      <c r="D35" t="n">
        <v>1</v>
      </c>
      <c r="E35" t="n">
        <v>3</v>
      </c>
      <c r="F35">
        <f>HYPERLINK("https://www.reddit.com/r/eyetriage/comments/an8zrj/i_have_a_stupid_question_and_im_too_embarrassed/")</f>
        <v/>
      </c>
      <c r="G35" t="inlineStr">
        <is>
          <t>2019-02-04 17:36:35</t>
        </is>
      </c>
      <c r="H35" t="inlineStr"/>
    </row>
    <row r="36">
      <c r="A36" t="inlineStr">
        <is>
          <t>andizl</t>
        </is>
      </c>
      <c r="B36" t="inlineStr">
        <is>
          <t>Refuse dilation</t>
        </is>
      </c>
      <c r="C36" t="inlineStr">
        <is>
          <t xml:space="preserve">Weird question: Can a patient refuse to have dilation? 
I had a thorough eye exam with dilation in October and an exam with retinal photography in November....both were done by ophthalmologists and were clear. My neurologist referred me to the neuro-ophthalmologist again due to continued vision issues. Since my vision issues, I have become fearful of anything that could possibly make my eyes worse. Hence, why I do not want my eyes dilated today at the appointment. I am even afraid of those intensely bright lights they shine in your eyes. I have extreme light sensitivity, so I *see* those bright lights they shine in your eyes for several minutes after the fact. Is an eye exam truly safe...any possible complications? </t>
        </is>
      </c>
      <c r="D36" t="n">
        <v>1</v>
      </c>
      <c r="E36" t="n">
        <v>10</v>
      </c>
      <c r="F36">
        <f>HYPERLINK("https://www.reddit.com/r/eyetriage/comments/andizl/refuse_dilation/")</f>
        <v/>
      </c>
      <c r="G36" t="inlineStr">
        <is>
          <t>2019-02-05 04:15:31</t>
        </is>
      </c>
      <c r="H36" t="inlineStr"/>
    </row>
    <row r="37">
      <c r="A37" t="inlineStr">
        <is>
          <t>andl4y</t>
        </is>
      </c>
      <c r="B37" t="inlineStr">
        <is>
          <t>just had bandage lens removed following PTK and ophthalmologist asked if I'd had coldsore recently</t>
        </is>
      </c>
      <c r="C37" t="inlineStr">
        <is>
          <t>Hello!
&amp;amp;#x200B;
I'm curious to know why he would ask that question?
&amp;amp;#x200B;
For some context the bandage lens was removed early because it was causing discomfort
&amp;amp;#x200B;
Thank you all
&amp;amp;#x200B;
&amp;amp;#x200B;</t>
        </is>
      </c>
      <c r="D37" t="n">
        <v>1</v>
      </c>
      <c r="E37" t="n">
        <v>2</v>
      </c>
      <c r="F37">
        <f>HYPERLINK("https://www.reddit.com/r/eyetriage/comments/andl4y/just_had_bandage_lens_removed_following_ptk_and/")</f>
        <v/>
      </c>
      <c r="G37" t="inlineStr">
        <is>
          <t>2019-02-05 04:23:50</t>
        </is>
      </c>
      <c r="H37" t="inlineStr"/>
    </row>
    <row r="38">
      <c r="A38" t="inlineStr">
        <is>
          <t>anfkt8</t>
        </is>
      </c>
      <c r="B38" t="inlineStr">
        <is>
          <t>Can't read screens and it's driving me crazy</t>
        </is>
      </c>
      <c r="C38" t="inlineStr">
        <is>
          <t>Hey All,
I'm not sure what is going on but my ophthalmologist didn't have a clue either. She thinks it might be dry eyes but i've followed her treatment (non preservative eye drops, heat compress, eyelid rinse) and nothing is helping. I work on a computer all day which probably doesn't help but basically my vision gets very blurry and disturbed as soon as I start to look at my screen. I use flux, I keep the brightness down, I try to keep the ambient light in my room good. Is it possible it's a brain issue? I have no issue with tv, movies, or games on the television.
The best way to describe my symptoms is that everything kind of looks like this illusion. [https://cdn.instructables.com/F1H/3JF6/FRJGP9ZH/F1H3JF6FRJGP9ZH.LARGE.gif](https://cdn.instructables.com/F1H/3JF6/FRJGP9ZH/F1H3JF6FRJGP9ZH.LARGE.gif)
I plan on going back to the doctor, but I was hoping to maybe at least narrow my search to certain issues it could be. I do wear glasses and I got the high index blue light blockers. I've also tried pink tinted glasses thinking it might be migraines but they didn't do much either. Maybe I need more official pink tint?</t>
        </is>
      </c>
      <c r="D38" t="n">
        <v>1</v>
      </c>
      <c r="E38" t="n">
        <v>4</v>
      </c>
      <c r="F38">
        <f>HYPERLINK("https://www.reddit.com/r/eyetriage/comments/anfkt8/cant_read_screens_and_its_driving_me_crazy/")</f>
        <v/>
      </c>
      <c r="G38" t="inlineStr">
        <is>
          <t>2019-02-05 08:09:43</t>
        </is>
      </c>
      <c r="H38" t="inlineStr"/>
    </row>
    <row r="39">
      <c r="A39" t="inlineStr">
        <is>
          <t>angw4l</t>
        </is>
      </c>
      <c r="B39" t="inlineStr">
        <is>
          <t>Dryness, itchiness, and pressure/pain feeling in left eye only</t>
        </is>
      </c>
      <c r="C39" t="inlineStr">
        <is>
          <t>I'm not sure what's going on, but for the past month only my left eye has been dry and itchy to the point that it hurts or feels like something is pushing on my eye. It feels like something scratchy is in the corner of my eye as well, but there's nothing there (no hair or anything stuck that I can see). I also end up with painful headaches just behind my eyebrow that makes me want to spoon out my eyeball for relief. This all comes with what seams like slightly blurred vision, but that's only when it hurts the most.
My eye doctor said it's onset of dry eyes and have been using eye drops and a heated eye mask daily, but it just won't go away. I'm starting to think it's entirely sinuses or allergies, but I've never had allergies my entire life. Any idea what might be going on or something to suggest to my regular doctor (I've a regular doctor checkup tomorrow) or to an eye doctor?</t>
        </is>
      </c>
      <c r="D39" t="n">
        <v>1</v>
      </c>
      <c r="E39" t="n">
        <v>10</v>
      </c>
      <c r="F39">
        <f>HYPERLINK("https://www.reddit.com/r/eyetriage/comments/angw4l/dryness_itchiness_and_pressurepain_feeling_in/")</f>
        <v/>
      </c>
      <c r="G39" t="inlineStr">
        <is>
          <t>2019-02-05 10:13:17</t>
        </is>
      </c>
      <c r="H39" t="inlineStr"/>
    </row>
    <row r="40">
      <c r="A40" t="inlineStr">
        <is>
          <t>ani4h3</t>
        </is>
      </c>
      <c r="B40" t="inlineStr">
        <is>
          <t>My father is going to buy new glasses (he just went through cataract surgery) is it the last time he will need to get new glasses?</t>
        </is>
      </c>
      <c r="C40" t="inlineStr">
        <is>
          <t xml:space="preserve"> or will his eyesight keep decline? </t>
        </is>
      </c>
      <c r="D40" t="n">
        <v>1</v>
      </c>
      <c r="E40" t="n">
        <v>4</v>
      </c>
      <c r="F40">
        <f>HYPERLINK("https://www.reddit.com/r/eyetriage/comments/ani4h3/my_father_is_going_to_buy_new_glasses_he_just/")</f>
        <v/>
      </c>
      <c r="G40" t="inlineStr">
        <is>
          <t>2019-02-05 12:08:51</t>
        </is>
      </c>
      <c r="H40" t="inlineStr"/>
    </row>
    <row r="41">
      <c r="A41" t="inlineStr">
        <is>
          <t>aniila</t>
        </is>
      </c>
      <c r="B41" t="inlineStr">
        <is>
          <t>Determining number of objects</t>
        </is>
      </c>
      <c r="C41" t="inlineStr">
        <is>
          <t>When looking at a row of identical, closely spaced objects/symbols, I find it difficult to discern exactly how many there are without using something to direct my eyes like my finger. Is there a name for this and is it normal?
For example, I was trying to read a number on a distant whiteboard with several zeros, but had difficulty counting exactly how many zeros there were. I was close enough to clearly see the zeros themselves, I just had difficulty counting them.</t>
        </is>
      </c>
      <c r="D41" t="n">
        <v>1</v>
      </c>
      <c r="E41" t="n">
        <v>2</v>
      </c>
      <c r="F41">
        <f>HYPERLINK("https://www.reddit.com/r/eyetriage/comments/aniila/determining_number_of_objects/")</f>
        <v/>
      </c>
      <c r="G41" t="inlineStr">
        <is>
          <t>2019-02-05 12:49:11</t>
        </is>
      </c>
      <c r="H41" t="inlineStr"/>
    </row>
    <row r="42">
      <c r="A42" t="inlineStr">
        <is>
          <t>ankm6i</t>
        </is>
      </c>
      <c r="B42" t="inlineStr">
        <is>
          <t>Pigment spot in eye</t>
        </is>
      </c>
      <c r="C42" t="inlineStr">
        <is>
          <t xml:space="preserve">My optometrist noticed a “pigment spot” on the edge of my iris in the inner part of my eye. It looks like a brown half circle on the edge of my iris. He referred me to a specialist and I am just kind of concerned because the optometrist didn’t give me a whole lot of information. His secretary went to make my appointment in another room and the specialist is “squeezing” me in tomorrow. So this is making me think that the optometrist saw something that was very concerning. 
The spot is so small that it isn’t even visible with the naked eye. Are these pigment spots common? If this is something more sinister, how serious is this?
Sorry for rambling. Im just very worried about what this is. Google is a lot of doom and gloom. </t>
        </is>
      </c>
      <c r="D42" t="n">
        <v>1</v>
      </c>
      <c r="E42" t="n">
        <v>2</v>
      </c>
      <c r="F42">
        <f>HYPERLINK("https://www.reddit.com/r/eyetriage/comments/ankm6i/pigment_spot_in_eye/")</f>
        <v/>
      </c>
      <c r="G42" t="inlineStr">
        <is>
          <t>2019-02-05 16:12:08</t>
        </is>
      </c>
      <c r="H42" t="inlineStr"/>
    </row>
    <row r="43">
      <c r="A43" t="inlineStr">
        <is>
          <t>anrth8</t>
        </is>
      </c>
      <c r="B43" t="inlineStr">
        <is>
          <t>Help with cloudy RGP contacts</t>
        </is>
      </c>
      <c r="C43" t="inlineStr">
        <is>
          <t xml:space="preserve">Hello - I'm looking for advice on fogging issues with my new RGP contact lenses. Any advice, recommendations or shared experiences would be very much appreciated!!
I was fitted in GP lenses this summer and after several trials my Dr. is happy with the fit. We made incremental adjustments to the diameter to stop the lenses from dropping, from 8.0mm up to 10.5mm. We also tried a few different Boston materials - started with EO, tried ES (which resulted in 3 + 9 o'clock staining) then XO (not as comfortable) and eventually went back to EO.
Progress has been good, but we can't seem to find a solution for the fogging, which has been present since day 1. I've tried just about every cleaning, soaking, rewetting and eye drop solution combination available in Canada...
Cleaning: Boston Advance Cleaner, Supra Clens, Clear Care
Soaking: Boston Advance Conditioner, BioTrue, OptiFree Puremoist as well as a few other Bausch + Lomb + OptiFree solutions.
Rewetting (for insertion): B+L Sensitive Saline, Refresh Celluvisc, Refresh Optive Gel Drops, Hylo Dry Eye Drops (including the gel varietry)
Eye drops (during the day): Blink Tears, Hylo Drops and a few other lubricating drops w/ preservatives
The best combination I've found so far is to clean with Boston Advance Cleaner, rinse with B+L Saline then soak in Optifree Puremoist overnight. I put 3 drops of Celluvisc in each lens before I insert in the morning.
As for the fogging - it gradually builds within the first 3-4 hours after I insert the lenses. My vision is pretty cloudy after that point, but it seems to come and go intermittently throughout the day - some days better than others.  
</t>
        </is>
      </c>
      <c r="D43" t="n">
        <v>1</v>
      </c>
      <c r="E43" t="n">
        <v>7</v>
      </c>
      <c r="F43">
        <f>HYPERLINK("https://www.reddit.com/r/eyetriage/comments/anrth8/help_with_cloudy_rgp_contacts/")</f>
        <v/>
      </c>
      <c r="G43" t="inlineStr">
        <is>
          <t>2019-02-06 07:31:21</t>
        </is>
      </c>
      <c r="H43" t="inlineStr"/>
    </row>
    <row r="44">
      <c r="A44" t="inlineStr">
        <is>
          <t>antlk4</t>
        </is>
      </c>
      <c r="B44" t="inlineStr">
        <is>
          <t>If an eyelash were still in my eye, would I be able to see it?</t>
        </is>
      </c>
      <c r="C44" t="inlineStr">
        <is>
          <t>I had an eyelash in my eye yesterday that my dad noticed, he said when I raised my eyelid it sucked it back deeper, I went into the bathroom to rinse with eyedrops, after which he said he could no longer see it. If it were still in there, would I be able to see it? Or can it sit just out of sight? I'm aware of the connective tissue preventing it from going behind the eye. Cheers.</t>
        </is>
      </c>
      <c r="D44" t="n">
        <v>1</v>
      </c>
      <c r="E44" t="n">
        <v>13</v>
      </c>
      <c r="F44">
        <f>HYPERLINK("https://www.reddit.com/r/eyetriage/comments/antlk4/if_an_eyelash_were_still_in_my_eye_would_i_be/")</f>
        <v/>
      </c>
      <c r="G44" t="inlineStr">
        <is>
          <t>2019-02-06 10:12:54</t>
        </is>
      </c>
      <c r="H44" t="inlineStr"/>
    </row>
    <row r="45">
      <c r="A45" t="inlineStr">
        <is>
          <t>anxyow</t>
        </is>
      </c>
      <c r="B45" t="inlineStr">
        <is>
          <t>New glasses leveled wrong?</t>
        </is>
      </c>
      <c r="C45" t="inlineStr">
        <is>
          <t>Background: I have some balance issues (vertigo, bppv), so i'm sensitive to polycarb lenses and need high index to give a background of my sensitivity to lenses. I got new glasses today, and I know it takes a few days to adjust. My prescription isn't too high (1.5-2.5), and there wasn't much change for the new lenses. I was feeling off, strained so I got a second opinion from another optometrist. She said my glasses wear lower from the center of the lense. The center of the lense is where the optimal view has but placed or cut to. Question: If there's about a 1/2" difference from where my eyes view, and where the center of the focal area of the lense is, does that make much of a difference? The place where I purchased the lense said they will be responsible, but to try the lense for a few days to see if I adjust. If I don't adjust they said they will get new lense, and cut it so that the focal optimal view will be higher so it lines up to my eyes when I wear the new glasses.</t>
        </is>
      </c>
      <c r="D45" t="n">
        <v>1</v>
      </c>
      <c r="E45" t="n">
        <v>15</v>
      </c>
      <c r="F45">
        <f>HYPERLINK("https://www.reddit.com/r/eyetriage/comments/anxyow/new_glasses_leveled_wrong/")</f>
        <v/>
      </c>
      <c r="G45" t="inlineStr">
        <is>
          <t>2019-02-06 16:53:49</t>
        </is>
      </c>
      <c r="H45" t="inlineStr"/>
    </row>
    <row r="46">
      <c r="A46" t="inlineStr">
        <is>
          <t>ao128p</t>
        </is>
      </c>
      <c r="B46" t="inlineStr">
        <is>
          <t>Excessive tearing and mucus in corner of eye for 6-7 years. Nothing I do gets it to stop.</t>
        </is>
      </c>
      <c r="C46" t="inlineStr">
        <is>
          <t xml:space="preserve">I’ve had tears dripping out of one eye, and more recently excessive mucus buildup in the corner of that eye. It’s been going on for a long time and i can’t find a solution. 
No duct blockage. No allergies. I do have eczema on the eyelid but the dermatologist says it’s from rubbing the eye to wipe away the tears and mucus. 
I do sleep on my side, and that eye is towards/on the pillow. I often use a fan at night, but I’ve tried no fan and it doesn’t change. 
I’ve used tear drops and gone through antibiotic drops. Didn’t help. Also tried stopping and switching my thyroid medication. Didn’t help. 
How do I stop it? It’s driving me bananas. 🍌 </t>
        </is>
      </c>
      <c r="D46" t="n">
        <v>1</v>
      </c>
      <c r="E46" t="n">
        <v>1</v>
      </c>
      <c r="F46">
        <f>HYPERLINK("https://www.reddit.com/r/eyetriage/comments/ao128p/excessive_tearing_and_mucus_in_corner_of_eye_for/")</f>
        <v/>
      </c>
      <c r="G46" t="inlineStr">
        <is>
          <t>2019-02-06 22:52:29</t>
        </is>
      </c>
      <c r="H46" t="inlineStr"/>
    </row>
    <row r="47">
      <c r="A47" t="inlineStr">
        <is>
          <t>ao1cdd</t>
        </is>
      </c>
      <c r="B47" t="inlineStr">
        <is>
          <t>Eye ache and dull pain occasionally</t>
        </is>
      </c>
      <c r="C47" t="inlineStr">
        <is>
          <t>Hi there, I get pain occasionally maybe every month or so for about a week in my left eye, it’s not excruciating or constant but it does bother me from time to time, I would describe it as an ache more than a sharp pain or anything. I’ve had surgery in that eye about 3-4 months ago (cataract removal) I am only 27 and I know this is unusual so if you reply don’t bother saying it because yes I know lol. I feel like I noticed the pain slightly before, I’ve had MRI and ct scans in the past and I show no lesions but whenever I look it up it suggests optic neuritis which is what they thought I initially had before realising it was a cataract. I’m seeing my surgeon for a follow up in about two weeks because my pressure was slightly high in the operated eye. Any suggestions would help! Thank you</t>
        </is>
      </c>
      <c r="D47" t="n">
        <v>1</v>
      </c>
      <c r="E47" t="n">
        <v>5</v>
      </c>
      <c r="F47">
        <f>HYPERLINK("https://www.reddit.com/r/eyetriage/comments/ao1cdd/eye_ache_and_dull_pain_occasionally/")</f>
        <v/>
      </c>
      <c r="G47" t="inlineStr">
        <is>
          <t>2019-02-06 23:34:31</t>
        </is>
      </c>
      <c r="H47" t="inlineStr"/>
    </row>
    <row r="48">
      <c r="A48" t="inlineStr">
        <is>
          <t>ao3pnv</t>
        </is>
      </c>
      <c r="B48" t="inlineStr">
        <is>
          <t>My eye health has been a bit complex, but now I'm really unsure whats going on.</t>
        </is>
      </c>
      <c r="C48" t="inlineStr">
        <is>
          <t>I'll try to keep this short. I am amblyopic in my left eye and the VA is 6/120. I know that as a 26 year old there isn't much hope in fixing it.
In my right eye I had retinal detachment in December 2016 I had vitrectomy, scleral buckle and cryotherapy. In June 2017 I had it again and they took out the buckle and gave me some laser. No trauma, was put down to family history (Dad had it at 54, I am a 26 year old woman)
Every so often I get flashers that come and go, I go to A&amp;amp;E and they always say my retina is flat and has no tears and sometimes the flashes happen in people who've had surgery.
The flasher I have now has like morphed into my whole vision and everything is blurry and I can hardly read. A&amp;amp;E said all was fine, but my GP booked me in for an MRI. I'm just so worried about losing my sight in my only eye, I don't know if I should go back to A&amp;amp;E and say its gotten worse or if I should just wait for my MRI. Is this just my retina moving about or is this indicative of something more serious?
Thanks for your help in advance I really appreciate it</t>
        </is>
      </c>
      <c r="D48" t="n">
        <v>1</v>
      </c>
      <c r="E48" t="n">
        <v>6</v>
      </c>
      <c r="F48">
        <f>HYPERLINK("https://www.reddit.com/r/eyetriage/comments/ao3pnv/my_eye_health_has_been_a_bit_complex_but_now_im/")</f>
        <v/>
      </c>
      <c r="G48" t="inlineStr">
        <is>
          <t>2019-02-07 05:27:15</t>
        </is>
      </c>
      <c r="H48" t="inlineStr"/>
    </row>
    <row r="49">
      <c r="A49" t="inlineStr">
        <is>
          <t>ao3wol</t>
        </is>
      </c>
      <c r="B49" t="inlineStr">
        <is>
          <t>Child Poked My Eye While It Was Open</t>
        </is>
      </c>
      <c r="C49" t="inlineStr">
        <is>
          <t>I was holding my nephew the other day and he went to give me a high five and completely missed my hand and his fingers poked my right eye.
My eyes were open and he got me really good...almost like an eye gouge with them staying open. 
It hurt for a little bit, then felt better...but a day later my right eyeball is sore and still hurts. The eye itself doesn’t hurt (it doesn’t feel like a scratch or anything) but the eyeball itself is sore. 
My vision is completely normal and nothing has changed...but now I’m wondering if my eyeball pain is normal (like a bruise or something) or if I’m at risk of having any problems. 
I’m worried about having some delayed serious issues...but I assume I’d be having different symptoms than just my sore eyeball. Any insight or feedback on what I should do?</t>
        </is>
      </c>
      <c r="D49" t="n">
        <v>1</v>
      </c>
      <c r="E49" t="n">
        <v>3</v>
      </c>
      <c r="F49">
        <f>HYPERLINK("https://www.reddit.com/r/eyetriage/comments/ao3wol/child_poked_my_eye_while_it_was_open/")</f>
        <v/>
      </c>
      <c r="G49" t="inlineStr">
        <is>
          <t>2019-02-07 05:49:32</t>
        </is>
      </c>
      <c r="H49" t="inlineStr"/>
    </row>
    <row r="50">
      <c r="A50" t="inlineStr">
        <is>
          <t>ao47t9</t>
        </is>
      </c>
      <c r="B50" t="inlineStr">
        <is>
          <t>Do I have severe digital eye strain? Please help!</t>
        </is>
      </c>
      <c r="C50" t="inlineStr">
        <is>
          <t xml:space="preserve">I'm writting this because I'm in a pretty desperate situation and it's starting to look like Reddit is my last hope. Basically I've had a computer ever since I was a kid(I'm now 26) and never had any eye related problems before(other than having to get glasses), no matter how much time I spent in front of it. So it all started around 3 months ago on this particular day when I spent almost the whole day being in front of the computer. I did take short breaks every now and then though. Not sure exactly how many hours had passed(I'm guessing around 12?) when all of the sudden I felt this strong stinging pain and I'm not sure if I felt it in both of my eyes or just in the left one. I'm pretty sure this was caused by the fact that sometimes I forget to blink as much as I should. I looked in the mirror and my eyes look pretty red and tired so I turned off my computer and went to sleep.
Ever since that day, I can no longer sit in front of the computer for long periods of time like I used to even though I'm always forcing myself to blink more. In fact, I can only do 1 hour computer sessions at a time before I feel like I need to take a long break from it (also around 1 hour), anything longer than 1 hour in front of the computer screen and my eyes will either get tired, dry or bloodshot. Sometimes I would even feel all of those symptoms at once which is a nightmare to deal with since it's happening every single day since then. Whenever my eyes feel dry and/or tired and I look in the mirror, the surface of my eyes actually looks wet! Which is very confusing and I'm not sure what's happening with my eyes. How could they feel dry if they are actually wet?
When my eyes get bloodshot, I often start to feel stinging pain in the area that is red. If I take my eyes off the computer or TV or sometimes even the phone, all the pain and dryness/tiredness slowly starts to go away during the 1 hour break that I usually take. I also started seeing [eye floaters](https://media.giphy.com/media/mYhIQzPpY17xe/giphy.gif) pretty regularly when I look at something bright like the sky for example, which is worrying me a lot.
I also want to mention that I've always kept a considerable distance between my eyes and the computer screen, about an arm's length or 60 cm which seems to be more than enough from what I've read and I'm always getting at least 8 hours of sleep per night so I can’t tell what the problem is.
**What I've tried so far**:
**1**) Visited an expensive eye doctor that prescribed me some regular eyedrops called Augen Tropfen. Used them for a month but didn't do much for me.
**2**) Visited another expensive eye doctor that prescribed me Thealoz duo eyedrops along with Artelac Nighttime Gel. Still taking them to this day but I feel little to no improvement.There are times when I feel like the eyedrops help a little but to be honest most of the time I feel like they don’t do much.
**3**) I've set the contrast and brightness of my monitor to 0. As low as it gets. My eyes still feel the same symptoms after each 1 hour computer session (more or less). If I were to set the contrast and brightness values back to what they were before I would last less time in front of the computer. Around 30 mins.
**4**) Tried staring at the monitor with my glasses. No difference. (And yes the prescription for my glasses is correct as it was confirmed by both doctors but I do not wear them at the computer anyway since I’m nearsighted and see perfectly fine at a short distance).
**5**) Bought a pair of special computer glasses called Gunnar that are supposed to block the harmful blue light. No difference.
**6**) Tried installing a program called f.lux that's also supposed to block the harmful blue light. No difference.
**7**) Took a 2 week long break from the computer. As soon as I started using it again all the symptoms came back.
This is a very annoying situation to be in and I can't even go to work because of it. I'm feeling pretty hopeless so any advice coming from any of you will be greatly appreciated.
</t>
        </is>
      </c>
      <c r="D50" t="n">
        <v>1</v>
      </c>
      <c r="E50" t="n">
        <v>11</v>
      </c>
      <c r="F50">
        <f>HYPERLINK("https://www.reddit.com/r/eyetriage/comments/ao47t9/do_i_have_severe_digital_eye_strain_please_help/")</f>
        <v/>
      </c>
      <c r="G50" t="inlineStr">
        <is>
          <t>2019-02-07 06:23:06</t>
        </is>
      </c>
      <c r="H50" t="inlineStr"/>
    </row>
    <row r="51">
      <c r="A51" t="inlineStr">
        <is>
          <t>ao63xt</t>
        </is>
      </c>
      <c r="B51" t="inlineStr">
        <is>
          <t>Sticky: Try artificial tears first</t>
        </is>
      </c>
      <c r="C51" t="inlineStr">
        <is>
          <t xml:space="preserve">An amazing majority of non-serious eye issues can be resolved by using artificial tears. Some pointers:
1) the brand does not matter
2) the contents do; do NOT get anything that says it is for “redness relief” or has an “astringent” in it. Just get “ocular lubricants” only. There are some combination products that have both. Don’t use those either.
3) some are thicker than others. Eyedrops are liquid. Gel drops feel thicker. Ointments are the thickest. Your vision may get temporarily blurry with the thicker stuff, ointment in particular.
4) you can take them a few times a day. If using a bottle, take them up to 4 times a day. If using more often than that, then use non-preserved formulations (the vials with the twist-off cap). 
</t>
        </is>
      </c>
      <c r="D51" t="n">
        <v>1</v>
      </c>
      <c r="E51" t="n">
        <v>0</v>
      </c>
      <c r="F51">
        <f>HYPERLINK("https://www.reddit.com/r/eyetriage/comments/ao63xt/sticky_try_artificial_tears_first/")</f>
        <v/>
      </c>
      <c r="G51" t="inlineStr">
        <is>
          <t>2019-02-07 09:25:51</t>
        </is>
      </c>
      <c r="H51" t="inlineStr"/>
    </row>
    <row r="52">
      <c r="A52" t="inlineStr">
        <is>
          <t>aoh50u</t>
        </is>
      </c>
      <c r="B52" t="inlineStr">
        <is>
          <t>Left eye randomly blurry</t>
        </is>
      </c>
      <c r="C52" t="inlineStr">
        <is>
          <t xml:space="preserve">It happened about 4 days ago and my symptoms include: left eye blurry/out of focus. 
If I close it it appears to have lighting behind my left eye, I went to an Americas best to have an eye exam and he said both my eyes looked fine but the problem persists and it's very disorienting. 
It's almost as if my eyes are having trouble syncing as well. 
Please help. </t>
        </is>
      </c>
      <c r="D52" t="n">
        <v>1</v>
      </c>
      <c r="E52" t="n">
        <v>8</v>
      </c>
      <c r="F52">
        <f>HYPERLINK("https://www.reddit.com/r/eyetriage/comments/aoh50u/left_eye_randomly_blurry/")</f>
        <v/>
      </c>
      <c r="G52" t="inlineStr">
        <is>
          <t>2019-02-08 06:42:20</t>
        </is>
      </c>
      <c r="H52" t="inlineStr"/>
    </row>
    <row r="53">
      <c r="A53" t="inlineStr">
        <is>
          <t>aonyif</t>
        </is>
      </c>
      <c r="B53" t="inlineStr">
        <is>
          <t>Questions about 'Haze' and what I am dealing with after seeing optometrist</t>
        </is>
      </c>
      <c r="C53" t="inlineStr">
        <is>
          <t>About 6 weeks ago, I noticed that my vision seemed to be off for about 5 days and started having a little pain.  Things were looking blurry and I got nervous and called my Optometrist who also specializes in Occular Disease.
She told me that the good news was that I was not loosing my eye sight but my eye seemingly has suffered some Trauma to the eye.  I said nothing new, just wearing my glasses and nothing physical has happened.  She put me on a steroid / antibiotic drops.  I came back a few days later and then the doctor told me there was some improvement but not great.  She told me to then switch to a pure steroid drop 4 times a day.  Two weeks went by and there was no real improvement.  She has mentioned there was 'Haze' on my eye.  She drew on a diagram on her computer white splotches around a quarter of my right eye's iris.  A couple days ago she said to switch to two drops a day and I am to come back in 3 weeks.  I cannot read any line on the eye exam chart that the technician showed me with the right eye, with no eyes covered I can read all the lines.
Just looking for advice on how to proceed because I do stare at computer screen most of the day and it is quite bothersome and frustrating to try to read as my left eye seems to tire out.  I assume my left eye is compensating for my right.  I am just under 40 yrs old.
Thanks for all help!!!</t>
        </is>
      </c>
      <c r="D53" t="n">
        <v>1</v>
      </c>
      <c r="E53" t="n">
        <v>1</v>
      </c>
      <c r="F53">
        <f>HYPERLINK("https://www.reddit.com/r/eyetriage/comments/aonyif/questions_about_haze_and_what_i_am_dealing_with/")</f>
        <v/>
      </c>
      <c r="G53" t="inlineStr">
        <is>
          <t>2019-02-08 18:15:48</t>
        </is>
      </c>
      <c r="H53" t="inlineStr"/>
    </row>
    <row r="54">
      <c r="A54" t="inlineStr">
        <is>
          <t>aoo8yd</t>
        </is>
      </c>
      <c r="B54" t="inlineStr">
        <is>
          <t>Sudden damage to my right eye, is it permanent?</t>
        </is>
      </c>
      <c r="C54" t="inlineStr">
        <is>
          <t>TLDR at bottom.
Hey y'all. Last Monday morning I was folding up boxes and somehow, and I don't even know how I can be so clumsy, I poked my right eye with it. I went to the doctor, then to an eye doctor who told me that there was a tear in my cornea, I believe it's called.
Now all fine and good, I just took some eye drops that would kill any unwanted lifeforms trying to live in my tear, slept a lot and lived like a bat. Then I do another checkup, the tear has healed up and we did a quick eye test.
The eye test went horribly, I've lived my whole life with near perfect sight so it came as a shock that I couldn't read anything on the monitor with my right eye, then I did one of those machines that measures my far/nearsightedness and astigmatism and spits out some numbers, pretty cool machine.
Here's some data: https://i.imgur.com/IeZlZ0E.jpg
But the question is, because I'm a very skeptical person. The doctor told me to give it a month because more often than not the eye will correct itself, I just think he told me that to make me feel better because I was obviously very upset with myself.
Does the eye really correct itself? Or should I just give up and get some glasses.
TLDR: Poked my eye, some damage in cornea, eyesight is bad in that eye, does it fix itself?</t>
        </is>
      </c>
      <c r="D54" t="n">
        <v>1</v>
      </c>
      <c r="E54" t="n">
        <v>6</v>
      </c>
      <c r="F54">
        <f>HYPERLINK("https://www.reddit.com/r/eyetriage/comments/aoo8yd/sudden_damage_to_my_right_eye_is_it_permanent/")</f>
        <v/>
      </c>
      <c r="G54" t="inlineStr">
        <is>
          <t>2019-02-08 18:53:06</t>
        </is>
      </c>
      <c r="H54" t="inlineStr"/>
    </row>
    <row r="55">
      <c r="A55" t="inlineStr">
        <is>
          <t>aooouh</t>
        </is>
      </c>
      <c r="B55" t="inlineStr">
        <is>
          <t>Recently diagnosed with needing reading glasses</t>
        </is>
      </c>
      <c r="C55" t="inlineStr">
        <is>
          <t>I don't think I really need to use them yet as I can read small text in front of me. On the chart, I was able to read the last line. Will wearing them sooner, may my eyes get worse faster? This is for reading glasses, not distance glasses. I know glasses help with distance.</t>
        </is>
      </c>
      <c r="D55" t="n">
        <v>1</v>
      </c>
      <c r="E55" t="n">
        <v>3</v>
      </c>
      <c r="F55">
        <f>HYPERLINK("https://www.reddit.com/r/eyetriage/comments/aooouh/recently_diagnosed_with_needing_reading_glasses/")</f>
        <v/>
      </c>
      <c r="G55" t="inlineStr">
        <is>
          <t>2019-02-08 19:50:00</t>
        </is>
      </c>
      <c r="H55" t="inlineStr"/>
    </row>
    <row r="56">
      <c r="A56" t="inlineStr">
        <is>
          <t>aor3sd</t>
        </is>
      </c>
      <c r="B56" t="inlineStr">
        <is>
          <t>Halos for glaucoma suspect?</t>
        </is>
      </c>
      <c r="C56" t="inlineStr">
        <is>
          <t xml:space="preserve">So since the past month I've been seeing halos around bright lights in my left eye, especially at night, (headlights street lamps etc.) been to a glaucoma specialist he said I have higher than normal cupping in my left eye 0.71, but fundus and visual fields all look fine so I'm just a suspect for now, the problem is the Halos really bother me, I have noticed that when I wash my face and there is water in the eye the halos go away for the 10-15 secs the water manages to stay in the eye, once I blink a couple of times, the water goes out and the halos start again, I have been prescribed sodium hylauronate drops, but they don't seem to work, I mean the halos get better for 5 mins then just come back. Anything the docs could be missing??? I'm a 26 year old male, and this is kinda freaking me out. </t>
        </is>
      </c>
      <c r="D56" t="n">
        <v>1</v>
      </c>
      <c r="E56" t="n">
        <v>1</v>
      </c>
      <c r="F56">
        <f>HYPERLINK("https://www.reddit.com/r/eyetriage/comments/aor3sd/halos_for_glaucoma_suspect/")</f>
        <v/>
      </c>
      <c r="G56" t="inlineStr">
        <is>
          <t>2019-02-09 02:11:56</t>
        </is>
      </c>
      <c r="H56" t="inlineStr"/>
    </row>
    <row r="57">
      <c r="A57" t="inlineStr">
        <is>
          <t>aoto02</t>
        </is>
      </c>
      <c r="B57" t="inlineStr">
        <is>
          <t>Is a cat scratch to the eyelid dangers?</t>
        </is>
      </c>
      <c r="C57" t="inlineStr">
        <is>
          <t>I do not know if I am allowed to ask for help in this way but I am pretty distressed at the moment.
I do not have immediate access to health help but there is a small problem.
I live with a cat and had been scratched right at the end of the eyelid crease. The cut isn't deep but it did bleed just a bit and it is very small and not noticeable. I had washed it with water but I am deathly afraid of vision loss and infections. Is this a cause for concern or am I overreacting? Thank you so much for your help!</t>
        </is>
      </c>
      <c r="D57" t="n">
        <v>1</v>
      </c>
      <c r="E57" t="n">
        <v>2</v>
      </c>
      <c r="F57">
        <f>HYPERLINK("https://www.reddit.com/r/eyetriage/comments/aoto02/is_a_cat_scratch_to_the_eyelid_dangers/")</f>
        <v/>
      </c>
      <c r="G57" t="inlineStr">
        <is>
          <t>2019-02-09 08:14:10</t>
        </is>
      </c>
      <c r="H57" t="inlineStr"/>
    </row>
    <row r="58">
      <c r="A58" t="inlineStr">
        <is>
          <t>aov4bu</t>
        </is>
      </c>
      <c r="B58" t="inlineStr">
        <is>
          <t>Worsening light sensitivity after retina surgery</t>
        </is>
      </c>
      <c r="C58" t="inlineStr">
        <is>
          <t>Hi all, 28/F. Hope this is the right place to ask, but please let me know if not!
Since 2014, I’ve had four retinal procedures to fix tears, and in April 2017, I had laser surgery to repair a retinal detachment. All procedures were in the left eye.
My ophthalmologist told me some light sensitivity may be normal. Over the past two years, though, I feel that it’s gotten increasingly worse. For example, it’s a cloudy day here, but I still need to wear sunglasses in my home to comfortably read a book.
I have a checkup in a couple months, but I can’t get into my doctor before then unless it’s an emergency, and I don’t think this is. However, I’m a bit paranoid considering that when my retina detached, I had no symptoms. I just happened to be meeting my new retinal surgeon for the first time to get a second opinion, and during the exam, he informed me my retina was detaching and took me back for the procedure 10 minutes later.
So really, I guess I’m just looking for opinions about whether this is something that’s just par for the course after multiple retinal surgeries and if there’s anything that can be done about it in the meantime. My job is 100 percent done on a computer, so the light sensitivity is inconvenient as well as uncomfortable.
Other possibly relevant info: astigmatism in both eyes, myopia in both eyes (quite a bit more so in left eye), night vision is so poor that I’m no longer allowed to drive after dark.
Thanks in advance!</t>
        </is>
      </c>
      <c r="D58" t="n">
        <v>1</v>
      </c>
      <c r="E58" t="n">
        <v>0</v>
      </c>
      <c r="F58">
        <f>HYPERLINK("https://www.reddit.com/r/eyetriage/comments/aov4bu/worsening_light_sensitivity_after_retina_surgery/")</f>
        <v/>
      </c>
      <c r="G58" t="inlineStr">
        <is>
          <t>2019-02-09 10:38:41</t>
        </is>
      </c>
      <c r="H58" t="inlineStr"/>
    </row>
    <row r="59">
      <c r="A59" t="inlineStr">
        <is>
          <t>aoyfy9</t>
        </is>
      </c>
      <c r="B59" t="inlineStr">
        <is>
          <t>Why is there pain in/behind/around my eye if my eye is perfectly healthy?</t>
        </is>
      </c>
      <c r="C59" t="inlineStr">
        <is>
          <t>This all starts about a month ago. A friend shined a little toy laser gun light in my eyes and I freaked out. Right eye. Felt like I was getting dizzy/had eye pain leading to constant headaches/something just felt off/zoning out. The pain/discomfort isnt constant but it happens all day. It feels like theres constant pressure there. Seems to be when i move my eye sometimes or blink, but not always. Maybe some (especially night time) light sensitivity. I also feel like my neck is kind of tense on the right side as well. So i went to the ophthalmologist because it was time for my yearly glasses/eye exam anyway. 
The ophthalmologist told me its really unlikely that a toy gun laser could have damaged my eye and that my retina, eyelid, everything looks perfectly fine and there's no swelling or inflammation or any indication anything is wrong and that its probably just psychosomatic. My eye blood pressure is perfectly fine too.
So a week or two passes and my eye still fucking hurts and im getting headaches all the time. I went back to the ophthalmologist and again, same thing, everything is perfectly fine and to just not dwell on it. Told me to wet my eyes 3 times a day with drops and take ibuprofen as needed. The ibuprofen clears up my headache but i can still feel the discomfort/pain in my eye.
A couple weeks after that, I still have eye pain but its not as bad and I dont seem to be getting dizzy as often or zoning out as much. I go to my primary care doctor and he told me if the ophthalmologist told me everything is fine it may be tension headaches and to take muscle relaxers for a week. You could sort of tell he thought I was nuts, though. He told me to come back in a couple weeks if I'm still not better.
So Ive done that and while I guess the pain isnt quite as bad as it was and I dont have as bad (or at all) headaches by the end of the day, it still is in pain and it just doesnt feel right. I may be imagining things but I do feel like its not as bad when my glasses are off. My glasses are 2-3 years old at this point and my prescription has changed but not a lot and the ophthalmologist told me that its unlikely an old prescription would cause what im experiencing.
So what now? Just make another appointment with my PCP? New ophthalmologist? I feel like I'm going fucking crazy! I just cant figure it out. Nothing is outwardly wrong with my eyes but damnit if I'm not in constant discomfort. I'm also kind of scared because my left eye seems to be acting up now. I know this all seems silly and that it probably has nothing to do with a cheap made in china laser gun but i dunno. I feel like everyone just thinks im making things up and its so frustrating. THANKS for reading.</t>
        </is>
      </c>
      <c r="D59" t="n">
        <v>1</v>
      </c>
      <c r="E59" t="n">
        <v>20</v>
      </c>
      <c r="F59">
        <f>HYPERLINK("https://www.reddit.com/r/eyetriage/comments/aoyfy9/why_is_there_pain_inbehindaround_my_eye_if_my_eye/")</f>
        <v/>
      </c>
      <c r="G59" t="inlineStr">
        <is>
          <t>2019-02-09 16:01:09</t>
        </is>
      </c>
      <c r="H59" t="inlineStr"/>
    </row>
    <row r="60">
      <c r="A60" t="inlineStr">
        <is>
          <t>aoz9ro</t>
        </is>
      </c>
      <c r="B60" t="inlineStr">
        <is>
          <t>What cause glitching vision? Any advice please it would help a lot</t>
        </is>
      </c>
      <c r="C60" t="inlineStr">
        <is>
          <t xml:space="preserve">What causes glitching vision? Is it just a phenomenon or a serious issue ? I’ve been to numerous specialists they look at me like I’m crazy. Please help </t>
        </is>
      </c>
      <c r="D60" t="n">
        <v>1</v>
      </c>
      <c r="E60" t="n">
        <v>11</v>
      </c>
      <c r="F60">
        <f>HYPERLINK("https://www.reddit.com/r/eyetriage/comments/aoz9ro/what_cause_glitching_vision_any_advice_please_it/")</f>
        <v/>
      </c>
      <c r="G60" t="inlineStr">
        <is>
          <t>2019-02-09 17:34:29</t>
        </is>
      </c>
      <c r="H60" t="inlineStr"/>
    </row>
    <row r="61">
      <c r="A61" t="inlineStr">
        <is>
          <t>ap0yet</t>
        </is>
      </c>
      <c r="B61" t="inlineStr">
        <is>
          <t>Distortion on left eye, Not present with old / no glasses at all. Same lenses measurements.</t>
        </is>
      </c>
      <c r="C61" t="inlineStr">
        <is>
          <t>[Imgur](https://i.imgur.com/lcxFVX1.png)
I bought a new pair of glasses since my old ones were about 5 years old and I needed to correct vision a little more. I had new measurements done, got the pair, had the issue as in the picture ^, consulted in the same clinic again, they said they don't see any issues but offered me to replace the lenses to be the same measurements as in my old pair. Did that, the issue is still present. Tried verifying in several diferent clinics, all said that effectively they're the same but the only difference between them is distance between eye centers. 60mm on old pair and 65mm on new. I'm only using glasses with monitors / tv / phone / tablet, daily but not 24/7 - I've got only minor vision defect thus have no need to wear them all the time. Have astigmatism though.
Is my only option laser eye correction? What can I do with this effect?
I had trouble getting used to old pair of glasses too back in the day, my eyes did hurt.</t>
        </is>
      </c>
      <c r="D61" t="n">
        <v>1</v>
      </c>
      <c r="E61" t="n">
        <v>1</v>
      </c>
      <c r="F61">
        <f>HYPERLINK("https://www.reddit.com/r/eyetriage/comments/ap0yet/distortion_on_left_eye_not_present_with_old_no/")</f>
        <v/>
      </c>
      <c r="G61" t="inlineStr">
        <is>
          <t>2019-02-09 21:06:46</t>
        </is>
      </c>
      <c r="H61" t="inlineStr"/>
    </row>
    <row r="62">
      <c r="A62" t="inlineStr">
        <is>
          <t>ap4vm6</t>
        </is>
      </c>
      <c r="B62" t="inlineStr">
        <is>
          <t>Is there less distortion if the eye glasses is more curved looking top down (from the top view)</t>
        </is>
      </c>
      <c r="C62" t="inlineStr">
        <is>
          <t>Is there less barreling I believe it's called, or distortion if there's less curve from left to right, when looking above at the top view?</t>
        </is>
      </c>
      <c r="D62" t="n">
        <v>1</v>
      </c>
      <c r="E62" t="n">
        <v>1</v>
      </c>
      <c r="F62">
        <f>HYPERLINK("https://www.reddit.com/r/eyetriage/comments/ap4vm6/is_there_less_distortion_if_the_eye_glasses_is/")</f>
        <v/>
      </c>
      <c r="G62" t="inlineStr">
        <is>
          <t>2019-02-10 07:31:00</t>
        </is>
      </c>
      <c r="H62" t="inlineStr"/>
    </row>
    <row r="63">
      <c r="A63" t="inlineStr">
        <is>
          <t>ap4xsm</t>
        </is>
      </c>
      <c r="B63" t="inlineStr">
        <is>
          <t>Corneal scratch question</t>
        </is>
      </c>
      <c r="C63" t="inlineStr">
        <is>
          <t>Hello - hopefully this question is ok for this sub! Anyway, about 5 years ago I got what my doctor said was a small corneal scratch on my left eye and he gave me some antibiotic lubricant. The doctor told me it would heal but could hurt for a while. It healed fine. In extremely cold/dry weather I get HORRIBLE pain in my eye that feels like tiny stabbing needles. It tears up, swells, I can't see, and it makes it hard to see out of the other eye as well. It seems to always happen when I wake up in the morning.
Is there a way to ease this from happening and help symptoms? Currently I use a humidifier at night, lubricant in my eyes before bed, and a warm pad on my eyes. Thanks for any help.</t>
        </is>
      </c>
      <c r="D63" t="n">
        <v>1</v>
      </c>
      <c r="E63" t="n">
        <v>5</v>
      </c>
      <c r="F63">
        <f>HYPERLINK("https://www.reddit.com/r/eyetriage/comments/ap4xsm/corneal_scratch_question/")</f>
        <v/>
      </c>
      <c r="G63" t="inlineStr">
        <is>
          <t>2019-02-10 07:37:09</t>
        </is>
      </c>
      <c r="H63" t="inlineStr"/>
    </row>
    <row r="64">
      <c r="A64" t="inlineStr">
        <is>
          <t>ap7cv6</t>
        </is>
      </c>
      <c r="B64" t="inlineStr">
        <is>
          <t>Upper Eye-lid Swollen</t>
        </is>
      </c>
      <c r="C64" t="inlineStr">
        <is>
          <t>Hi, I don't know how it happened, but 2 days ago my right upper eye-lid swelled up. It's been 48 hours and no improvement. There isn't any bump anywhere, it's slightly reddish closer to the eyelashes, at least from what I can see (my camera also makes it redder than it is, idk if it's just the camera). The only two thing that come to my mind are that I brushed my eye with dirty fingers (which I'm really doubtful about) or an allergy that I've never discovered before.  
All I know is that at first it was slightly painful/uncomfortable feeling, now it's barely noticeable and only has discomfort when I close my eye shut with a bit of pressure on it. Today I decided to do some warm compress with cotton and black tea, then chamomile tea, then I kept a cotton piece infused with chamomile tea on my eye for a bit while resting on bed, but that's about all.  
I don't know what to do and I'm really concerned. I've read many articles online and none of the listed issues correspond to mine, with exception to allergies. I'm almost 100% sure there's nothing happening with my right eye besides this swelling.</t>
        </is>
      </c>
      <c r="D64" t="n">
        <v>1</v>
      </c>
      <c r="E64" t="n">
        <v>0</v>
      </c>
      <c r="F64">
        <f>HYPERLINK("https://www.reddit.com/r/eyetriage/comments/ap7cv6/upper_eyelid_swollen/")</f>
        <v/>
      </c>
      <c r="G64" t="inlineStr">
        <is>
          <t>2019-02-10 11:30:16</t>
        </is>
      </c>
      <c r="H64" t="inlineStr"/>
    </row>
    <row r="65">
      <c r="A65" t="inlineStr">
        <is>
          <t>ap7dp1</t>
        </is>
      </c>
      <c r="B65" t="inlineStr">
        <is>
          <t>It feels like there's a filter between me and the rest of the world.</t>
        </is>
      </c>
      <c r="C65" t="inlineStr">
        <is>
          <t xml:space="preserve">I can see OK, nothing is blurry or doubled, but there's almost a haziness in my vision... like I'm looking through a foggy window. It's like I can't see in HD anymore. Would I benefit from seeing an eye doctor versus a general practitioner? Trying to figure out which one to see first. </t>
        </is>
      </c>
      <c r="D65" t="n">
        <v>1</v>
      </c>
      <c r="E65" t="n">
        <v>2</v>
      </c>
      <c r="F65">
        <f>HYPERLINK("https://www.reddit.com/r/eyetriage/comments/ap7dp1/it_feels_like_theres_a_filter_between_me_and_the/")</f>
        <v/>
      </c>
      <c r="G65" t="inlineStr">
        <is>
          <t>2019-02-10 11:32:25</t>
        </is>
      </c>
      <c r="H65" t="inlineStr"/>
    </row>
    <row r="66">
      <c r="A66" t="inlineStr">
        <is>
          <t>apdkla</t>
        </is>
      </c>
      <c r="B66" t="inlineStr">
        <is>
          <t>Eye pain and sensitivity to light.</t>
        </is>
      </c>
      <c r="C66" t="inlineStr">
        <is>
          <t xml:space="preserve">Due to suffering from major depression (after a death in the family) and obessive compulsive behaviours, I severely overused my eyes, reading books on my phone for 12 hours a day along with playing video games obsessively for the period of over a month (12-14 hours a day), without being able to control my behaviour. 
I am suffering from fatigued eyes, sensitivity to light, and mild eye pain. 
After taking antidepressants I have been able to control this behavior. Looking for some tips, warm compression has helped tremendously. For reading I have switched permanently to the Kindle. 
Thank you very much. </t>
        </is>
      </c>
      <c r="D66" t="n">
        <v>1</v>
      </c>
      <c r="E66" t="n">
        <v>2</v>
      </c>
      <c r="F66">
        <f>HYPERLINK("https://www.reddit.com/r/eyetriage/comments/apdkla/eye_pain_and_sensitivity_to_light/")</f>
        <v/>
      </c>
      <c r="G66" t="inlineStr">
        <is>
          <t>2019-02-10 22:43:43</t>
        </is>
      </c>
      <c r="H66" t="inlineStr"/>
    </row>
    <row r="67">
      <c r="A67" t="inlineStr">
        <is>
          <t>aph8hr</t>
        </is>
      </c>
      <c r="B67" t="inlineStr">
        <is>
          <t>Accidentally used expired eye drops. How bad? Should I see a doctor?</t>
        </is>
      </c>
      <c r="C67" t="inlineStr">
        <is>
          <t>My eye feels fine, but I realized the eye drops I used last night in one eye were expired. Is this a major issue if I'm feeling fine now? I feel like such an idiot I forgot to check the date!!</t>
        </is>
      </c>
      <c r="D67" t="n">
        <v>1</v>
      </c>
      <c r="E67" t="n">
        <v>4</v>
      </c>
      <c r="F67">
        <f>HYPERLINK("https://www.reddit.com/r/eyetriage/comments/aph8hr/accidentally_used_expired_eye_drops_how_bad/")</f>
        <v/>
      </c>
      <c r="G67" t="inlineStr">
        <is>
          <t>2019-02-11 07:18:46</t>
        </is>
      </c>
      <c r="H67" t="inlineStr"/>
    </row>
    <row r="68">
      <c r="A68" t="inlineStr">
        <is>
          <t>apj6wl</t>
        </is>
      </c>
      <c r="B68" t="inlineStr">
        <is>
          <t>Both eyes are constantly seeing red and have a static effect</t>
        </is>
      </c>
      <c r="C68" t="inlineStr">
        <is>
          <t xml:space="preserve">I've been having an issue with my eyes for over a year where I keep seeing red when the color should be dark or black.  For example, when I wake up in the morning everything is all red when it used to be dim/black in the past.  The condition has gotten worse over the past couple of months.  Is this a problem with the cones or rods in the retinal? When I close my eyes I see these red swirls everywhere. I have night blindness at night. I also see this static effect on a white surface during the day and it's more noticeable on computer screens.
I've seen multiple ophthalmologists about this issue, and they've done the eye-dilation test, and other doctors did an optical coherence tomography and a fundus autofluorescence test, but they keep telling me they're all negative. I ask my latest retinal doctor if there is any other test I could have done and he told me no.
I've noticed that these symptoms started after using a pair of solar eclipse glasses in 2017 that caused me pain hours after using them, and I noticed I had night blindness after using them. But the eye doctors claimed that since they saw no retinal damage from their tests that my current eye issues weren't related the eclipse glasses. Even though I never used to have any eye problems before I used those eclipse glasses.
I've read online there is a test called an "electroretinogram." Would this test show any changes to the rods or cones of my eye? Or is there another test I should look for? I'm trying to get some answers as to why eyes seem to be getting worse, but for some reason all the previous tests that the eye doctors have done are always negative.
</t>
        </is>
      </c>
      <c r="D68" t="n">
        <v>1</v>
      </c>
      <c r="E68" t="n">
        <v>1</v>
      </c>
      <c r="F68">
        <f>HYPERLINK("https://www.reddit.com/r/eyetriage/comments/apj6wl/both_eyes_are_constantly_seeing_red_and_have_a/")</f>
        <v/>
      </c>
      <c r="G68" t="inlineStr">
        <is>
          <t>2019-02-11 10:21:58</t>
        </is>
      </c>
      <c r="H68" t="inlineStr"/>
    </row>
    <row r="69">
      <c r="A69" t="inlineStr">
        <is>
          <t>apjddq</t>
        </is>
      </c>
      <c r="B69" t="inlineStr">
        <is>
          <t>Is it bad to get your pupils dilated too many times in a short time period?</t>
        </is>
      </c>
      <c r="C69" t="inlineStr">
        <is>
          <t>I've had to go to the ophthalmologist a couple times in the last month or two and now I need to go to the optometrist for contacts. Can I go ahead and make an appointment or should I wait? Thanks.</t>
        </is>
      </c>
      <c r="D69" t="n">
        <v>1</v>
      </c>
      <c r="E69" t="n">
        <v>1</v>
      </c>
      <c r="F69">
        <f>HYPERLINK("https://www.reddit.com/r/eyetriage/comments/apjddq/is_it_bad_to_get_your_pupils_dilated_too_many/")</f>
        <v/>
      </c>
      <c r="G69" t="inlineStr">
        <is>
          <t>2019-02-11 10:38:18</t>
        </is>
      </c>
      <c r="H69" t="inlineStr"/>
    </row>
    <row r="70">
      <c r="A70" t="inlineStr">
        <is>
          <t>aplsfk</t>
        </is>
      </c>
      <c r="B70" t="inlineStr">
        <is>
          <t>How to turn my eyes brown?</t>
        </is>
      </c>
      <c r="C70" t="inlineStr">
        <is>
          <t xml:space="preserve">Apologies if this is not the right sub for this, please let me know where is, if that's the case!   
I have light blue-grey eyes that for a lack of a better word, I really, really hate. For personal reasons, I've hated my eye color since I was a child. It doesn't help that my eyes are unusually large and I get a lot of comments on them, even when I wear glasses (am nearsighted). My whole life I've been jealous of my mother and brothers' hazel eyes. I often wear sunglasses when I don't need to, and when I can I wear colored brown contacts. Unfortunately my eyes tend to be sensitive and I often have a lot of trouble and pain from wearing contacts. I heard about a surgery that can change eye color, but unfortunately it seems to only work for lightening the eyes, not darkening.  
However, I've recently heard that there is a drug Lumigan that is used to treat glaucoma, that has the side effect of darkening the iris. There is a lot more information about Latisse which from what I've read is a weaker version and a lot of sources say it only rarely darkens the eye, and it's supposed to be reassuring. I don't care about eyelash growth, I just really, really want to have eyes that aren't blue. Would it be possible to use Lumigan to intentionally change my eye color? I currently use normal saline eye drops for dry eye, would that be incompatible? Would it worsen my mild photosensitivity? 
&amp;amp;#x200B;
Is there any other way I could change eye color that I should know about? Even if it wasn't possible to turn them brown like I want, is it possible to make them more grey than blue, or more greenish, or more of a middling color? Thank you :) </t>
        </is>
      </c>
      <c r="D70" t="n">
        <v>1</v>
      </c>
      <c r="E70" t="n">
        <v>8</v>
      </c>
      <c r="F70">
        <f>HYPERLINK("https://www.reddit.com/r/eyetriage/comments/aplsfk/how_to_turn_my_eyes_brown/")</f>
        <v/>
      </c>
      <c r="G70" t="inlineStr">
        <is>
          <t>2019-02-11 14:15:48</t>
        </is>
      </c>
      <c r="H70" t="inlineStr"/>
    </row>
    <row r="71">
      <c r="A71" t="inlineStr">
        <is>
          <t>apukry</t>
        </is>
      </c>
      <c r="B71" t="inlineStr">
        <is>
          <t>Repeated vision loss since age 14</t>
        </is>
      </c>
      <c r="C71" t="inlineStr">
        <is>
          <t>Background: male/23 years old. When I was 14 years old I had something that I believe was an ischaemic problem and I lost vision on my right eye for hours, and the blindness slowly went away over a couple weeks (I think a small blind spot is still there but my brain ignores it). My right eye vision is now slightly more blurry and colors appear less vibrant... It used to be my dominant eye but it switched to me left now. The opthalmologist said he has only seen it happen in people 50+ years old. There was a blood clot in the back of my eye where a small artery burst.
Current problem: Since about that age or some years after, I have been getting identical blind spots in both eyes around the center of my vision when I do cardio workouts, drink too much water, drink caffeine, or go to high altitudes (every time I'm on a plane or on a mountain). I also get a tight feeling behind my eyes or maybe in the front of my head. I assume it has something to do with lack of blood flow.
I have said these things to the  optometrist when  I get them checked but he always says everything looks normal. This seems like a different problem than the thing I had when I was 14 because it affects both eyes identically, and is only mild (by the way, it is the exact same pattern every time, and is the "colorful paint" type of blind spots).
Does anyone know what this is, or is it just a common thing? I have told many people about this and no one else has ever experienced it.</t>
        </is>
      </c>
      <c r="D71" t="n">
        <v>1</v>
      </c>
      <c r="E71" t="n">
        <v>2</v>
      </c>
      <c r="F71">
        <f>HYPERLINK("https://www.reddit.com/r/eyetriage/comments/apukry/repeated_vision_loss_since_age_14/")</f>
        <v/>
      </c>
      <c r="G71" t="inlineStr">
        <is>
          <t>2019-02-12 07:41:25</t>
        </is>
      </c>
      <c r="H71" t="inlineStr"/>
    </row>
    <row r="72">
      <c r="A72" t="inlineStr">
        <is>
          <t>apun5v</t>
        </is>
      </c>
      <c r="B72" t="inlineStr">
        <is>
          <t>Routine eye exam dilation or 210-degree ocular scan required?</t>
        </is>
      </c>
      <c r="C72" t="inlineStr">
        <is>
          <t>I moved to a new town last year and went to see an ophthalmologist. I was told I needed the ocular scan at my first visit and it was not covered by insurance so I paid for that out of pocket. No issues. My insurance stated it wasn't covered when done instead of dilation and dilation wasn't necessary unless I had symptoms, history of or current certain diseases or fell into a specific age and/or ethnic class.  
This year I went back and was told I had to have this again. I explained I didn't want this and was told I must have my eyes dilated then. I would not be seen without doing one of these two. I left as she told me that the dilation would be covered by insurance but my vision would be blurry for 4-6 hours and I wouldn't be able to work on the computer. This was a front desk staffer and not a tech or the Doctor.
I go to the eye doctor every year and have only had my eyes dilated once before when I was 15 after having some blurry vision. I do wear glasses - diagnosed at 27 with astigmatism. I am 36 and not having any problems, no diabetes or history of diseases, etc. Should I get this done/expect to get this done yearly?</t>
        </is>
      </c>
      <c r="D72" t="n">
        <v>1</v>
      </c>
      <c r="E72" t="n">
        <v>8</v>
      </c>
      <c r="F72">
        <f>HYPERLINK("https://www.reddit.com/r/eyetriage/comments/apun5v/routine_eye_exam_dilation_or_210degree_ocular/")</f>
        <v/>
      </c>
      <c r="G72" t="inlineStr">
        <is>
          <t>2019-02-12 07:47:40</t>
        </is>
      </c>
      <c r="H72" t="inlineStr"/>
    </row>
    <row r="73">
      <c r="A73" t="inlineStr">
        <is>
          <t>apx79p</t>
        </is>
      </c>
      <c r="B73" t="inlineStr">
        <is>
          <t>Medical Centers That Offer Xen Treatment?</t>
        </is>
      </c>
      <c r="C73" t="inlineStr">
        <is>
          <t>Does anyone have a link/map of the medical centers in the world that offer the [Xen](http://eyewiki.aao.org/Xen_Glaucoma_Treatment_System) treatment?
I'll deeply appreciate it.</t>
        </is>
      </c>
      <c r="D73" t="n">
        <v>1</v>
      </c>
      <c r="E73" t="n">
        <v>5</v>
      </c>
      <c r="F73">
        <f>HYPERLINK("https://www.reddit.com/r/eyetriage/comments/apx79p/medical_centers_that_offer_xen_treatment/")</f>
        <v/>
      </c>
      <c r="G73" t="inlineStr">
        <is>
          <t>2019-02-12 11:32:15</t>
        </is>
      </c>
      <c r="H73" t="inlineStr"/>
    </row>
    <row r="74">
      <c r="A74" t="inlineStr">
        <is>
          <t>aq8x76</t>
        </is>
      </c>
      <c r="B74" t="inlineStr">
        <is>
          <t>Loss of Vision after Bacterial Conjunctivitis</t>
        </is>
      </c>
      <c r="C74" t="inlineStr">
        <is>
          <t>I'm really really worried. My eyesight suddenly went down hill in my teens. No biggie got some glasses for seeing far. It slowly got worse and I finally got another pair after 7 years. 
But I was sick as a dog last November. Compromised immune system kind of crap. Started with bacterial conjunctivitis in one eye that spread to the other. That led to a sinus infection. Then I got a cold sore at the same time that spread from my lip, on to my nose. Breaking fever every night. It was baddd. 
The doc prescribed antibiotics for the infection and antibiotic drops for the eyes (cream for the cold sore). 
It got better in 2 weeks. My the drops yellowed my vision (as stated on the package) but I found they felt harsh. I followed the prescription regiment religously. 
My issue is that while I had this eye situation, my eyes started bleeding at some point. Just a little. And I couldn't look at screens for long without everything going blurry. But that all cleared up.. Sort of.
Now I got my eyes tested and they are definitely worse than before and my left eye is drastically worse than my right. My eyes are always tearing up and I can't focus on anything for too long without my vision blurring. A bright red streak shows up from my pupil outwards on one or both. Almost look like I've been crying? I'm going to see an optometrist but I'm a really shy person and I have a lot of anxiety mentioning my problems so I tend to get shooed away. 
Any ideas on what exactly is going on here? The anxiety is killing me. I'm literally losing my eyesight. I'm 22.</t>
        </is>
      </c>
      <c r="D74" t="n">
        <v>1</v>
      </c>
      <c r="E74" t="n">
        <v>7</v>
      </c>
      <c r="F74">
        <f>HYPERLINK("https://www.reddit.com/r/eyetriage/comments/aq8x76/loss_of_vision_after_bacterial_conjunctivitis/")</f>
        <v/>
      </c>
      <c r="G74" t="inlineStr">
        <is>
          <t>2019-02-13 09:18:56</t>
        </is>
      </c>
      <c r="H74" t="inlineStr"/>
    </row>
    <row r="75">
      <c r="A75" t="inlineStr">
        <is>
          <t>aq981f</t>
        </is>
      </c>
      <c r="B75" t="inlineStr">
        <is>
          <t>Blind to edges and fine details in my left peripheral vision.</t>
        </is>
      </c>
      <c r="C75" t="inlineStr">
        <is>
          <t>Is this most likely a neurological issue? I have the perception of seeing fine in my periphery until there's a small object or pattern that contrasts with the rest of the scene, then it appears black. 
&amp;amp;#x200B;
For example, a thin blue pen against a white desk will appear black. A thin white headphones cable arranged in a circle against the same background will appear as a black ring. Etc.</t>
        </is>
      </c>
      <c r="D75" t="n">
        <v>1</v>
      </c>
      <c r="E75" t="n">
        <v>3</v>
      </c>
      <c r="F75">
        <f>HYPERLINK("https://www.reddit.com/r/eyetriage/comments/aq981f/blind_to_edges_and_fine_details_in_my_left/")</f>
        <v/>
      </c>
      <c r="G75" t="inlineStr">
        <is>
          <t>2019-02-13 09:45:27</t>
        </is>
      </c>
      <c r="H75" t="inlineStr"/>
    </row>
    <row r="76">
      <c r="A76" t="inlineStr">
        <is>
          <t>aqbzie</t>
        </is>
      </c>
      <c r="B76" t="inlineStr">
        <is>
          <t>My right eye started hurting so I went into the ophthalmologist and got a checkup and he told me my eyes are healthy and everything looks good. But it still hurts. So I went back.</t>
        </is>
      </c>
      <c r="C76" t="inlineStr">
        <is>
          <t>And he told me it’s still fine. Now my left eye seems like it’s sort of feeling weird. I asked him if it’s possible my glasses are bothering me because they’re a few years old but he said that’s unlikely since my prescription hasn’t changed too much. 
However, when I take my glasses off, my eyes seem to not hurt anymore. I also notice some neck strain like when I’ve had bad contacts. Some days my eyes hurt more than others. When I take adderall (I’m prescribed adderall but don’t take it too often), my eyes don’t seem to bother me as much but I still feel like they don’t feel right. I use preservative free eye drops 3-4 times a day and my eyes certainly aren’t dry. I’m going to get new glasses soon anyway but just wanted to see what you guys think. 
Are my symptoms really psychosomatic? What’s my next step? Thanks!</t>
        </is>
      </c>
      <c r="D76" t="n">
        <v>1</v>
      </c>
      <c r="E76" t="n">
        <v>0</v>
      </c>
      <c r="F76">
        <f>HYPERLINK("https://www.reddit.com/r/eyetriage/comments/aqbzie/my_right_eye_started_hurting_so_i_went_into_the/")</f>
        <v/>
      </c>
      <c r="G76" t="inlineStr">
        <is>
          <t>2019-02-13 13:49:12</t>
        </is>
      </c>
      <c r="H76" t="inlineStr"/>
    </row>
    <row r="77">
      <c r="A77" t="inlineStr">
        <is>
          <t>aqf24t</t>
        </is>
      </c>
      <c r="B77" t="inlineStr">
        <is>
          <t>Foreign body sensation after corneal abrasion, should I be worried?</t>
        </is>
      </c>
      <c r="C77" t="inlineStr">
        <is>
          <t>Hey everybody! Last Friday I got a papercut on the white of my eye. It wasn't deep, and after consulting with my optometrist cousin over the phone, he said that it would heal on its own. Sure enough a few days later most of the symptoms are gone: there's no more pain, my light sensitivity is back to normal, my eyes aren't red and tearing all the time. I didn't have any vision problems during or after. However, today I've noticed that I have this foreign body sensation in my eye; it's hard to describe, occasionally it feels like my eyelid is touching something other than my eye when I blink (but not every time I blink), or like my eyelid is rubbing up against a raised surface. There was a visible cut mark which has since faded but hasn't gone away entirely. Eyedrops help a little bit but not much. It definitely feels better in areas where the air isn't dry (which is hard to find right now since everywhere has their heater on). Is this something I should be concerned about or is it a normal part of the healing process?</t>
        </is>
      </c>
      <c r="D77" t="n">
        <v>1</v>
      </c>
      <c r="E77" t="n">
        <v>3</v>
      </c>
      <c r="F77">
        <f>HYPERLINK("https://www.reddit.com/r/eyetriage/comments/aqf24t/foreign_body_sensation_after_corneal_abrasion/")</f>
        <v/>
      </c>
      <c r="G77" t="inlineStr">
        <is>
          <t>2019-02-13 18:56:24</t>
        </is>
      </c>
      <c r="H77" t="inlineStr"/>
    </row>
    <row r="78">
      <c r="A78" t="inlineStr">
        <is>
          <t>aqlx71</t>
        </is>
      </c>
      <c r="B78" t="inlineStr">
        <is>
          <t>Question about after images</t>
        </is>
      </c>
      <c r="C78" t="inlineStr">
        <is>
          <t xml:space="preserve">Everytime I stare at the tv or my computer screen and then look at the wall I see a sort of "outline" of the screen that lasts for a few seconds. I did a bit of research and I think what I'm experiencing is negative afterimages (not entirely sure though). It mostly happens with light and screens, but it can also happen with pretty much any object, just the duration of the afterimage will be much shorter. For example if I stare at a chair for 5-10 seconds and then immediately look at the wall next to it I will see a very very brief outline of the chair (lasts only a split seconds up to a second). Also, the intensity of the afterimages varies from time to time but i'm not sure what is that affects it(light, time of day or how tired my eyes are).
I know that this is normal to a certain extent, but because I never noticed it happening until two months ago (except with light of course) I'm not sure if I'm just being paranoid or not. 
Thanks in advance. 
</t>
        </is>
      </c>
      <c r="D78" t="n">
        <v>1</v>
      </c>
      <c r="E78" t="n">
        <v>1</v>
      </c>
      <c r="F78">
        <f>HYPERLINK("https://www.reddit.com/r/eyetriage/comments/aqlx71/question_about_after_images/")</f>
        <v/>
      </c>
      <c r="G78" t="inlineStr">
        <is>
          <t>2019-02-14 09:04:41</t>
        </is>
      </c>
      <c r="H78" t="inlineStr"/>
    </row>
    <row r="79">
      <c r="A79" t="inlineStr">
        <is>
          <t>aqqq7o</t>
        </is>
      </c>
      <c r="B79" t="inlineStr">
        <is>
          <t>Wierd vision symptoms</t>
        </is>
      </c>
      <c r="C79" t="inlineStr">
        <is>
          <t>Im 31, always had great eyesight, never needed corrective glasses/contacts
my biggest complaint is the 'halo' effect at night around lights. Its not a huge halo around each light but its definitely there.
Also, I have always been light sensitive for as long as I can remember (needed to use sunglasses) in the middle of the day (especially to drive) so this is nothing new
Its ***very mildly*** harder to read smaller print at a decent distance (I find myself squinting a little more often)
I also find it wierd that *sometimes* it helps me to blink to clear my vision slightly
None of the above symptoms are blatantly obvious (slight changes)
No pain, no obvious redness, no pressure, no itching, no sneezing, no sinus congestion, no floaters
Any ideas ? Eye doc says it might be a week or so before they have an opening (especially with my work schedule)</t>
        </is>
      </c>
      <c r="D79" t="n">
        <v>1</v>
      </c>
      <c r="E79" t="n">
        <v>4</v>
      </c>
      <c r="F79">
        <f>HYPERLINK("https://www.reddit.com/r/eyetriage/comments/aqqq7o/wierd_vision_symptoms/")</f>
        <v/>
      </c>
      <c r="G79" t="inlineStr">
        <is>
          <t>2019-02-14 16:28:28</t>
        </is>
      </c>
      <c r="H79" t="inlineStr"/>
    </row>
    <row r="80">
      <c r="A80" t="inlineStr">
        <is>
          <t>aqtayy</t>
        </is>
      </c>
      <c r="B80" t="inlineStr">
        <is>
          <t>Strange eye problem... please help</t>
        </is>
      </c>
      <c r="C80" t="inlineStr">
        <is>
          <t>For some background, my C2 vertebrate was fractured unknowingly and left untreated for 2 years. I then had C1-C2 fused in July 2017.
Since I was 10, I noticed if I close my left eye the vision in the right gets dark. I went to eye therapy and they said I had a weak muscle / and astigmatism. I wore glasses for about a year then stopped because it seemed to get better.
The blackness in that eye only happens when the other is closed. Now this seems to happen with the left eye which was always the good eye.
More strange, it seems that sometimes my eye muscles feel weak but look normal and it feels like an invisible screen. 
I have been to 3 opthamogists and had a brain MRI that was normal. They say nothing is wrong with my eyes. Please help because I can feel something is wrong. Could it be from the neck injury / resulting trauma to the area?</t>
        </is>
      </c>
      <c r="D80" t="n">
        <v>1</v>
      </c>
      <c r="E80" t="n">
        <v>6</v>
      </c>
      <c r="F80">
        <f>HYPERLINK("https://www.reddit.com/r/eyetriage/comments/aqtayy/strange_eye_problem_please_help/")</f>
        <v/>
      </c>
      <c r="G80" t="inlineStr">
        <is>
          <t>2019-02-14 21:28:50</t>
        </is>
      </c>
      <c r="H80" t="inlineStr"/>
    </row>
    <row r="81">
      <c r="A81" t="inlineStr">
        <is>
          <t>aqzd1p</t>
        </is>
      </c>
      <c r="B81" t="inlineStr">
        <is>
          <t>29yr old female with blind eye, PHPV, band keratopathy, and a thickened cornea...and very irritated!</t>
        </is>
      </c>
      <c r="C81" t="inlineStr">
        <is>
          <t>I was born with a small blind eye with no optic nerve. I had occasional infractions growing up but nothing too serious &amp;amp; as an adult my eye has been “calm” for over a decade. Therfore as a young adult trying to save money i didnt fallow up regularly with my ophthalmologist and when his practice closed i never got my medical records. Big mistake. 7 yrs later my eye is constantly irritated, its hard to sleep on that side at night, it feels like the whole area around my eye is swollen when it isn’t. my retina is compleatly detached, a B scan shows “a tiny eye that looks disorganized internally.” Recommendation is to have the eye removed, which is something i knew would probably eventually happen.
But i feel like the doctors I’ve seen can not get past the cosmetics of it. Its the first thing they talk about. Even after i tell them im ok with how i look. I also feel like medically they don’t actually know whats going on and removing the eye is the easiest solution. I was told growing up that because i didnt have an optic nerve i was at an increased risk for tumors. Im slightly concerned that the pressure i feel is something more then just the eye, since the eye pressure itself is normal. I asked my PCP for a referral to Mass Eye Ear but i can’t get in until June. So if there are any ophthalmologists out there what would like to put my mind at ease, or anyone whose experienced anything like this I would be extremely greatful.</t>
        </is>
      </c>
      <c r="D81" t="n">
        <v>1</v>
      </c>
      <c r="E81" t="n">
        <v>5</v>
      </c>
      <c r="F81">
        <f>HYPERLINK("https://www.reddit.com/r/eyetriage/comments/aqzd1p/29yr_old_female_with_blind_eye_phpv_band/")</f>
        <v/>
      </c>
      <c r="G81" t="inlineStr">
        <is>
          <t>2019-02-15 10:08:54</t>
        </is>
      </c>
      <c r="H81" t="inlineStr"/>
    </row>
    <row r="82">
      <c r="A82" t="inlineStr">
        <is>
          <t>ar40tg</t>
        </is>
      </c>
      <c r="B82" t="inlineStr">
        <is>
          <t>Do I need glasses?</t>
        </is>
      </c>
      <c r="C82" t="inlineStr">
        <is>
          <t>I generally  can read normal sized text in books and  newspapers,  but when I'm tired, they letters get blurry.   If I didn't  have my phone; I can forget about reafing labels.
My ophthalmologist says I have weak eye muscles which is the cause  of all this.  Should I go to an optometrist?</t>
        </is>
      </c>
      <c r="D82" t="n">
        <v>2</v>
      </c>
      <c r="E82" t="n">
        <v>4</v>
      </c>
      <c r="F82">
        <f>HYPERLINK("https://www.reddit.com/r/eyetriage/comments/ar40tg/do_i_need_glasses/")</f>
        <v/>
      </c>
      <c r="G82" t="inlineStr">
        <is>
          <t>2019-02-15 17:57:12</t>
        </is>
      </c>
      <c r="H82" t="inlineStr"/>
    </row>
    <row r="83">
      <c r="A83" t="inlineStr">
        <is>
          <t>ar537e</t>
        </is>
      </c>
      <c r="B83" t="inlineStr">
        <is>
          <t>Can eye muscle weakness get worse with time?</t>
        </is>
      </c>
      <c r="C83" t="inlineStr">
        <is>
          <t xml:space="preserve">I was told my eye muscles were weak when I was younger. I feel like I may have amblyopia but I can still read 20/20. This is so difficult to describe but it literally feels like there's an invisible screen in front of my eyes where I feel like I'm more removed from seeing things but it's not blurry or double or anything. I had an fracture to C2 and had it fused with C1. Could that be related? I've already had a brain MRI that luckily came back normal. </t>
        </is>
      </c>
      <c r="D83" t="n">
        <v>1</v>
      </c>
      <c r="E83" t="n">
        <v>0</v>
      </c>
      <c r="F83">
        <f>HYPERLINK("https://www.reddit.com/r/eyetriage/comments/ar537e/can_eye_muscle_weakness_get_worse_with_time/")</f>
        <v/>
      </c>
      <c r="G83" t="inlineStr">
        <is>
          <t>2019-02-15 20:04:21</t>
        </is>
      </c>
      <c r="H83" t="inlineStr"/>
    </row>
    <row r="84">
      <c r="A84" t="inlineStr">
        <is>
          <t>ar5tyj</t>
        </is>
      </c>
      <c r="B84" t="inlineStr">
        <is>
          <t>New prescription seems very strong, is there any harm in going back to my old prescription?</t>
        </is>
      </c>
      <c r="C84" t="inlineStr">
        <is>
          <t xml:space="preserve"> Good day! I've been stressing heavily about this lately so some help or guidance would be greatly appreciated. I have nearsightedness and astigmatism and I go back routinely for my annual check ups. Apparently this year my astigmatism got a bit worse so my doctor wrote me a prescription for new lenses that are adjusted to correct that change.
I get my glasses and they are slightly better than my older prescription, by a small margin, but its been two weeks and my eyes still get watery and a little bit more fatigued with this new pair. Especially with computer usage. My habits haven't changed but my old glasses felt a bit more... easier? On the eyes. These are really good but I really really notice them doing their work.. I took them in to get the prescription and measurements double checked and they all said that its fine but offered to replace them with my old prescription.
I suppose my question is, is there any harm in going back to my old prescription? I still see wonderfully enough with them but it doesn't correct for my latest change in astigmatism. Is there any harm with staying with these new pair of glasses? I mean the vision is really clear and good I just really notice my eyes getting more tired towards the days end. And I wanted to try and make an informed decision as to which would be better for my eyes and vision?
Thank you for your time.
&amp;amp;#x200B;
EDIT - I get the impression that my vision without my new glasses is slightly poorer if I wear them a lot, but perhaps its just more noticeable? </t>
        </is>
      </c>
      <c r="D84" t="n">
        <v>2</v>
      </c>
      <c r="E84" t="n">
        <v>2</v>
      </c>
      <c r="F84">
        <f>HYPERLINK("https://www.reddit.com/r/eyetriage/comments/ar5tyj/new_prescription_seems_very_strong_is_there_any/")</f>
        <v/>
      </c>
      <c r="G84" t="inlineStr">
        <is>
          <t>2019-02-15 21:40:09</t>
        </is>
      </c>
      <c r="H84" t="inlineStr"/>
    </row>
    <row r="85">
      <c r="A85" t="inlineStr">
        <is>
          <t>ar8js5</t>
        </is>
      </c>
      <c r="B85" t="inlineStr">
        <is>
          <t>Darker vision after I wake up</t>
        </is>
      </c>
      <c r="C85" t="inlineStr">
        <is>
          <t xml:space="preserve">Hello Eye Triage,
I am 29yr female. No history of cardiovascular disease or major eye disease (except high IOP with thick cornea)
I had complete eye exam 2.5 months ago and everything looked fine. 
Recently I have been noticing that I have darker vision when I wake up. It's not blurry its dark. It goes away within a minute. 
Yesterday I closed one eye after noticing darkness and I could see dark patch in my vision with some static. Same happened with the other eye. I am a side sleeper and I switch positions frequently on night. Thinking it might be because of pressure I put on my eyes while sleeping, last night I ran an experiment - stopped myself from sleeping  on my right side. Today morning only left eye had dark patches.. 
So my question is is this normal? Should I go see opthalmologist again? Or should I see GP (since I think it's more of circulation/optic nerve issue than eye issue) </t>
        </is>
      </c>
      <c r="D85" t="n">
        <v>1</v>
      </c>
      <c r="E85" t="n">
        <v>11</v>
      </c>
      <c r="F85">
        <f>HYPERLINK("https://www.reddit.com/r/eyetriage/comments/ar8js5/darker_vision_after_i_wake_up/")</f>
        <v/>
      </c>
      <c r="G85" t="inlineStr">
        <is>
          <t>2019-02-16 04:55:35</t>
        </is>
      </c>
      <c r="H85" t="inlineStr"/>
    </row>
    <row r="86">
      <c r="A86" t="inlineStr">
        <is>
          <t>ara1en</t>
        </is>
      </c>
      <c r="B86" t="inlineStr">
        <is>
          <t>Blocked Oil Glands Advice</t>
        </is>
      </c>
      <c r="C86" t="inlineStr">
        <is>
          <t>I used to be a frequent contacts user until mid-December, when I noticed that my eyes looked bloodshot all the time. Even after I stopped wearing my contacts and switched to glasses, they remained bloodshot and red no matter what. My optometrist told me that my eyes were red due to my oil glands closing up (possibly because of dry weather?) and he recommended warm compresses, Systene eyedrops, and washing my eyelashes for two weeks. It's been a whole month and there have been no changes whatsoever - I wear glasses, get an average of 8 hrs of sleep, have a humidifier in my room, and have followed all the practices he mentioned but my eyes still have red veins 24/7.
What more can I do?
Is it possible for oil glands to remain blocked permanently?</t>
        </is>
      </c>
      <c r="D86" t="n">
        <v>1</v>
      </c>
      <c r="E86" t="n">
        <v>6</v>
      </c>
      <c r="F86">
        <f>HYPERLINK("https://www.reddit.com/r/eyetriage/comments/ara1en/blocked_oil_glands_advice/")</f>
        <v/>
      </c>
      <c r="G86" t="inlineStr">
        <is>
          <t>2019-02-16 08:01:08</t>
        </is>
      </c>
      <c r="H86" t="inlineStr"/>
    </row>
    <row r="87">
      <c r="A87" t="inlineStr">
        <is>
          <t>ara4qa</t>
        </is>
      </c>
      <c r="B87" t="inlineStr">
        <is>
          <t>Light Therapy for those predisposed to Age Related Macular Degeneration</t>
        </is>
      </c>
      <c r="C87" t="inlineStr">
        <is>
          <t>I use a 10,000 LUX light therapy lamp each morning for about half an hour as a way to combat seasonal affective disorder as well as a way to wake up faster each morning along with my cup of tea. It is very effective and I really enjoy using it.
My 23andMe report says that I am predisposed to age related macular degeneration and I have tried to research whether using this lamp each morning will increase the chances of me going blind later in life.
I have also considered the possibility of wearing some of those blue light blocking glasses each morning along with the lamp.
 I would love some insight into this situation! I want to keep using the light, but if there is even a slight increase in risk of developing AMD then I want to stop using it immediately.</t>
        </is>
      </c>
      <c r="D87" t="n">
        <v>1</v>
      </c>
      <c r="E87" t="n">
        <v>0</v>
      </c>
      <c r="F87">
        <f>HYPERLINK("https://www.reddit.com/r/eyetriage/comments/ara4qa/light_therapy_for_those_predisposed_to_age/")</f>
        <v/>
      </c>
      <c r="G87" t="inlineStr">
        <is>
          <t>2019-02-16 08:11:05</t>
        </is>
      </c>
      <c r="H87" t="inlineStr"/>
    </row>
    <row r="88">
      <c r="A88" t="inlineStr">
        <is>
          <t>arc127</t>
        </is>
      </c>
      <c r="B88" t="inlineStr">
        <is>
          <t>My husband is a medical mystery, so I'm looking for some clues.</t>
        </is>
      </c>
      <c r="C88" t="inlineStr">
        <is>
          <t xml:space="preserve"> Hi all,
My husband has been suffering from some very strange visual symptoms for about six weeks now. I know you can't diagnose, but I'm looking for *possible* avenues of investigation. Mere hints. That kinda thing.
Roughly two weeks after keyhole surgery for acid reflux (fundoplication with hernia repair), my husband complained of head pressure, pain above one eye, predominantly on the right side, and blurry vision in both eyes.
To be more specific about the visual problem, he describes two separate symptoms:
* A green haziness, like a heat haze, over his visual field, more noticeable against bright backgrounds.
* What seems to be a sort of accommodation problem, whereby his eyes are slow to refocus when moving from one object to another. He says it takes around a full second for an image in his visual field to un-blur when shifting his focus to it. This also makes it difficult for him to read -- he can clearly see only the text he is focused on and even nearby words are fuzzy.
He has normal blood pressure and blood sugar. He has also seen an optician and an ophthalmologist. He does not need a prescription for his vision, which is usually excellent, and no problems with the eyes themselves were found. The Ophthalmologist suggested a sinus issue, so we saw an ENT. The ENT prescribed steroid drops for six weeks for polyps and suggested surgery may be needed for narrow turbinates after this point, but was not sure that the visual symptoms had anything to do with the sinus issue.
He has an odd symptom related to his jaw, if that's relevant - opening his mouth fully causes the right side of his jaw to appear to bulge out at the joint. And his GP prescribed him Amitryptyline as he thought it may be a simple case of tension headaches. Neither the drops nor the Amitryptyline seem to have helped in any way.
I'd be really grateful if anyone could suggest what a decent next step would be for this high strangeness. Thank you very much in advance. :)</t>
        </is>
      </c>
      <c r="D88" t="n">
        <v>2</v>
      </c>
      <c r="E88" t="n">
        <v>5</v>
      </c>
      <c r="F88">
        <f>HYPERLINK("https://www.reddit.com/r/eyetriage/comments/arc127/my_husband_is_a_medical_mystery_so_im_looking_for/")</f>
        <v/>
      </c>
      <c r="G88" t="inlineStr">
        <is>
          <t>2019-02-16 11:20:45</t>
        </is>
      </c>
      <c r="H88" t="inlineStr"/>
    </row>
    <row r="89">
      <c r="A89" t="inlineStr">
        <is>
          <t>arc1g0</t>
        </is>
      </c>
      <c r="B89" t="inlineStr">
        <is>
          <t>Light therapy lamps for those predisposed to Age Related Macular Degeneration</t>
        </is>
      </c>
      <c r="C89" t="inlineStr">
        <is>
          <t>I use a 10,000 LUX light therapy lamp each morning for about half an hour as a way to combat seasonal affective disorder as well as a way to wake up faster each morning along with my cup of tea. It is very effective and I really enjoy using it.
My 23andMe report says that I am predisposed to age related macular degeneration and I have tried to research whether using this lamp each morning will increase the chances of me going blind later in life.
I have also considered the possibility of wearing some of those blue light blocking glasses each morning along with the lamp.
I would love some insight into this situation! I want to keep using the light, but if there is even a slight increase in risk of developing AMD then I want to stop using it immediately.</t>
        </is>
      </c>
      <c r="D89" t="n">
        <v>1</v>
      </c>
      <c r="E89" t="n">
        <v>2</v>
      </c>
      <c r="F89">
        <f>HYPERLINK("https://www.reddit.com/r/eyetriage/comments/arc1g0/light_therapy_lamps_for_those_predisposed_to_age/")</f>
        <v/>
      </c>
      <c r="G89" t="inlineStr">
        <is>
          <t>2019-02-16 11:21:52</t>
        </is>
      </c>
      <c r="H89" t="inlineStr"/>
    </row>
    <row r="90">
      <c r="A90" t="inlineStr">
        <is>
          <t>arfhhu</t>
        </is>
      </c>
      <c r="B90" t="inlineStr">
        <is>
          <t>Red eyes and eyelids</t>
        </is>
      </c>
      <c r="C90" t="inlineStr">
        <is>
          <t>I've  had red eyes and eyelids for a very long time and it looks like it's  blepharitis. All of the cleaning and stuff recommanded don't really  help, my eyes are also very sensitive.
So I'm looking for daily stuff to do or avoid (foods, drinks?  Other things?) to minimize this.</t>
        </is>
      </c>
      <c r="D90" t="n">
        <v>1</v>
      </c>
      <c r="E90" t="n">
        <v>4</v>
      </c>
      <c r="F90">
        <f>HYPERLINK("https://www.reddit.com/r/eyetriage/comments/arfhhu/red_eyes_and_eyelids/")</f>
        <v/>
      </c>
      <c r="G90" t="inlineStr">
        <is>
          <t>2019-02-16 17:19:16</t>
        </is>
      </c>
      <c r="H90" t="inlineStr"/>
    </row>
    <row r="91">
      <c r="A91" t="inlineStr">
        <is>
          <t>ari77l</t>
        </is>
      </c>
      <c r="B91" t="inlineStr">
        <is>
          <t>Eye Allergy and Flashes of Light PLEASE HELP!</t>
        </is>
      </c>
      <c r="C91" t="inlineStr">
        <is>
          <t>Hey reddit. Ever since I was a kid I always see flashes of light. In the dark I would see millions of faint circles and flashes. Whenever I press on my eyes with my fingers I see lots of lights with different color and shapes moving around. It just happened throughout the day when I see flashes of lights. I thought it was normal so I didn't tell my parents. When I was around 8 years old I moved to California. At that time I was really scared of ghost and stuff so whenever I would take a shower I wouldn't close my eyes in fear that a ghost might appear or something like that. That resulted in a lot of shampoo in my eyes. Also at that time I watched a lot of videos on my Ipad really close to my face. One day in November of 2014 I woke up with my eyes very sensitive to light. When I went to school my eyes would constantly water, burn, scratchy feeling, and stinging. I didn't tell anyone because I was confused. To cope with my eyes I would get water bottles and put them on my eyes which provided 3 seconds of relief. I felt embarrassed whenever I did this. Around 2015 I started to worry a lot about my eyes because I was gonna go to a new school. So I went online and searched what is going on with my eyes. After reading many articles and watching videos I was convinced that I had dry eyes since I had most of the symptoms.One day I told my mom that I couldn't look at people in the eyes because I had dry eyes. She didn't believe me and said I just lacked confidence. One day I told her again and she gave me her dry eye drops. When I put them in my eyes they didn't help at all. During that time I suffered constantly, every second my eyes would water, sting, and burn,to cope I kept blinking and rubbing my eyes. In 2016 my mom finally took me to the eye doctor with my sister who needed glasses. We went to Costco because they had an eye doctor place. The optometrist tested my vision. When I told her that I had dry eyes she just said recommended Systane ultra eye drops and said just to stop playing games on the computer. She never examined my eye and said that. When I use the recommended eye drops they still didn't work. The next time I visited the eye doctor was in 2017. Again it was an optometrist I was there to get glasses. On the form they made us fill out, I put dry eyes and my symptoms. The optometrist just said to stop playing games and use eye drops again. Which still didn't work. In 2018 I was getting really depressed and lonely so I told my mom that my problem was serious and we got into an argument. She said that she will let me see an eye doctor again if they didn't believe she wouldn't take me again. My mom and sister didn't really care about my eyes. My mom would say that she gets it too sometimes, but its not even comparable my eyes since its temporary and it hurts less. They both said I just lacked confidence and it wasn't a big deal. A couple months later my appointment was ready. My mom had asked a customer, a good eye doctor around the area and she recommended this place called Ophthalmology Associates. My mom said she would take me, but her boyfriend took me instead. I knew she would do that becuase she didn't care about my problem. When the ophthalmologist came in the room, first thing he said was that he doesn't think I have dry eyes because I'm only 13 years old. The ophthalmologist put numbing drops and did a Schirmer's test. After 5 minutes the opthamolgoist went to check and saw that I had 35mm which was higher than normal which is 15. He thought it was reflex tearing and did the test again. Again it was the same result. The ophthalmologist examined my eye and put yellow stuff on my eye lids. He said that he believes that my tear ducts are blocked due to my allergies and said that he will do a test to see, but he changed his mind last minute. Instead he gave me a prescription to get Prednisolone Acetate 1% which was a steroid drop. When I put them on I couldn't tell a difference. For the next couple weeks I didn't see any improvement. One day I decided not to use my drops. My eyes became very watery and as soon as I put the drops on my eyes, I felt a tiny bit of relief. So I knew it works. On January 14th 2019 my rescheduled appointment arrived. I told the ophthalmologist that it helped but little improvement. The Ophthalmologist told me that it wasn't blocked tear ducts and told me why which I don't remember. The Ophthalmologist said that I over produced tears and told me to get Olopatadine Hydrochloride 0.2%. I asked him if some questions. First was how did I get this eye allergy. He responded we don't know, but if your eyes were exposed to something unfamiliar then it will create an allergy. The next was if there was any permanent cure. He said that with allergies there are no permanent cures. It has been 4 weeks since I use the drops and they only help a little bit. I read online that it might take 12 weeks. I also have concerns about my flashes of light that I didn't mention to my ophthalmologist. Whenever I look into the sky I see thousands of eye floaters moving around. When ever I put pressure in my left eye I always the same unique green donut shaped flash of light moving with the same features and everything. Also when I look at something bright and look away I see the shape of the light on a dark flash of light moving. To cope with my eyes throughout the years I used heat pad, Omega-3 fish oil, castor oil, etc. Because of my eyes I can't focus, I get Embarrassment, I get anxious. I got very lonely and got suicidal thoughts. To this day my eyes constantly water and sting my eyes even with using the drops and I see flashes of light that bother me. Please help me determine the problem because I don't think the allergies are the only problem is to why my eyes feel watery, sting, burning, etc. Currently I take anti histamine pills which helps a little and I put one drop of pataday in each eye applying pressure in the corner afterwards.</t>
        </is>
      </c>
      <c r="D91" t="n">
        <v>2</v>
      </c>
      <c r="E91" t="n">
        <v>1</v>
      </c>
      <c r="F91">
        <f>HYPERLINK("https://www.reddit.com/r/eyetriage/comments/ari77l/eye_allergy_and_flashes_of_light_please_help/")</f>
        <v/>
      </c>
      <c r="G91" t="inlineStr">
        <is>
          <t>2019-02-16 22:59:51</t>
        </is>
      </c>
      <c r="H91" t="inlineStr"/>
    </row>
    <row r="92">
      <c r="A92" t="inlineStr">
        <is>
          <t>ark9pb</t>
        </is>
      </c>
      <c r="B92" t="inlineStr">
        <is>
          <t>Blepharitis, allergies, blocked tear ducts or something else?</t>
        </is>
      </c>
      <c r="C92" t="inlineStr">
        <is>
          <t>Starting last summer, my eyelids have been swelling up off &amp;amp; on.  My eyes become very dry and they burn &amp;amp; I will have some white discharge.  I started noticing that there would be triggers for them swelling up, specifically: Sunscreen getting in them, chopping onions, cooking with chipotle peppers.  I did see an eye dr recently &amp;amp; she was no help.  I am going to make an appointment with an allergist, but, I'm trying to get a push in the correct direction as far as what my issue is.  Thank you!!</t>
        </is>
      </c>
      <c r="D92" t="n">
        <v>1</v>
      </c>
      <c r="E92" t="n">
        <v>2</v>
      </c>
      <c r="F92">
        <f>HYPERLINK("https://www.reddit.com/r/eyetriage/comments/ark9pb/blepharitis_allergies_blocked_tear_ducts_or/")</f>
        <v/>
      </c>
      <c r="G92" t="inlineStr">
        <is>
          <t>2019-02-17 04:49:24</t>
        </is>
      </c>
      <c r="H92" t="inlineStr"/>
    </row>
    <row r="93">
      <c r="A93" t="inlineStr">
        <is>
          <t>arqhex</t>
        </is>
      </c>
      <c r="B93" t="inlineStr">
        <is>
          <t>Returning to sports and exercise post retinal detachment</t>
        </is>
      </c>
      <c r="C93" t="inlineStr">
        <is>
          <t xml:space="preserve">Hello eyetriage; 
Some background - 30yo M, no relevant past medical history, if it helps I’m an ED clinical pharmacist who like many colleagues lack a serious understanding of what optho does :)
Eye history - none except severe myopia 
Current situation  as of feb 11
OS - I’ve had silicone oil injected and laser about a week  for “2Q PVR C2 rhegmatogeneous retinal detachment, 1-6 o’clock with retinal breaks at 3 and 4. 270 degree retinal tears and holes from 11-6-9 o’clock  and macular detachment. 
OU:  they’ve also done laser retinopexy for multiple retinal breaks, tears and lattice degeneration from 5 over 2-3 o’clock. 
OU PVD
My optometrist had not noted any retinal issues on my last eye exam which would have been in 2017.  She did do a slit lamp + dilated exam. 
My question - I had previously been living a very active lifestyle playing rec hockey (as a goalie if it matters), CrossFit, skiing, scuba diving, multi day hikes etc. 
While I’m quite happy with the results of the surgery thus far my ophthalmologist is insisting that I’ll need to stop most of these activities permanently as they’re too high a risk for repeat detachments.  He believes that I should take up safer activities and exercise like waking and swimming.  
While I can live with giving up a lot of this temporarily, the thought of never being able to do these again is really quite disheartening.   Can anyone offer any insight on what they recommend to patients for a time table to return to more strenuous exercise.  Alternatively help me risk stratify and at least make an informed decision, various guideline groups don’t seem very helpful. 
Posting on mobile - sorry if autocorrect did me in.  Any help or advice would greatly appreciated. </t>
        </is>
      </c>
      <c r="D93" t="n">
        <v>2</v>
      </c>
      <c r="E93" t="n">
        <v>1</v>
      </c>
      <c r="F93">
        <f>HYPERLINK("https://www.reddit.com/r/eyetriage/comments/arqhex/returning_to_sports_and_exercise_post_retinal/")</f>
        <v/>
      </c>
      <c r="G93" t="inlineStr">
        <is>
          <t>2019-02-17 15:24:35</t>
        </is>
      </c>
      <c r="H93" t="inlineStr"/>
    </row>
    <row r="94">
      <c r="A94" t="inlineStr">
        <is>
          <t>as2ku9</t>
        </is>
      </c>
      <c r="B94" t="inlineStr">
        <is>
          <t>Macular dystrophy</t>
        </is>
      </c>
      <c r="C94" t="inlineStr">
        <is>
          <t xml:space="preserve">My daughter got diagnosed with macular dystrophy just before Christmas and I’m so worried she will go blind , she’s only 7 and her visual acuity at the moment is 0.66 in right eye and 0.62 in left eye , I’ve been told there is no treatment and that’s it’s a rare genetic disease , I’ve been grieving and have good days and bad days but worried for her future and the struggles we may face , has anyone on here got this and isn’t it progressive ? I don’t no what to do or what next step to take </t>
        </is>
      </c>
      <c r="D94" t="n">
        <v>4</v>
      </c>
      <c r="E94" t="n">
        <v>5</v>
      </c>
      <c r="F94">
        <f>HYPERLINK("https://www.reddit.com/r/eyetriage/comments/as2ku9/macular_dystrophy/")</f>
        <v/>
      </c>
      <c r="G94" t="inlineStr">
        <is>
          <t>2019-02-18 13:52:53</t>
        </is>
      </c>
      <c r="H94" t="inlineStr"/>
    </row>
    <row r="95">
      <c r="A95" t="inlineStr">
        <is>
          <t>as5zk4</t>
        </is>
      </c>
      <c r="B95" t="inlineStr">
        <is>
          <t>Strategies for dealing with screen headaches due to "binocular instability"</t>
        </is>
      </c>
      <c r="C95" t="inlineStr">
        <is>
          <t>I've been dealing with screen headaches for a couple of years. At my last ophthalmologist appointment, I was referred to a specialist due to computer vision discomfort via "binocular instability." This seems to make sense (my screen headaches haven't been successfully addressed through moisturizing eyedrops, Xiidra, screen glasses, prescription glasses, etc.), but, as I basically do nothing but look at screens for work, I'd really like to find a way to deal with it in the short term, as I wait for a response from the specialist.
&amp;amp;#x200B;
I'm currently typing with an eyepatch on and it seems to be helping, but it's also very distracting, makes my uncovered eye feel strange, and makes me feel a little nauseous. I'm also worried that I'd be causing more issues by wearing it on a daily basis. Are there any other, less uncomfortable, things I could do to deal with the symptoms in the meantime?</t>
        </is>
      </c>
      <c r="D95" t="n">
        <v>2</v>
      </c>
      <c r="E95" t="n">
        <v>1</v>
      </c>
      <c r="F95">
        <f>HYPERLINK("https://www.reddit.com/r/eyetriage/comments/as5zk4/strategies_for_dealing_with_screen_headaches_due/")</f>
        <v/>
      </c>
      <c r="G95" t="inlineStr">
        <is>
          <t>2019-02-18 19:41:54</t>
        </is>
      </c>
      <c r="H95" t="inlineStr"/>
    </row>
    <row r="96">
      <c r="A96" t="inlineStr">
        <is>
          <t>as7j12</t>
        </is>
      </c>
      <c r="B96" t="inlineStr">
        <is>
          <t>Posterior capsular opacification returning multiple times.</t>
        </is>
      </c>
      <c r="C96" t="inlineStr">
        <is>
          <t>Hello!
&amp;amp;#x200B;
To begin with, I had congenital cataracts in both eyes, and waited until I was just over 12 years old to get them removed. Approximately three years after the procedures, I had the first occurrence of PCO in both eyes and went in for the YAG laser. However, since then I have had PCO reoccur a total of four times in both eyes, with each time being closer to the last; it's been about exactly one year since my last YAG laser, and the PCO has returned already to my right eye. This will mark the 5th time once I return from overseas.
&amp;amp;#x200B;
As far as I can tell, most sources on PCO either straight up say that it only occurs once, or don't mention that it may occur multiple times. My ophthalmologist has said repeatedly that what I'm experiencing is new to him, but he seems content to just keep repeating the YAG laser.
&amp;amp;#x200B;
So my questions are;
1. Is it "normal", in any way, for PCO to return this many times?
2. I am currently living abroad until August and don't necessarily want to deal with getting the YAG done in a foreign country (I'm Canadian, living in Japan). Is there any potential complications with allowing the PCO to develop further for another 5 months? (other than the obvious loss of vision...)</t>
        </is>
      </c>
      <c r="D96" t="n">
        <v>1</v>
      </c>
      <c r="E96" t="n">
        <v>2</v>
      </c>
      <c r="F96">
        <f>HYPERLINK("https://www.reddit.com/r/eyetriage/comments/as7j12/posterior_capsular_opacification_returning/")</f>
        <v/>
      </c>
      <c r="G96" t="inlineStr">
        <is>
          <t>2019-02-18 22:50:06</t>
        </is>
      </c>
      <c r="H96" t="inlineStr"/>
    </row>
    <row r="97">
      <c r="A97" t="inlineStr">
        <is>
          <t>as9yyq</t>
        </is>
      </c>
      <c r="B97" t="inlineStr">
        <is>
          <t>Advice for my 5 year olds son’s behaviour</t>
        </is>
      </c>
      <c r="C97" t="inlineStr">
        <is>
          <t xml:space="preserve">Hi there, my 5 year old son has a tendency to often play with his eyeballs, surely out of curiosity. Sometimes he repeatedly poke his eyeballs at different angles (not hard i think), grab his eyeballs and move them around and sometimes even just touch them. I think he also even tried to scratch his eye (the cornea) He even managed to get a finger up his eyelid. 
I am really concerned about his behaviour. This must be very dangerous. The eyes shouldn’t really be directly touched, right? Unless you actually use contact lenses of course.
So i am taking him to see a professional so he can be evaluated. I am just wondering, why does he keep doing this? Can it be related to some sort of vitamin deficiency, mental health or simply eye discomfort. 
Sorry for the long post, i would be grateful to get some advice from you guys. </t>
        </is>
      </c>
      <c r="D97" t="n">
        <v>1</v>
      </c>
      <c r="E97" t="n">
        <v>5</v>
      </c>
      <c r="F97">
        <f>HYPERLINK("https://www.reddit.com/r/eyetriage/comments/as9yyq/advice_for_my_5_year_olds_sons_behaviour/")</f>
        <v/>
      </c>
      <c r="G97" t="inlineStr">
        <is>
          <t>2019-02-19 04:38:53</t>
        </is>
      </c>
      <c r="H97" t="inlineStr"/>
    </row>
    <row r="98">
      <c r="A98" t="inlineStr">
        <is>
          <t>asaost</t>
        </is>
      </c>
      <c r="B98" t="inlineStr">
        <is>
          <t>Eyelash gone from cornea but still feeling it</t>
        </is>
      </c>
      <c r="C98" t="inlineStr">
        <is>
          <t>This morning I saw an eyelash on my eye, I used some artifial tears drops to take it out, it slided out and was happy it did. Though I can still feel there is something under the lower eyelid. I waited 2 hours but this feeling didn't go, so I used artificial tears again to see if something else will go out, beside a tiny small residue (probably from my eye tension drop), nothing went out. I seek on the bottom of my eye for any thing but couldn't find an eyelash. The feeling decreased a bit though.
I have dry eyes since my retina surgery and the feeling of foreign body is something I encountered several times, but usually after artifial tears the feeling doesn't last more than 2 hours.
What to do?</t>
        </is>
      </c>
      <c r="D98" t="n">
        <v>3</v>
      </c>
      <c r="E98" t="n">
        <v>4</v>
      </c>
      <c r="F98">
        <f>HYPERLINK("https://www.reddit.com/r/eyetriage/comments/asaost/eyelash_gone_from_cornea_but_still_feeling_it/")</f>
        <v/>
      </c>
      <c r="G98" t="inlineStr">
        <is>
          <t>2019-02-19 06:00:00</t>
        </is>
      </c>
      <c r="H98" t="inlineStr"/>
    </row>
    <row r="99">
      <c r="A99" t="inlineStr">
        <is>
          <t>asfddb</t>
        </is>
      </c>
      <c r="B99" t="inlineStr">
        <is>
          <t>New glasses dizzy</t>
        </is>
      </c>
      <c r="C99" t="inlineStr">
        <is>
          <t>I'm new to wearing glasses (44F). I was optimistic to get my first pair, but the truth is I hate them. I thought that glasses would improve my vision, but instead I almost feel more comfortable without them on. Plus, I am extremely dizzy wearing them. I feel like I am looking through aquarium glass and had a cocktail or two. Oh, and when I take them off my vision is worse than before I put them on. This dissipates after a few minutes. What's going on?
OD   +0.50   -0.50   Axis 15
OS   Plano   -0.75.  Axis 165
Bifocal +1.25</t>
        </is>
      </c>
      <c r="D99" t="n">
        <v>2</v>
      </c>
      <c r="E99" t="n">
        <v>14</v>
      </c>
      <c r="F99">
        <f>HYPERLINK("https://www.reddit.com/r/eyetriage/comments/asfddb/new_glasses_dizzy/")</f>
        <v/>
      </c>
      <c r="G99" t="inlineStr">
        <is>
          <t>2019-02-19 13:02:45</t>
        </is>
      </c>
      <c r="H99" t="inlineStr"/>
    </row>
    <row r="100">
      <c r="A100" t="inlineStr">
        <is>
          <t>asfyj7</t>
        </is>
      </c>
      <c r="B100" t="inlineStr">
        <is>
          <t>Is somrthing wrong with my eye?</t>
        </is>
      </c>
      <c r="C100" t="inlineStr">
        <is>
          <t>Yesterday for a few minutes i got some kind of weird, curvy, flashing line in the left corner of my vision. Today i noticed a little flashing point in the left side vision but it was very short and weak. Now my left eye makes a noticeable sound when i close it and the right one makes a squeaking noise when i rub it. No floaters or anything. Is something wrong with me? Is retinal detachment possible? Im a teen</t>
        </is>
      </c>
      <c r="D100" t="n">
        <v>2</v>
      </c>
      <c r="E100" t="n">
        <v>2</v>
      </c>
      <c r="F100">
        <f>HYPERLINK("https://www.reddit.com/r/eyetriage/comments/asfyj7/is_somrthing_wrong_with_my_eye/")</f>
        <v/>
      </c>
      <c r="G100" t="inlineStr">
        <is>
          <t>2019-02-19 13:55:11</t>
        </is>
      </c>
      <c r="H100" t="inlineStr"/>
    </row>
    <row r="101">
      <c r="A101" t="inlineStr">
        <is>
          <t>asjqxl</t>
        </is>
      </c>
      <c r="B101" t="inlineStr">
        <is>
          <t>What conditions (if any) can mimic blepharitis?</t>
        </is>
      </c>
      <c r="C101" t="inlineStr">
        <is>
          <t>I’ve been dealing with blepharitis like symptoms since November of 2018. It’s totally destroyed my quality of life. I find myself constantly anxious, running to the mirror to check for foreign bodies. Hardly ever anything, I get multiple styes weekly. Both primary care and eyedoctor say I don’t show signs of blepharitis, posterior or anterior. I can’t find anything about blepharitis symptoms without actually having blepharitis. I’m scared. I’m done. I just need a hint on what to look into, eye drops provide little to no relief, I had to stop smoking weed as it worsens pain and have turned to alcohol to cope. Thanks to anyone who took the time to read this. God bless.</t>
        </is>
      </c>
      <c r="D101" t="n">
        <v>3</v>
      </c>
      <c r="E101" t="n">
        <v>8</v>
      </c>
      <c r="F101">
        <f>HYPERLINK("https://www.reddit.com/r/eyetriage/comments/asjqxl/what_conditions_if_any_can_mimic_blepharitis/")</f>
        <v/>
      </c>
      <c r="G101" t="inlineStr">
        <is>
          <t>2019-02-19 20:10:43</t>
        </is>
      </c>
      <c r="H101" t="inlineStr"/>
    </row>
    <row r="102">
      <c r="A102" t="inlineStr">
        <is>
          <t>asp3pl</t>
        </is>
      </c>
      <c r="B102" t="inlineStr">
        <is>
          <t>Blurry vision persisting over 2 weeks after corneal abrasion</t>
        </is>
      </c>
      <c r="C102" t="inlineStr">
        <is>
          <t xml:space="preserve">I had a “superficial” (that’s what the docs told me) corneal abrasion 16 days ago. They actually said it would be totally healed in ~3 days. Well the pain didn’t go away for at least a week, and I just got over the light sensitivity. The only thing that’s persisting is the blurred vision... is this permanent? Doesn’t seem to be improving. Thanks </t>
        </is>
      </c>
      <c r="D102" t="n">
        <v>1</v>
      </c>
      <c r="E102" t="n">
        <v>8</v>
      </c>
      <c r="F102">
        <f>HYPERLINK("https://www.reddit.com/r/eyetriage/comments/asp3pl/blurry_vision_persisting_over_2_weeks_after/")</f>
        <v/>
      </c>
      <c r="G102" t="inlineStr">
        <is>
          <t>2019-02-20 06:44:54</t>
        </is>
      </c>
      <c r="H102" t="inlineStr"/>
    </row>
    <row r="103">
      <c r="A103" t="inlineStr">
        <is>
          <t>aswcf0</t>
        </is>
      </c>
      <c r="B103" t="inlineStr">
        <is>
          <t>Fear of acanthamoeba keratitis with contacts</t>
        </is>
      </c>
      <c r="C103" t="inlineStr">
        <is>
          <t>I've been a contact lens wearer for about 10 years. I like to say that I've thankfully never experienced an infection from the lenses (some dryness here and there though). However, I've recently been having a uncomfortable feeling in one of my eyes - for a little under a month I'd say. Not super painful, little bit sore and kind of like a feeling of being dry, slight pain in the back of the eye - though that could be headache related due to stress). I've noticed the feeling is partially there while wearing the lenses but doesn't go away when the lenses are out.
So I made a doctor appointment and then consulted Dr. Google. Of course I came up with information about acanthamoeba keratitis and am worried about the possibility of having contracted it. I've been quite good about keeping my lenses away from water the past few years (don't shower, swim in them) but mostly because I just didn't want them to get dried out. I'd never heard of acanthamoeba keratitis before and didn't know this could be a risk with lenses.
I'm mostly concerned because I used to rinse my contact case out with tap water before drying it with a tissue, putting in fresh contact solution and dropping my bi-weekly lenses into them. This was years ago, I don't remember exactly how many years, but I learned eventually that you're not supposed to do that and stopped. Again, even here I never learned about acanthamoeba keratitis and thought you just shouldn't cause it's a risk for general bacterial infections. (And yes, I'm looking into dailies from now on to be on the safe side!)
I know there were other instances over the years where I was exposed to water - instances at pools, amusement water parks, the beach, maybe not drying hands completely before inserting/removing the lenses. And it wasn't even on my radar to be worried that the water exposure could cause such a severe disease.
So here's the question - is there any way during this terrible time of not realizing I was not caring for my lenses properly that I could have contracted acanthamoeba keratitis? I don't think there was any recent major water instance in the past weeks that could have caused this current irritation (maybe walking in the rain without an umbrella - is that likely to cause acanthamoeba keratitis?) But could the poor treatment from earlier times have caused the amoeba to get inside the eye? Could it live dormant for years and then strike? Or maybe I'm being paranoid?</t>
        </is>
      </c>
      <c r="D103" t="n">
        <v>1</v>
      </c>
      <c r="E103" t="n">
        <v>2</v>
      </c>
      <c r="F103">
        <f>HYPERLINK("https://www.reddit.com/r/eyetriage/comments/aswcf0/fear_of_acanthamoeba_keratitis_with_contacts/")</f>
        <v/>
      </c>
      <c r="G103" t="inlineStr">
        <is>
          <t>2019-02-20 16:43:25</t>
        </is>
      </c>
      <c r="H103" t="inlineStr"/>
    </row>
    <row r="104">
      <c r="A104" t="inlineStr">
        <is>
          <t>asz8v0</t>
        </is>
      </c>
      <c r="B104" t="inlineStr">
        <is>
          <t>Is 20/70 vision fine without correction?</t>
        </is>
      </c>
      <c r="C104" t="inlineStr">
        <is>
          <t>I have 20/70 vision.
I normally don't like wearing glasses, but have a pair on-hand for long distances like blackboards.
I feel like I miss things in my day-to-day without glasses -- just little things like street signs and facial expression.
So I thought about getting contacts. But, I was told 20/70 vision is basically normal and there's not a real justification to get contacts. I was told I don't even need glasses outside of occasional long-distance. Is that true?</t>
        </is>
      </c>
      <c r="D104" t="n">
        <v>1</v>
      </c>
      <c r="E104" t="n">
        <v>7</v>
      </c>
      <c r="F104">
        <f>HYPERLINK("https://www.reddit.com/r/eyetriage/comments/asz8v0/is_2070_vision_fine_without_correction/")</f>
        <v/>
      </c>
      <c r="G104" t="inlineStr">
        <is>
          <t>2019-02-20 21:22:41</t>
        </is>
      </c>
      <c r="H104" t="inlineStr"/>
    </row>
    <row r="105">
      <c r="A105" t="inlineStr">
        <is>
          <t>at4jbw</t>
        </is>
      </c>
      <c r="B105" t="inlineStr">
        <is>
          <t>When I cover/close my left eye and stare ahead with my right, it pretty quickly starts blacking out starting from the left side. When I do the opposite, my left eye is fine. Is that normal?</t>
        </is>
      </c>
      <c r="C105" t="inlineStr">
        <is>
          <t>I just had an eye exam with an ophthalmologist a month ago and everything was perfectly fine according to the doctor. Just realized this was happening the other day. Thanks! :)</t>
        </is>
      </c>
      <c r="D105" t="n">
        <v>2</v>
      </c>
      <c r="E105" t="n">
        <v>3</v>
      </c>
      <c r="F105">
        <f>HYPERLINK("https://www.reddit.com/r/eyetriage/comments/at4jbw/when_i_coverclose_my_left_eye_and_stare_ahead/")</f>
        <v/>
      </c>
      <c r="G105" t="inlineStr">
        <is>
          <t>2019-02-21 07:41:42</t>
        </is>
      </c>
      <c r="H105" t="inlineStr"/>
    </row>
    <row r="106">
      <c r="A106" t="inlineStr">
        <is>
          <t>at9gcw</t>
        </is>
      </c>
      <c r="B106" t="inlineStr">
        <is>
          <t>Laser pointer and eye.</t>
        </is>
      </c>
      <c r="C106" t="inlineStr">
        <is>
          <t>Hi all !
I have a question - can cheap laser pointer (red light, expect it to be class 2 &amp;lt;=1mw, unlikely more, but it could point stuff for good hundred meters during night) hurt an eye ?
It was long ago (\~15 years, i was like 8), don't ask how and why, but it had been pointed straight to eyes many times, for seconds and minutes, overall mb 30-60min. Approximately those years my low myopia numbers grew to medium. No black zones in sight, no visible defects of vision, no other big problems as far as i remember.  
Could something be overlooked by doctors at that period (quite bad medical help here) ? If yes, then should any tracks be left now ?
Thanks for replies in advance.</t>
        </is>
      </c>
      <c r="D106" t="n">
        <v>2</v>
      </c>
      <c r="E106" t="n">
        <v>5</v>
      </c>
      <c r="F106">
        <f>HYPERLINK("https://www.reddit.com/r/eyetriage/comments/at9gcw/laser_pointer_and_eye/")</f>
        <v/>
      </c>
      <c r="G106" t="inlineStr">
        <is>
          <t>2019-02-21 14:31:53</t>
        </is>
      </c>
      <c r="H106" t="inlineStr"/>
    </row>
    <row r="107">
      <c r="A107" t="inlineStr">
        <is>
          <t>atcdie</t>
        </is>
      </c>
      <c r="B107" t="inlineStr">
        <is>
          <t>Worried after retina hole surgery</t>
        </is>
      </c>
      <c r="C107" t="inlineStr">
        <is>
          <t xml:space="preserve"> Hello, I apologize in advanced if I have posted in the wrong subreddit. Today,  I had a laser eye surgery (I think it was called Laser retinopexy) to fix a retina hole that I had. I was told to do nothing strenuous for a few days but later on during the day, something unfortunate happened to me and I couldn't help but cry. While crying, my eyeball moved up/looked up and I saw a black hole (photopsia?) which is worrying to me because the cause of the retina surgery was seeing these black spots frequently.
I am worried that my crying somehow opened up the hole that was fixed  since the eye procedure was done the same day. Am I fine? There also is  some discomfort/pressure on my eye but I think that is to be expected. Thank you for your help!</t>
        </is>
      </c>
      <c r="D107" t="n">
        <v>1</v>
      </c>
      <c r="E107" t="n">
        <v>4</v>
      </c>
      <c r="F107">
        <f>HYPERLINK("https://www.reddit.com/r/eyetriage/comments/atcdie/worried_after_retina_hole_surgery/")</f>
        <v/>
      </c>
      <c r="G107" t="inlineStr">
        <is>
          <t>2019-02-21 19:16:52</t>
        </is>
      </c>
      <c r="H107" t="inlineStr"/>
    </row>
    <row r="108">
      <c r="A108" t="inlineStr">
        <is>
          <t>atd1bi</t>
        </is>
      </c>
      <c r="B108" t="inlineStr">
        <is>
          <t>Blurry vision distortion lenses corrects?</t>
        </is>
      </c>
      <c r="C108" t="inlineStr">
        <is>
          <t xml:space="preserve">Odd question but one that my ophthalmologist has never heard of. I have constant blurry vision, nothing is crisp and occasional double vision. But when the put the distortion lenses and I’m supposed to tell them when they line up. The lenses distorted are regular to me and actually help clear up some of my blurriness. 
Any thoughts to what could cause this? </t>
        </is>
      </c>
      <c r="D108" t="n">
        <v>1</v>
      </c>
      <c r="E108" t="n">
        <v>1</v>
      </c>
      <c r="F108">
        <f>HYPERLINK("https://www.reddit.com/r/eyetriage/comments/atd1bi/blurry_vision_distortion_lenses_corrects/")</f>
        <v/>
      </c>
      <c r="G108" t="inlineStr">
        <is>
          <t>2019-02-21 20:27:31</t>
        </is>
      </c>
      <c r="H108" t="inlineStr"/>
    </row>
    <row r="109">
      <c r="A109" t="inlineStr">
        <is>
          <t>atg2vw</t>
        </is>
      </c>
      <c r="B109" t="inlineStr">
        <is>
          <t>Vision clearer when I tilt my head</t>
        </is>
      </c>
      <c r="C109" t="inlineStr">
        <is>
          <t>Hi guys,
I have recently had my prescription updated, with new glasses too. I have had to go back to the optometrist to chat about them because my vision seems blurry, it definitely could be clearer, especially text. I also seem to be getting headaches with them. When I tilt my head slightly to my right, like a dog cocking his head, my vision clears up perfectly. I wish I could see this clearly with my head straight. I have explained this to my optometrist and she has told me to wait a month as I should adjust to them. Its been almost a week now and they don't seem to be getting better. I am willing to wait a month as she says but it just seems frustrating so far. It seems my left eye is the most blurry out of the two, if not the main culprit and my right may be fine.
My prescription is as follows, all the info I have unfortunately -
New Prescription: R -0.50 / -2.75 x 100 L -0.25 / -3.00 x 83 Lens index: 1.6
PD: 62
Coatings: anti scratch and anti glare
Old prescription: R -0.50 / -2.50 x 100
L -0.50 / -2.50 x 87
PD: 62
Coatings: anti scratch and anti glare
Is anything obvious at all with this information? Should I wait the month and head back to her if it doesnt improve or go chat to her again sooner? A month just seems like a long time to have headaches and slightly blurry vision, but if i could adjust then that would be great. I feel I am bugging her or going against her expertise.
Thank you everyone!</t>
        </is>
      </c>
      <c r="D109" t="n">
        <v>2</v>
      </c>
      <c r="E109" t="n">
        <v>19</v>
      </c>
      <c r="F109">
        <f>HYPERLINK("https://www.reddit.com/r/eyetriage/comments/atg2vw/vision_clearer_when_i_tilt_my_head/")</f>
        <v/>
      </c>
      <c r="G109" t="inlineStr">
        <is>
          <t>2019-02-22 02:42:35</t>
        </is>
      </c>
      <c r="H109" t="inlineStr"/>
    </row>
    <row r="110">
      <c r="A110" t="inlineStr">
        <is>
          <t>athmmm</t>
        </is>
      </c>
      <c r="B110" t="inlineStr">
        <is>
          <t>Myopia in right eye</t>
        </is>
      </c>
      <c r="C110" t="inlineStr">
        <is>
          <t xml:space="preserve">Title says it all really.
I am myopic in my right eye, but have perfect vision with my left, is this normal? </t>
        </is>
      </c>
      <c r="D110" t="n">
        <v>1</v>
      </c>
      <c r="E110" t="n">
        <v>5</v>
      </c>
      <c r="F110">
        <f>HYPERLINK("https://www.reddit.com/r/eyetriage/comments/athmmm/myopia_in_right_eye/")</f>
        <v/>
      </c>
      <c r="G110" t="inlineStr">
        <is>
          <t>2019-02-22 05:31:21</t>
        </is>
      </c>
      <c r="H110" t="inlineStr"/>
    </row>
    <row r="111">
      <c r="A111" t="inlineStr">
        <is>
          <t>atjgpt</t>
        </is>
      </c>
      <c r="B111" t="inlineStr">
        <is>
          <t>Eye Blurriness Question</t>
        </is>
      </c>
      <c r="C111" t="inlineStr">
        <is>
          <t>My two most recent prescriptions are below for context:
&amp;amp;#x200B;
I use my glasses exclusively for reading (computer and books), and while they definitely make text easier to read, after being on my computer for more than a couple hours (sometimes even just an hour) I get really bad eye fatigue (starts with them feeling "tired", then dry, then stinging, and if I don't stop using the computer I'll even get blurry or double vision, I'll shake my head and it will dissipate for a secoond. 
&amp;amp;#x200B;
I use eye drops once an hour
&amp;amp;#x200B;
I follow to 20-20-20 rule
&amp;amp;#x200B;
I also use f.lux to which essentially puts a more comfortable oragne hughue on the screen
&amp;amp;#x200B;
Looking forward to your feedback. 
&amp;amp;#x200B;
**New Prescription**
* OD Right 0.50+, Cylinder -050, Axis 10, 1/2 down arrow
* OS Left +.075, Cylinder -050, Axis 157, 1/2 up arrow
* Frame Material:acetate
* Single Vision Lense
* Coatings: N/A
**Old Prescription**
* Prescription:
* Right 1.0, Cylinder -.50, Axis 019, Horizontal Prism 3.0 In
* Left 1.50, Cylinder -.50, Axis 125, Horizontal Prism 3.0 In
* Framer Material: Metal
&amp;amp;#x200B;
&amp;amp;#x200B;</t>
        </is>
      </c>
      <c r="D111" t="n">
        <v>1</v>
      </c>
      <c r="E111" t="n">
        <v>5</v>
      </c>
      <c r="F111">
        <f>HYPERLINK("https://www.reddit.com/r/eyetriage/comments/atjgpt/eye_blurriness_question/")</f>
        <v/>
      </c>
      <c r="G111" t="inlineStr">
        <is>
          <t>2019-02-22 08:19:42</t>
        </is>
      </c>
      <c r="H111" t="inlineStr"/>
    </row>
    <row r="112">
      <c r="A112" t="inlineStr">
        <is>
          <t>atkdul</t>
        </is>
      </c>
      <c r="B112" t="inlineStr">
        <is>
          <t>Left eye darkness</t>
        </is>
      </c>
      <c r="C112" t="inlineStr">
        <is>
          <t xml:space="preserve">About a month ago I started to get dry eyes and less sleep. Three weeks ago I was on the computer and suddenly felt like I was wearing sunglasses but only on left eye. Also when I closed my left eye I could see a round circle, kind of like a clear round jelly fish.  The day it happens I had pain in the eye with light sensitivity. Sorry English is not my first language so a little hard to describe. I do go on the computer a lot six hours a day due to my line of work.  
Saw my doctor got referred to optometrists and ophthalmologist. I went to the optometrist and retina, macula. Cornea was all normal in left. She said my rt eye had worse vision than left.  Said to get new lense for my glasses which I do not always wear. 
I am male 40  and she said it sounds like a floater. Because where ever I move the round jelly blob that is making my vision in lt darker by 3 shades moves with me.  Sometime I experience pain in the left eye as well but it goes away. 
I know people go through a lot worse than me and I am grateful it’s not anything serious, but I am just concerned if it’s gonna get worse or seek an ophthalmologist for a second opinion.
I would appreciate any insight on this issue thx in advance. </t>
        </is>
      </c>
      <c r="D112" t="n">
        <v>1</v>
      </c>
      <c r="E112" t="n">
        <v>3</v>
      </c>
      <c r="F112">
        <f>HYPERLINK("https://www.reddit.com/r/eyetriage/comments/atkdul/left_eye_darkness/")</f>
        <v/>
      </c>
      <c r="G112" t="inlineStr">
        <is>
          <t>2019-02-22 09:35:14</t>
        </is>
      </c>
      <c r="H112" t="inlineStr"/>
    </row>
    <row r="113">
      <c r="A113" t="inlineStr">
        <is>
          <t>atpuht</t>
        </is>
      </c>
      <c r="B113" t="inlineStr">
        <is>
          <t>Edge of glasses blur</t>
        </is>
      </c>
      <c r="C113" t="inlineStr">
        <is>
          <t xml:space="preserve"> 
Any and all help appreciated, will post this somewhere else if it fits anywhere else better. I saw the new prescription sticky was archived so wasn't sure.
Just went in a week ago to get some new glasses after not having new glasses for 4 years. My vision wasnt TOO bad but small prints were getting harder to see with the old glasses. I have been told about the fishbowl effect where things feel a little slanted and tilted and noticed it right away when I first put them on. The wall in front of my seemed to bulge towards me. While I was working last night I noticed that a part of the table on my left side looked slanted and tilted like a marble would easily run off of it but I know it is perfectly flat. That is not the issue that I am concerned with at the moment though.
My issue is that the way I wear my glasses my eyes sit in the exact middle of the lens and the area in this spot seems to be roughly the same strength as my old prescription, maybe a little clearer. When I look up through the top 25% of the lens, everything seems a LOT clearer and looking through the sides of the bottom of the glasses things get blurry and I can barely read out of those sections of the glasses. Also, the lower I go when looking through the lens, the worse my chromatic aberration seems to get. I noticed these things because I drive for a job and the signs above my head that tell what highway I was getting on and off of seemed to be crystal clear but signs like speed signs and things that were more leveled with my head and the middle of the glasses seemed to be a slight more blurried or like my old glasses. When I kept my head facing the road straight ahead and I would glance in mirrors or look at speedometer or my center console for radio and air controls things got really blurry and if I looked at the heat knob for my car without moving my head, the blue bar seemed a lot higher than the red bar. If I angled myself and looked through the top part of my glasses, the blue and red bars lined up perfectly fine.
I went in to ask the staff if this was normal as well or if maybe something was wrong with the prescription because I have had a wrong prescription the last time I went in 4 years ago. One staff member told me "that will just take time getting used to". A second one told me "the red and blue lines don't match up so I don't see what you are complaining about. You'll never have full sight through the edges of your glasses. It just doesnt work that way, only the direct center in front of the eye is supposed to be clear" (which confused me as my old glasses never had a change in clear/blurry no matter what edge I looked at and the top part of these is clearer than the center so that seems odd that the bottom would be so much worse). And the third said "oh, it's because the nose pieces were set too high. that should fix things. If it doesn,t it's because you are using a new lens material." and it has not changed much. It helped a little but my eyes are still fighting over what to focus on.
As an example, right now my monitor is perfectly level with the center of my eyes and things seem fine, very similar to old prescription. If I tilt my head down as if I were looking at the desk, but keeping looking at the monitor, things get a LOT clearer, if I tilt my head up to look down my nose at the monitor, the text gets extremely blurry, still readable, but not enjoyable by any means at all.
I went from polycarbonate to hi-index.... I think, I am not positive. Ted Baker B348 frames. Single vision 1.67 lens for right and left. Crizal Avance coating
**New Prescription:**
.......**DVA .....NVA**
OD 20/20
OS 20/20
OU 20/10-1 20/15
......Sphere Cylinder Axis
OD -4.75     -0.75       015
OS -4.25     -1.50        170
I did read that someone had a similar issue with edges being blurry and had their pupillary distance remeasured and came out a little clearer but not a lot. When I was being fitted with the frames to see which I liked the lady did have me try them on and then put a mark on where the eyes centered and I am wondering if maybe this could cause the problem because maybe I had them sitting on my face differently since they had fake lenses and I was just seeing if they would fit my face to begin with, like if they lowered the central focal point (not even sure if that is a thing) that maybe it'd make the center of the glasses clearer and the lower portion not as blurry if the current lens has the very top part being the clearest.</t>
        </is>
      </c>
      <c r="D113" t="n">
        <v>2</v>
      </c>
      <c r="E113" t="n">
        <v>2</v>
      </c>
      <c r="F113">
        <f>HYPERLINK("https://www.reddit.com/r/eyetriage/comments/atpuht/edge_of_glasses_blur/")</f>
        <v/>
      </c>
      <c r="G113" t="inlineStr">
        <is>
          <t>2019-02-22 17:53:50</t>
        </is>
      </c>
      <c r="H113" t="inlineStr"/>
    </row>
    <row r="114">
      <c r="A114" t="inlineStr">
        <is>
          <t>atqehs</t>
        </is>
      </c>
      <c r="B114" t="inlineStr">
        <is>
          <t>Eye pressure of 26 and very worried</t>
        </is>
      </c>
      <c r="C114" t="inlineStr">
        <is>
          <t xml:space="preserve">Hi, i just went to see an optometrist and was told my right eye pressure is 26 and that's very high. i was told to go in tomorrow for another test. I panic a lot and stress and when they said glaucoma or other disease i freaked out and am worrying. Any advice on whether my pressure is a bad sign ad what could cause it ? </t>
        </is>
      </c>
      <c r="D114" t="n">
        <v>1</v>
      </c>
      <c r="E114" t="n">
        <v>5</v>
      </c>
      <c r="F114">
        <f>HYPERLINK("https://www.reddit.com/r/eyetriage/comments/atqehs/eye_pressure_of_26_and_very_worried/")</f>
        <v/>
      </c>
      <c r="G114" t="inlineStr">
        <is>
          <t>2019-02-22 18:50:49</t>
        </is>
      </c>
      <c r="H114" t="inlineStr"/>
    </row>
    <row r="115">
      <c r="A115" t="inlineStr">
        <is>
          <t>atrdr6</t>
        </is>
      </c>
      <c r="B115" t="inlineStr">
        <is>
          <t>Numerous symptoms</t>
        </is>
      </c>
      <c r="C115" t="inlineStr">
        <is>
          <t>Been having a bunch of eye problems recently and so far an optometrist and ophthalmologist haven't found anything but have a follow-up appointment soon.
Symptoms are:
\- one day while staring at my computer I suddenly felt dizzy and it felt like my eyes rolled to the back of my head for a second or two, felt normal immediately after though
\- a few days later I started feeling light sensitivity
\- a week later I sudden noticed a bunch of new floaters. I've previously seen one or two little bubbles when I've looked at bright surfaces for a few seconds but now there are between 5-10 little worm-shaped ones, mostly in my right eye. When I quint against a bright surface like a window or the sky I can see maybe 50-100 tiny little bubbles which seem to make up my floaters.
\- maybe a few weeks after that I noticed glare from lights during the day was much harsher, and at night I see often halos around lights (which blinking seems to temporarily fix sometimes)
\- trails (not sure how to describe really) of light at night. For example If I'm looking up and quickly look down at my computer screen, there is a flash of light below the screen for a brief second.
Are there any obvious causes of these symptoms, or things I should make sure I get checked at my next appointment?
Also are these things normal and I'm just noticing them as I'm constantly looking for things, or are they possible symptoms too:
\- double vision when squinting
\- light 'stretching' when squinting</t>
        </is>
      </c>
      <c r="D115" t="n">
        <v>1</v>
      </c>
      <c r="E115" t="n">
        <v>13</v>
      </c>
      <c r="F115">
        <f>HYPERLINK("https://www.reddit.com/r/eyetriage/comments/atrdr6/numerous_symptoms/")</f>
        <v/>
      </c>
      <c r="G115" t="inlineStr">
        <is>
          <t>2019-02-22 20:33:15</t>
        </is>
      </c>
      <c r="H115" t="inlineStr"/>
    </row>
    <row r="116">
      <c r="A116" t="inlineStr">
        <is>
          <t>ats4iz</t>
        </is>
      </c>
      <c r="B116" t="inlineStr">
        <is>
          <t>First time with glasses, Crizal lenses, creates starburst effect with lights at night. Do I just have to deal with it?</t>
        </is>
      </c>
      <c r="C116" t="inlineStr">
        <is>
          <t>I was diagnosed as having 20/20 vision with slight farsightedness. I was given glasses with a slight prescription, I think they said 1x, and went with the best anti-glare glasses offered, which was Crizal lenses. 
While wearing at night, it is making headlights, or any light look like a starburst, or having whiskers come out. I kind of already see lights look like this without glasses, but the glasses make it about 3 times as bad to the point that I cannot even wear them while driving ... which is unfortunate, because that's the only reason I wanted them.
I've communicated this to my doctor and the glasses have been returned twice to check for defects and then they were completely rebuilt by the top guy at wherever they were made. The second time they sounded sure they knew what it was and called it crazing, but having gotten the new glasses back, I still have the same issue as before. I also tried watching a play and couldn't use my glasses because it created a halo around the cast members on stage. 
I do not have keratoconus according to the doctor as I specifically asked about that.
Do I just have to put up with this? What I see through my glasses is like the complete opposite of images that Crizal advertises with ([example 1](http://drstamper.com/wp-content/uploads//2017/03/crizal_saphire.png) and [example 2](http://www.eyesofchicagoltd.com/uploads/1/1/7/4/117499195/antireflex_orig.jpg)).
Any ideas?</t>
        </is>
      </c>
      <c r="D116" t="n">
        <v>3</v>
      </c>
      <c r="E116" t="n">
        <v>3</v>
      </c>
      <c r="F116">
        <f>HYPERLINK("https://www.reddit.com/r/eyetriage/comments/ats4iz/first_time_with_glasses_crizal_lenses_creates/")</f>
        <v/>
      </c>
      <c r="G116" t="inlineStr">
        <is>
          <t>2019-02-22 21:57:36</t>
        </is>
      </c>
      <c r="H116" t="inlineStr"/>
    </row>
    <row r="117">
      <c r="A117" t="inlineStr">
        <is>
          <t>attgbm</t>
        </is>
      </c>
      <c r="B117" t="inlineStr">
        <is>
          <t>35 year old female with extremely high pressures....terrified of going blind</t>
        </is>
      </c>
      <c r="C117" t="inlineStr">
        <is>
          <t>I'm so scared right now. I started on Duotrav yesterday (lots of redness and dryness). I've been monitored for 10 years now with ocular hypertension. Had two kids and went back last week and my pressures were upper 30's. Visual Field showed normal and I don't feel like I've lost any vision other than a change in perscription.
I'm beyond terrified that I will go blind....like I would rather die than go blind. My father has been on drops for 25 years and he had SLT last year that successfully worked. But he was diagnosed at 50, I'm only 35. I have so long to keep this under control that it frightens me. I'm scared the drops aren't going to work and for another 2 weeks (when I go back to have pressures checked) I will do some more damage.
My optic nerve has slightly 'changed' and they don't want to diagnose it as glaucoma until I see a specialist since my field of vision was near perfect.
What are my chances of going blind? I would 100% comply with all medications and treatment plan.
I don't know if I will sleep tonight knowing I will likely lose my sight and not see my kids (new one is just 2 months old). I can barely type this without crying</t>
        </is>
      </c>
      <c r="D117" t="n">
        <v>1</v>
      </c>
      <c r="E117" t="n">
        <v>10</v>
      </c>
      <c r="F117">
        <f>HYPERLINK("https://www.reddit.com/r/eyetriage/comments/attgbm/35_year_old_female_with_extremely_high/")</f>
        <v/>
      </c>
      <c r="G117" t="inlineStr">
        <is>
          <t>2019-02-23 00:53:49</t>
        </is>
      </c>
      <c r="H117" t="inlineStr"/>
    </row>
    <row r="118">
      <c r="A118" t="inlineStr">
        <is>
          <t>au5zr6</t>
        </is>
      </c>
      <c r="B118" t="inlineStr">
        <is>
          <t>I’ve posted this before and yes I am a hypochondriac which doesn’t help but I have eye pain and it’s annoying me so much</t>
        </is>
      </c>
      <c r="C118" t="inlineStr">
        <is>
          <t>How obvious is it to have uveitis? Like would I know? I have a high Ana reading which detects possible auto immune disease and I know that uveitis can be due to immune system issues. I’ve had eye pain in my left eye for months (had surgery in October) cataract removal 🙄 I’m young! Under 30. Last time I went for my checkup he said my nerve was fine and everything, my pressure was at 22 and a week after the surgery it was 25 so it had gone down. He said I am a steroid responder which is why my pressure could be high. Would the pain I’m feeling be eye pressure? Super scared!! It’s more of an ache and sometimes my eye can look tired and bloodshot. He believes I do not have glaucoma however he did say that I could develop it later in life. My disc is normal and my nerve is too. 🤷‍♀️ what is causing my eye pain? Post op sensitivity or pressure? 😭 I’m so worried as I’m so young and I am terrified of going blind.</t>
        </is>
      </c>
      <c r="D118" t="n">
        <v>0</v>
      </c>
      <c r="E118" t="n">
        <v>16</v>
      </c>
      <c r="F118">
        <f>HYPERLINK("https://www.reddit.com/r/eyetriage/comments/au5zr6/ive_posted_this_before_and_yes_i_am_a/")</f>
        <v/>
      </c>
      <c r="G118" t="inlineStr">
        <is>
          <t>2019-02-24 00:17:58</t>
        </is>
      </c>
      <c r="H118" t="inlineStr"/>
    </row>
    <row r="119">
      <c r="A119" t="inlineStr">
        <is>
          <t>au6vq2</t>
        </is>
      </c>
      <c r="B119" t="inlineStr">
        <is>
          <t>Strange spot in the vision of my right eyes vision</t>
        </is>
      </c>
      <c r="C119" t="inlineStr">
        <is>
          <t xml:space="preserve"> 
It has been a week since I noticed a strange blurry oval spot in my right eye. I am workin on a computer as a living so sometimes when the deadlines are coming im overhelmed and i need to work on PC longer than it is usual. Due to that i had pink eye from it and some inflammation. I am not sure if the spot was alrdy there coz it is also possible, but i noticed it just a week ago as i told. The spot is fixed that mean it is not a floater and rather than being a large and dark or black it seems to be more white,blurry, shiny, and mb rainbow coloured. I cannot really tell its hard to distinguish. Also my eyes feel kinda tired. I also notice strange feeling light pressure mb behind the right eye also i feel slight discomfort when moving the eye to the sides. Smt i got a feeling that i see more red fade in the right eye and more blue fade in a left eye, but that may be due to light i am not sure about it. I had an exam by an phtalmologist and they did not found anything so i want to ask you reddit if you havent met smt similiar and mb and mb some advice to me. I am also linking you the photo of both eyes n amsler test where i can see the dot or spot. I can see it the most after i blink or when i stare into white wall or pc monitor.
[https://imgur.com/67or2YT](https://imgur.com/67or2YT) (RIGHT EYE)
[https://imgur.com/a/l67GXpN](https://imgur.com/a/l67GXpN) (LEFT EYE)
[https://imgur.com/a/9K6U6C5](https://imgur.com/a/9K6U6C5) (AMSLER GRID)
I am 20 years old student, working sparingly after school ( on PC ) no diabetes, not obese, no glasses. I am the kind of person who worries about health so thats why im coming for an advice, i want to pre thank you for your time to examinate !</t>
        </is>
      </c>
      <c r="D119" t="n">
        <v>3</v>
      </c>
      <c r="E119" t="n">
        <v>2</v>
      </c>
      <c r="F119">
        <f>HYPERLINK("https://www.reddit.com/r/eyetriage/comments/au6vq2/strange_spot_in_the_vision_of_my_right_eyes_vision/")</f>
        <v/>
      </c>
      <c r="G119" t="inlineStr">
        <is>
          <t>2019-02-24 02:45:52</t>
        </is>
      </c>
      <c r="H119" t="inlineStr"/>
    </row>
    <row r="120">
      <c r="A120" t="inlineStr">
        <is>
          <t>au6zf4</t>
        </is>
      </c>
      <c r="B120" t="inlineStr">
        <is>
          <t>Choppy vision</t>
        </is>
      </c>
      <c r="C120" t="inlineStr">
        <is>
          <t xml:space="preserve">
When driving only...my vision gets choppy. Like its dropping frames. Like a stuttering vision. Its triggered by each passing car. The cas sorta jump at me.
Went to an opthalmologyst and they said eyes are fine. MRI done. All is well.
What could this be?
I quit driving until I get better.</t>
        </is>
      </c>
      <c r="D120" t="n">
        <v>5</v>
      </c>
      <c r="E120" t="n">
        <v>3</v>
      </c>
      <c r="F120">
        <f>HYPERLINK("https://www.reddit.com/r/eyetriage/comments/au6zf4/choppy_vision/")</f>
        <v/>
      </c>
      <c r="G120" t="inlineStr">
        <is>
          <t>2019-02-24 03:02:32</t>
        </is>
      </c>
      <c r="H120" t="inlineStr"/>
    </row>
    <row r="121">
      <c r="A121" t="inlineStr">
        <is>
          <t>au7snf</t>
        </is>
      </c>
      <c r="B121" t="inlineStr">
        <is>
          <t>Ophthalmologist in Berlin</t>
        </is>
      </c>
      <c r="C121" t="inlineStr">
        <is>
          <t>Can you suggest any English speaking ophthalmologist in Berlin (dry eye issues)?</t>
        </is>
      </c>
      <c r="D121" t="n">
        <v>1</v>
      </c>
      <c r="E121" t="n">
        <v>0</v>
      </c>
      <c r="F121">
        <f>HYPERLINK("https://www.reddit.com/r/eyetriage/comments/au7snf/ophthalmologist_in_berlin/")</f>
        <v/>
      </c>
      <c r="G121" t="inlineStr">
        <is>
          <t>2019-02-24 05:08:41</t>
        </is>
      </c>
      <c r="H121" t="inlineStr"/>
    </row>
    <row r="122">
      <c r="A122" t="inlineStr">
        <is>
          <t>auglld</t>
        </is>
      </c>
      <c r="B122" t="inlineStr">
        <is>
          <t>Is RELEX SMILE recognized as the best approach for moderate myopia by professionals?</t>
        </is>
      </c>
      <c r="C122" t="inlineStr">
        <is>
          <t>The research I've been able to find seems to indicate that SMILE is the best procedure for an uncomplicated case of moderate myopia (mine is -7.25), assuming an experienced surgeon. There seems to be an opinion that TransPrk is a better or at least more mature technology. Is there a consensus in the Opthalmology community?
I'm 32 and have been waiting to the tech to mature enough to have high confidence that's it's the best option. The nearest surgeon to me has been operating the clinic for four years.
Thank you!</t>
        </is>
      </c>
      <c r="D122" t="n">
        <v>2</v>
      </c>
      <c r="E122" t="n">
        <v>0</v>
      </c>
      <c r="F122">
        <f>HYPERLINK("https://www.reddit.com/r/eyetriage/comments/auglld/is_relex_smile_recognized_as_the_best_approach/")</f>
        <v/>
      </c>
      <c r="G122" t="inlineStr">
        <is>
          <t>2019-02-24 19:53:35</t>
        </is>
      </c>
      <c r="H122" t="inlineStr"/>
    </row>
    <row r="123">
      <c r="A123" t="inlineStr">
        <is>
          <t>aumzwq</t>
        </is>
      </c>
      <c r="B123" t="inlineStr">
        <is>
          <t>Eyeball position</t>
        </is>
      </c>
      <c r="C123" t="inlineStr">
        <is>
          <t>Is it possible to change the position of the eyeballs? I have esotropia in my left eye. 
Can you drag/push it outwards or inwards or any direction, if it is actually possible, though. Will it just stay in the same position, no matter what i do? Or is this dangerous to do by yourself?</t>
        </is>
      </c>
      <c r="D123" t="n">
        <v>1</v>
      </c>
      <c r="E123" t="n">
        <v>3</v>
      </c>
      <c r="F123">
        <f>HYPERLINK("https://www.reddit.com/r/eyetriage/comments/aumzwq/eyeball_position/")</f>
        <v/>
      </c>
      <c r="G123" t="inlineStr">
        <is>
          <t>2019-02-25 08:21:24</t>
        </is>
      </c>
      <c r="H123" t="inlineStr"/>
    </row>
    <row r="124">
      <c r="A124" t="inlineStr">
        <is>
          <t>aun08m</t>
        </is>
      </c>
      <c r="B124" t="inlineStr">
        <is>
          <t>Can living in a basement apartment affect your eyesight? (among other things)</t>
        </is>
      </c>
      <c r="C124" t="inlineStr">
        <is>
          <t>Male
Caucasian
29 years old
No medication
So I've been living in my basement apartment for about 6 years. In the past couple of years I've started to develop issues I've never really had before. 
For one I get chronic sinus infections that usually require antibiotics.
But the one issue that confuses me the most is my eyes have developed a sensitivity to light. I usually have to wear sunglasses when leaving the house regardless of weather. 
I've been to an eye doctor and my eyes are fine.
I also started a office job about 5 years ago. Could staring at a computer screen + flurescent light all day also be giving me light sensitivity? It helps if I wear sunglasses in the office while working.
Is this just my eyes getting older? Or does my living situation have something to do with it?
Any info would be a huge help!</t>
        </is>
      </c>
      <c r="D124" t="n">
        <v>2</v>
      </c>
      <c r="E124" t="n">
        <v>1</v>
      </c>
      <c r="F124">
        <f>HYPERLINK("https://www.reddit.com/r/eyetriage/comments/aun08m/can_living_in_a_basement_apartment_affect_your/")</f>
        <v/>
      </c>
      <c r="G124" t="inlineStr">
        <is>
          <t>2019-02-25 08:22:05</t>
        </is>
      </c>
      <c r="H124" t="inlineStr"/>
    </row>
    <row r="125">
      <c r="A125" t="inlineStr">
        <is>
          <t>aunzb1</t>
        </is>
      </c>
      <c r="B125" t="inlineStr">
        <is>
          <t>Allergic papillary conjunctivitis in upper eyelid</t>
        </is>
      </c>
      <c r="C125" t="inlineStr">
        <is>
          <t xml:space="preserve">I felt a forgien body sensation in my left upper eyelid with reflex lacrimation in morning.. I waited for 3 days and i never got relief so i went to the optometrist and she examined me in the slit lamp.. And surprise you got a single papilla.. And prescribed me (FML neo)
Which i didn't find in my area so I'm asking is there any alternatives to FML or should i revisit the clinic... Pssst : the clinic will be available 2 days from now!
</t>
        </is>
      </c>
      <c r="D125" t="n">
        <v>1</v>
      </c>
      <c r="E125" t="n">
        <v>4</v>
      </c>
      <c r="F125">
        <f>HYPERLINK("https://www.reddit.com/r/eyetriage/comments/aunzb1/allergic_papillary_conjunctivitis_in_upper_eyelid/")</f>
        <v/>
      </c>
      <c r="G125" t="inlineStr">
        <is>
          <t>2019-02-25 09:46:59</t>
        </is>
      </c>
      <c r="H125" t="inlineStr"/>
    </row>
    <row r="126">
      <c r="A126" t="inlineStr">
        <is>
          <t>auot9r</t>
        </is>
      </c>
      <c r="B126" t="inlineStr">
        <is>
          <t>General Questions about Pathological Myopia</t>
        </is>
      </c>
      <c r="C126" t="inlineStr">
        <is>
          <t>Hello, r/eyetriage. Before I begin what is sure to be a long, rambling post, I thought it might be best to cover my ocular history:
&amp;amp;#x200B;
Age/Sex: 28/Male
Prescription: -9d (left eye) -12d (right eye)
Current Eye Conditions: Bilateral lattice degeneration from 11 to 3 o'clock with 2-3 associated atrophic, pigmented retinal holes. Diagnosed degenerative myopia. Vitreous floaters in both eyes (the right is much worse).
Family History: History of relatively high myopia on my mother's side (I've been unable to find anyone else's actual Rxs). No history of major retinal problems.
&amp;amp;#x200B;
Now that that's out of the way, please let me explain my current situation. I've always known that my eyes were worse than most people's, but have never thought twice about it. Because my current employer offers fairly decent health insurance, and because I hadn't gotten new glasses in almost a decade, I decided to get myself checked out and evaluated for a new prescription if needed. During the eye examination two months ago (which, incidentally, happened to be my first ever dilated exam) it was revealed that my high degree of myopia has caused the degenerative changes mentioned above.
&amp;amp;#x200B;
During the actual examination, I wasn't given much of a chance to ask questions. I was only told that I was at risk for some very scary vision affecting complications and to be on the lookout for flashes/new floaters/changes in my vision.
&amp;amp;#x200B;
Because I was given very little information at the time of my diagnoses, I spent the next couple of weeks consulting Dr. Google (bad idea, I know) and discovered just how many vision-threatening conditions I am at risk for. What I've not been able to find are statistics regarding my particular situation. I have no history of medical anxiety, but my eyes have me extremely worried, especially regarding retinal detachments and Myopic Macular Degeneration/CNV.
&amp;amp;#x200B;
I, like most people, am heavily reliant on my eyes to work/function and would like to take every step possible to preserve my vision. Are there any statistics/advice one could point me towards in order to help me feel better about my diagnosis and/or help me take the situation into my own hands?
&amp;amp;#x200B;
Thanks in advance for any information that can be offered.</t>
        </is>
      </c>
      <c r="D126" t="n">
        <v>1</v>
      </c>
      <c r="E126" t="n">
        <v>3</v>
      </c>
      <c r="F126">
        <f>HYPERLINK("https://www.reddit.com/r/eyetriage/comments/auot9r/general_questions_about_pathological_myopia/")</f>
        <v/>
      </c>
      <c r="G126" t="inlineStr">
        <is>
          <t>2019-02-25 10:56:39</t>
        </is>
      </c>
      <c r="H126" t="inlineStr"/>
    </row>
    <row r="127">
      <c r="A127" t="inlineStr">
        <is>
          <t>aus2i8</t>
        </is>
      </c>
      <c r="B127" t="inlineStr">
        <is>
          <t>Question about Lumigan eye drops</t>
        </is>
      </c>
      <c r="C127" t="inlineStr">
        <is>
          <t>Can Glaucoma eye drops affect both eyes if you put the drops in one eye only? For example, I was taking Lumigan and my OCT showed that there was macular thickening OU after two months, however, I was only taking the drop in my left eye at the time and the thickening was about equal at the the time.</t>
        </is>
      </c>
      <c r="D127" t="n">
        <v>1</v>
      </c>
      <c r="E127" t="n">
        <v>2</v>
      </c>
      <c r="F127">
        <f>HYPERLINK("https://www.reddit.com/r/eyetriage/comments/aus2i8/question_about_lumigan_eye_drops/")</f>
        <v/>
      </c>
      <c r="G127" t="inlineStr">
        <is>
          <t>2019-02-25 15:37:00</t>
        </is>
      </c>
      <c r="H127" t="inlineStr"/>
    </row>
    <row r="128">
      <c r="A128" t="inlineStr">
        <is>
          <t>ausc26</t>
        </is>
      </c>
      <c r="B128" t="inlineStr">
        <is>
          <t>Bad case of eye strain</t>
        </is>
      </c>
      <c r="C128" t="inlineStr">
        <is>
          <t xml:space="preserve">Hello everyone, I hope someone can help me! 
For quite some time now I've been suffering from eye strain. My eyes get tired when looking at a screen and I get a headache. It all passes when I stop looking at a screen, sleeping helps even better. 
I've had my eyes checked and I was diagnosed with astigmatism. The glasses I bought help tremendously, but they don't solve my problem. I've tried a bunch of other stuff, like eye drops, the 20/20/20 rule and I've installed flux.
Something is very, very weird though. Once the sun goes down, my issues disappear COMPLETELY. I can stare at a screen for hours (like now) without ant issues whatsoever. 
I've visited three different eye doctors (made an appointment with a fourth), but no one has been able to explain this. The last doctor actually ran all of his tests again after putting on the lights but claimed that he saw no difference in my eyes. 
So you'd think light causes my issues. Only it doesn't really. By that I mean that I'm completely fine with artificial light. So sun light seems to be the culprit? 
At work I am lucky because I work in a room with no natural light. But we'll be moving to a new office with lots of natural light late this year, and I'm really dreading this. 
So can anyone actually explain this? </t>
        </is>
      </c>
      <c r="D128" t="n">
        <v>3</v>
      </c>
      <c r="E128" t="n">
        <v>2</v>
      </c>
      <c r="F128">
        <f>HYPERLINK("https://www.reddit.com/r/eyetriage/comments/ausc26/bad_case_of_eye_strain/")</f>
        <v/>
      </c>
      <c r="G128" t="inlineStr">
        <is>
          <t>2019-02-25 16:01:59</t>
        </is>
      </c>
      <c r="H128" t="inlineStr"/>
    </row>
    <row r="129">
      <c r="A129" t="inlineStr">
        <is>
          <t>autrsg</t>
        </is>
      </c>
      <c r="B129" t="inlineStr">
        <is>
          <t>Eye strain and a new floater?</t>
        </is>
      </c>
      <c r="C129" t="inlineStr">
        <is>
          <t>So I've posted over on the Optometry subreddit before about my story on an alternate account, but the short and skinny of it is that I was taking accutane, which had double vision listed as a side effect. Started noticing that, got an emergency trip to the optometrist two weeks ago, and they told me I have a major astigmatism, and that accutane may have caused it.
Anyway, I'm scheduled to head back in for a followup this Friday to get some glasses, since it doesn't seem like it's gotten much better (and I've been due for them for a while anyway), but lately I've been experiencing really bad strain in my right eye, and what seems to be a new floater. I've had floaters forever, but this one seems a lot larger and more aggressive than the tiny lines and dots I'm used to.
It's hard to describe it, but it's basically this large line from a portion of my lower eye that extends to my peripheral vision (like it's curving into it), looking at a white background on a monitor is where it's most noticeable. It also seems to respond to light and turn blue for a few seconds, if for example I go look in the bathroom mirror and turn my light on and off, I can see a slightly large wormy looking line that fades away. Even walking out of my room into the hall, it turns blue temporarily from the light. (And when looking at white backgrounds on my monitor, it does seem to move with my eye.) Sometimes it feels like I'm experiencing it flashing in my eye as well.
I ended up going to the ER because I wasn't sure what it was, and the doctor there took a look at my eyes with a slit lamp and said they looked fine. He went through the explanation of floaters to me, and said that's probably what I have. But I've never experienced one this aggressive before, nor with such bad eyestrain.
Does this sound like a classic floater? And is there anything in particular I should talk to the optometrist about on Friday? I'm really bad at describing my symptoms, so I don't really know how to describe it or what to ask about.
I thought it might be migraine related, since I do suffer from a lot of headaches, and have had migraines/ocular migraines before, but that usually goes away within an hour at most and turns into a migraine. Also, this might be completely unrelated, but I've been having upper tooth pain on the right side of my mouth in my wisdom tooth area for a while now, so I'm wondering if that might be causing eye pain as well.</t>
        </is>
      </c>
      <c r="D129" t="n">
        <v>3</v>
      </c>
      <c r="E129" t="n">
        <v>2</v>
      </c>
      <c r="F129">
        <f>HYPERLINK("https://www.reddit.com/r/eyetriage/comments/autrsg/eye_strain_and_a_new_floater/")</f>
        <v/>
      </c>
      <c r="G129" t="inlineStr">
        <is>
          <t>2019-02-25 18:24:14</t>
        </is>
      </c>
      <c r="H129" t="inlineStr"/>
    </row>
    <row r="130">
      <c r="A130" t="inlineStr">
        <is>
          <t>auur2h</t>
        </is>
      </c>
      <c r="B130" t="inlineStr">
        <is>
          <t>Is my prescription necessary?</t>
        </is>
      </c>
      <c r="C130" t="inlineStr">
        <is>
          <t>A few months ago I was noticing things far away were getting a bit blurry. I've had a reading prescription for a year before this and went to get my eyes checked again. The ophthalmologist recommended I try a light prescription since I have an astigmatism in both eyes. They definitely make a difference, but i'm wondering if I need them since it's a relatively weak one: Sphere 0.00 (OD+OS), Cylinder -0.50 (OD+OS), Axis 93 OD and 65 OS, Near PD.
Perhaps i'm just in denial that the time had come to wear my glasses despite only being 25. Any advice would be appreciated. Thank you.</t>
        </is>
      </c>
      <c r="D130" t="n">
        <v>2</v>
      </c>
      <c r="E130" t="n">
        <v>1</v>
      </c>
      <c r="F130">
        <f>HYPERLINK("https://www.reddit.com/r/eyetriage/comments/auur2h/is_my_prescription_necessary/")</f>
        <v/>
      </c>
      <c r="G130" t="inlineStr">
        <is>
          <t>2019-02-25 20:02:02</t>
        </is>
      </c>
      <c r="H130" t="inlineStr"/>
    </row>
    <row r="131">
      <c r="A131" t="inlineStr">
        <is>
          <t>auvd0o</t>
        </is>
      </c>
      <c r="B131" t="inlineStr">
        <is>
          <t>help - bouts of infections, foreign country</t>
        </is>
      </c>
      <c r="C131" t="inlineStr">
        <is>
          <t>I'm currently in Japan for some time.  The language barrier is high so it's hard to get anything complicated across.
I had a white slightly painful white bump on the lower eyelid margin 10d ago. It discharged into my eye and I woke up the next day with a very inflamed chalazion on the upper eyelid.
I got to an eye doctor who prescribed what I understand to be a neomycin("fradiomycin")+methylprednisolone ointment to use 3 times a day.
After a week I got back there and was told that it was healing ok, I should keep using the cream for one extra week.
2 days ago I had some discomfort in the other eye, as is usual before an infection. I woke up with yet another very inflamed chalazion, in the other eye. I've started treating it the very same way.
I have no idea wtf is happening. 
This morning I woke up with yet another whitish spot on the eyelid margin, in the eye that got infected in the first place 10d ago, although this time it's not painful. Even though I'm still using antibiotics in that eye.
Wtf is going on? I'm starting to lose it. Again it's very hard to communicate anything other than basic. It's debilitating. It's painful for a few days, I don't see s\* and I'm basically disfigured.
Help? Any suggestions?
I have an history of blepharitis and lymphopenia. I went through some emotional stress recently.
&amp;amp;#x200B;</t>
        </is>
      </c>
      <c r="D131" t="n">
        <v>1</v>
      </c>
      <c r="E131" t="n">
        <v>12</v>
      </c>
      <c r="F131">
        <f>HYPERLINK("https://www.reddit.com/r/eyetriage/comments/auvd0o/help_bouts_of_infections_foreign_country/")</f>
        <v/>
      </c>
      <c r="G131" t="inlineStr">
        <is>
          <t>2019-02-25 21:04:57</t>
        </is>
      </c>
      <c r="H131" t="inlineStr"/>
    </row>
    <row r="132">
      <c r="A132" t="inlineStr">
        <is>
          <t>auy9lz</t>
        </is>
      </c>
      <c r="B132" t="inlineStr">
        <is>
          <t>Vision gets blurry when focussing on something for a longer duration and during reading</t>
        </is>
      </c>
      <c r="C132" t="inlineStr">
        <is>
          <t xml:space="preserve"> 
When I read longer texts or simply focus on something for a longer time, my vision gets somewhat blurry. This happens within 5-10 seconds. I would compare it to a soft gaze which I also use to skim through texts in order to find words in it or if you slightly cross your eyes. It is only a very minor limitation while reading but it is still there and I don't think this has always been the case.
&amp;amp;#x200B;
* I have 100% eyesight (no real imbalance either where I can see things further away/ closer any better)
* I have good balance
* I do intermittent fasting (good diet and mostly no processed foods)
* Sleep has no impact on it
* I have so so short term memory (If I know something is important then there's no problem and I can also memerize longer numbers)
* I spend a lot of time in front of my Notebook due to my major
* Accomodation works (when I focus on something far away for 30s and then something closer it is instantly sharp)
* My eyes are very light sensitive (always have been)
* Happens inside and outside (also no carbon monoxide problem or something like that)
* I do not have diabetes or any other illness and am decently fit (exercise 3x per Week)
&amp;amp;#x200B;
What could be my problem? The only thing I came up with this far is that I might involuntarily cross my eyes somehow. Or could this also be a form of astigmatism?</t>
        </is>
      </c>
      <c r="D132" t="n">
        <v>1</v>
      </c>
      <c r="E132" t="n">
        <v>12</v>
      </c>
      <c r="F132">
        <f>HYPERLINK("https://www.reddit.com/r/eyetriage/comments/auy9lz/vision_gets_blurry_when_focussing_on_something/")</f>
        <v/>
      </c>
      <c r="G132" t="inlineStr">
        <is>
          <t>2019-02-26 03:09:51</t>
        </is>
      </c>
      <c r="H132" t="inlineStr"/>
    </row>
    <row r="133">
      <c r="A133" t="inlineStr">
        <is>
          <t>av28kp</t>
        </is>
      </c>
      <c r="B133" t="inlineStr">
        <is>
          <t>X-post from Askdocs, please advise.</t>
        </is>
      </c>
      <c r="C133" t="inlineStr">
        <is>
          <t>Required info:
31 y.o. male, 69" 140lbs. Only medications are advil, 1600mg/day. Only other medical issues is protein in urine of unknown origin, weight loss, fatigue. No longer have coverage and I had to move way out of the area, doc didn't seem too concerned though. I do have astigmatism and have double vision , but this seems on another level. 
So, my left eye. I've had daily eye pain located in the back and top of the eye, and feels like pressure in the eye. This has been well over a month. I haven't had any sort of URI in a year, so I don't believe it's sinus related, no issues there. If I take advil it helps to an extent, but it never really goes away. I feel like I'm going crazy, but it looks like colors look... different? Between the two eyes. Red is red and blue is blue, but there are definitely differences in the shades. In my left eye is almost appears flat, like pastel. There's been other visual disturbances like flashes of light when I go from light to dark and a general fuzziness in my vision in only the left eye. I've also noticed my field of vision is greater in my unaffected side than my left side.
This may sound crazy, but there's a noticeable difference in size and feel in my eyes? Affected eye feels hard and small, right eye feels normal. 
I don't know what to do. I feel if I go to the ER it won't be deemed an emergency since I still have my vision. I don't have a PCP as I've just moved nor am I insured. 
What do I do? 
Edit: not sure if it helps, but I've had nonstop nausea for the same timeframe?</t>
        </is>
      </c>
      <c r="D133" t="n">
        <v>0</v>
      </c>
      <c r="E133" t="n">
        <v>1</v>
      </c>
      <c r="F133">
        <f>HYPERLINK("https://www.reddit.com/r/eyetriage/comments/av28kp/xpost_from_askdocs_please_advise/")</f>
        <v/>
      </c>
      <c r="G133" t="inlineStr">
        <is>
          <t>2019-02-26 09:45:45</t>
        </is>
      </c>
      <c r="H133" t="inlineStr"/>
    </row>
    <row r="134">
      <c r="A134" t="inlineStr">
        <is>
          <t>av57w2</t>
        </is>
      </c>
      <c r="B134" t="inlineStr">
        <is>
          <t>Bubbles Converging on Center of Vision in Bright Conditions</t>
        </is>
      </c>
      <c r="C134" t="inlineStr">
        <is>
          <t>For as long as I can remember I've had a peculiar visual symptom when I'm outside in snow or bright sunlight. I've tried googling it, but everything redirects to floaters, which it doesn't seem to be. 
If you know the old Star Trek Screensaver from Windows, where stars emerge from the edges of a void center, and move outwards in every direction from the center, it's like that, but in reverse. I see what looks like bubbles or shadows of bubbles, which move quickly into the center of my vision but disappear just before they get there, leaving an unobstructed area in the center of my vision. The bubbles start off fairly big, perhaps as big as my fingertip in my vision, and very transparent, and as they speed towards the center they become smaller, and more visible, until they vanish around the center. The effect persists wherever I look, always centered where I'm looking. 
It gets more pronounced the longer I'm outside in the snow or sunlight, and becomes unnoticeable in normal conditions. I remember noticing this when I was 5 or so years old, and at 23 it's exactly the same. If anybody needs any clarifying questions I'll try to respond. Thank you.</t>
        </is>
      </c>
      <c r="D134" t="n">
        <v>1</v>
      </c>
      <c r="E134" t="n">
        <v>1</v>
      </c>
      <c r="F134">
        <f>HYPERLINK("https://www.reddit.com/r/eyetriage/comments/av57w2/bubbles_converging_on_center_of_vision_in_bright/")</f>
        <v/>
      </c>
      <c r="G134" t="inlineStr">
        <is>
          <t>2019-02-26 14:02:44</t>
        </is>
      </c>
      <c r="H134" t="inlineStr"/>
    </row>
    <row r="135">
      <c r="A135" t="inlineStr">
        <is>
          <t>av6hwp</t>
        </is>
      </c>
      <c r="B135" t="inlineStr">
        <is>
          <t>Post-cataract surgery problem in left eye only</t>
        </is>
      </c>
      <c r="C135" t="inlineStr">
        <is>
          <t>Hi all, I'm posting on behalf of my father. He is 64 years old. He wants a second opinion about his problem. The following is his description:
&amp;amp;#x200B;
'Due of glaucoma from diabetic complications, I had bleeding in both retinas about 6 years ago. After multiple laser treatments arrested the bleeding problem, vision was down to 6/20. It improved slightly after the body started to reabsorb the blood. I decided to do the cataract operation on both eyes because vision started decreasing as time went on. 
After cataract surgery on my left eye, my eyesight was clear. 8 months later it started giving me problems again. There is varying degrees of blurriness in my left eye at different times. It seems much clearer in the morning just after I wake up. It gets worse as the day progresses.
Cataract surgery was also done on my right eye, but so far so good. There are no problems there. 
What could be wrong with my left eye? '
&amp;amp;#x200B;
Please help in any way that you can. Any new clues or ideas will be greatly appreciated. Thank you.</t>
        </is>
      </c>
      <c r="D135" t="n">
        <v>1</v>
      </c>
      <c r="E135" t="n">
        <v>1</v>
      </c>
      <c r="F135">
        <f>HYPERLINK("https://www.reddit.com/r/eyetriage/comments/av6hwp/postcataract_surgery_problem_in_left_eye_only/")</f>
        <v/>
      </c>
      <c r="G135" t="inlineStr">
        <is>
          <t>2019-02-26 16:00:46</t>
        </is>
      </c>
      <c r="H135" t="inlineStr"/>
    </row>
    <row r="136">
      <c r="A136" t="inlineStr">
        <is>
          <t>av6vtc</t>
        </is>
      </c>
      <c r="B136" t="inlineStr">
        <is>
          <t>Just a quick question: Should I get another eye test if my vision has gotten worse without my glasses but it's still fine with my glasses</t>
        </is>
      </c>
      <c r="C136" t="inlineStr">
        <is>
          <t>17 years old, my last eye test was about 8 months ago.
I'm not sure exactly what is wrong with my eye but I know for sure I have astigmatism. 
At the end of my last appointment the optician said I can wear them whenever I want and they're not necessary, however I've noticed the last month or two they pretty much have become necessary because I can barely see without them.
I have a weak prescription and most people who try my glasses(you know the people) say they can't see any difference whatsoever but it makes a massive difference to me especially recently as without them writing has been blurry and I have quite a lot of trouble focusing my eyes. But with my glasses everything is still fine.
Should I go to the optician or just wait until my next appointment
I am located in the UK if it matters! 
Thank you in advance for the help!!</t>
        </is>
      </c>
      <c r="D136" t="n">
        <v>2</v>
      </c>
      <c r="E136" t="n">
        <v>2</v>
      </c>
      <c r="F136">
        <f>HYPERLINK("https://www.reddit.com/r/eyetriage/comments/av6vtc/just_a_quick_question_should_i_get_another_eye/")</f>
        <v/>
      </c>
      <c r="G136" t="inlineStr">
        <is>
          <t>2019-02-26 16:38:37</t>
        </is>
      </c>
      <c r="H136" t="inlineStr"/>
    </row>
    <row r="137">
      <c r="A137" t="inlineStr">
        <is>
          <t>avbp27</t>
        </is>
      </c>
      <c r="B137" t="inlineStr">
        <is>
          <t>My eyes hurt for some unknown reason.</t>
        </is>
      </c>
      <c r="C137" t="inlineStr">
        <is>
          <t xml:space="preserve">Hi!
Age: 20
For the past 3 months, my eyes have been acting weirdly. At first, they started to hurt really badly after long periods of being behind a computer, because I had to study for my exams. When the exams were passed, my eyes stopped
hurting, but I got in my one eye around 3 black eye floaters and 5-10 transparent (but big) eye floaters. 
I thought this was serious, so I made an appointment to the person, who prescribes glasses (she also checked my eyes). She told me that floaters usually come with age or with a torn retina. She checked my eyes and said that one eye (that has a lot of floaters) is completely fine, just -0.25 glasses needed, other eye, which doesn't have floaters, is -0.5. She checked my retinas and none of the eyes have torn retinas.
I felt relieved, but also simultaneously annoyed, because I can't get rid of these huge floaters. 
Time went by and as of yesterday, my eyes started to hurt again really badly, but this time I did not even spend that much time behind my computer. Whenever I start to look at a screen, it takes only 10 minutes before my eyes start hurting and dripping tears. Furthermore, by the evening I start blinking very excessively and there's nothing I can do to it. Today I woke up with my eyes hurting and also with a headache (at the back of my head). I am helpless and I don't know, what to do. 
PS: it appears that more floaters have appeared, this time also to the eye that previously did not have any floaters flying in it
</t>
        </is>
      </c>
      <c r="D137" t="n">
        <v>2</v>
      </c>
      <c r="E137" t="n">
        <v>1</v>
      </c>
      <c r="F137">
        <f>HYPERLINK("https://www.reddit.com/r/eyetriage/comments/avbp27/my_eyes_hurt_for_some_unknown_reason/")</f>
        <v/>
      </c>
      <c r="G137" t="inlineStr">
        <is>
          <t>2019-02-27 01:42:08</t>
        </is>
      </c>
      <c r="H137" t="inlineStr"/>
    </row>
    <row r="138">
      <c r="A138" t="inlineStr">
        <is>
          <t>aveqsp</t>
        </is>
      </c>
      <c r="B138" t="inlineStr">
        <is>
          <t>What's this skin on my eye</t>
        </is>
      </c>
      <c r="C138" t="inlineStr">
        <is>
          <t>I've had this since last November/December. I have blepharitis and have been dealing with it for a year now. Does my blepharitis have anything to do with this? It's only on my left eye. And my blepharitis seems to have disappeared on my right eye. My eye doctor says this is just a lot of bacteria. Is this true?
https://m.imgur.com/gallery/jliSPmC</t>
        </is>
      </c>
      <c r="D138" t="n">
        <v>0</v>
      </c>
      <c r="E138" t="n">
        <v>7</v>
      </c>
      <c r="F138">
        <f>HYPERLINK("https://www.reddit.com/r/eyetriage/comments/aveqsp/whats_this_skin_on_my_eye/")</f>
        <v/>
      </c>
      <c r="G138" t="inlineStr">
        <is>
          <t>2019-02-27 07:36:03</t>
        </is>
      </c>
      <c r="H138" t="inlineStr"/>
    </row>
    <row r="139">
      <c r="A139" t="inlineStr">
        <is>
          <t>avfl0r</t>
        </is>
      </c>
      <c r="B139" t="inlineStr">
        <is>
          <t>Bottom half of vision blurry</t>
        </is>
      </c>
      <c r="C139" t="inlineStr">
        <is>
          <t xml:space="preserve">My 76 year old mom had sudden loss of vision in the bottom half of one eye. It lasted for roughly 5 minutes and she had a mild headache following the episode. We went to the ER and she was given a CT scan, chest x-ray, and EKG...all were normal. They wanted to admit her based on the diagnosis of a TIA, but she is difficult and refused. She has a follow-up appointment tomorrow morning with her GP. While I don't doubt the ER doctor's diagnosis, I am just curious if there is anything else that causes this type of temporary vision loss. Other pertinent information: She has stage 3/4 kidney disease, BP meds, anemia, and low electrolytes (calcium 5.8, potassium 2.9, magnesium .7). </t>
        </is>
      </c>
      <c r="D139" t="n">
        <v>2</v>
      </c>
      <c r="E139" t="n">
        <v>4</v>
      </c>
      <c r="F139">
        <f>HYPERLINK("https://www.reddit.com/r/eyetriage/comments/avfl0r/bottom_half_of_vision_blurry/")</f>
        <v/>
      </c>
      <c r="G139" t="inlineStr">
        <is>
          <t>2019-02-27 08:53:44</t>
        </is>
      </c>
      <c r="H139" t="inlineStr"/>
    </row>
    <row r="140">
      <c r="A140" t="inlineStr">
        <is>
          <t>aviton</t>
        </is>
      </c>
      <c r="B140" t="inlineStr">
        <is>
          <t>Restasis</t>
        </is>
      </c>
      <c r="C140" t="inlineStr">
        <is>
          <t>Does a dry eye patient have to use Restasis for a long time (years) or maybe lifetime to see the prolonged effects? Or does it actually threat the dry eye disease and do you still see its effects after discontinuation?</t>
        </is>
      </c>
      <c r="D140" t="n">
        <v>1</v>
      </c>
      <c r="E140" t="n">
        <v>2</v>
      </c>
      <c r="F140">
        <f>HYPERLINK("https://www.reddit.com/r/eyetriage/comments/aviton/restasis/")</f>
        <v/>
      </c>
      <c r="G140" t="inlineStr">
        <is>
          <t>2019-02-27 13:41:20</t>
        </is>
      </c>
      <c r="H140" t="inlineStr"/>
    </row>
    <row r="141">
      <c r="A141" t="inlineStr">
        <is>
          <t>avmo2z</t>
        </is>
      </c>
      <c r="B141" t="inlineStr">
        <is>
          <t>Temporary shooting pain in one eye</t>
        </is>
      </c>
      <c r="C141" t="inlineStr">
        <is>
          <t xml:space="preserve">So today I developed pain in my right eye. I’m a contact lens wearer. I removed my contacts and the pain in the right eye continues. 
The pain comes and goes. It’s a very sharp pain that feels like it’s inside my eye but also feels a little scratchy on the outer part. The pain only lasts for less than 3 seconds or so. Then it completely subsides until it comes back for a few seconds more. 
I have yet to determine what triggers the pain. Sometimes seems it happens right after a blink and other times with eye movement. 
I plan on calling my eye doctor in the morning. But what does this sound like it could be? I’m supposed to go out of town tomorrow but obviously don’t want to risk my eyesight if this needs immediate attention. </t>
        </is>
      </c>
      <c r="D141" t="n">
        <v>1</v>
      </c>
      <c r="E141" t="n">
        <v>2</v>
      </c>
      <c r="F141">
        <f>HYPERLINK("https://www.reddit.com/r/eyetriage/comments/avmo2z/temporary_shooting_pain_in_one_eye/")</f>
        <v/>
      </c>
      <c r="G141" t="inlineStr">
        <is>
          <t>2019-02-27 20:06:46</t>
        </is>
      </c>
      <c r="H141" t="inlineStr"/>
    </row>
    <row r="142">
      <c r="A142" t="inlineStr">
        <is>
          <t>avnzs9</t>
        </is>
      </c>
      <c r="B142" t="inlineStr">
        <is>
          <t>Do steroid responders always get glaucoma?</t>
        </is>
      </c>
      <c r="C142" t="inlineStr">
        <is>
          <t>Hi everyone I had a spike in pressure in my eye while on steroids after surgery, does this always cause glaucoma later in life?</t>
        </is>
      </c>
      <c r="D142" t="n">
        <v>1</v>
      </c>
      <c r="E142" t="n">
        <v>2</v>
      </c>
      <c r="F142">
        <f>HYPERLINK("https://www.reddit.com/r/eyetriage/comments/avnzs9/do_steroid_responders_always_get_glaucoma/")</f>
        <v/>
      </c>
      <c r="G142" t="inlineStr">
        <is>
          <t>2019-02-27 22:47:01</t>
        </is>
      </c>
      <c r="H142" t="inlineStr"/>
    </row>
    <row r="143">
      <c r="A143" t="inlineStr">
        <is>
          <t>avs416</t>
        </is>
      </c>
      <c r="B143" t="inlineStr">
        <is>
          <t>Eye Flash</t>
        </is>
      </c>
      <c r="C143" t="inlineStr">
        <is>
          <t xml:space="preserve">I have a bit of a weird one: 
If I look at my phone in the darkness like when I just woke up or right before I got to sleep, once I turn it off and close my eyes there is a small white light in the far left corner of my vision. If I move my eyes back in forth I’ll see a flash in the center of my left eye. This flash occurs maybe two or three times. 
I’ve tried going from a bright room during the day into pure blackness to replicate it, but it doesn’t happen. It really just seems to occur when I’m staring at my phone at night, regardless of phone brightness.
Now I’ve been to the ophthalmologist twice in the past month or so as I developed some persisting floaters. She saw no problems with my retina, but did mention she saw the virtuous pockets that are probably my floaters. I told her about this and she didn’t find it concerning given the state of my retina. 
I’ve stopped looking at my phone in bed, which is fine, but I’m curious as to what the cause is. </t>
        </is>
      </c>
      <c r="D143" t="n">
        <v>1</v>
      </c>
      <c r="E143" t="n">
        <v>14</v>
      </c>
      <c r="F143">
        <f>HYPERLINK("https://www.reddit.com/r/eyetriage/comments/avs416/eye_flash/")</f>
        <v/>
      </c>
      <c r="G143" t="inlineStr">
        <is>
          <t>2019-02-28 07:08:15</t>
        </is>
      </c>
      <c r="H143" t="inlineStr"/>
    </row>
    <row r="144">
      <c r="A144" t="inlineStr">
        <is>
          <t>avtkyc</t>
        </is>
      </c>
      <c r="B144" t="inlineStr">
        <is>
          <t>Worried about my eye</t>
        </is>
      </c>
      <c r="C144" t="inlineStr">
        <is>
          <t>Hi all,
I realize I have posted this concern in more than one sub, but just need advice.
I've had pain with my eye since Thursday night. It started as hurting to blink. Near the tear duct, my eye looked swollen. So, I thought it was a stye and applied warm compresses for awhile. 
It seemed to be better as the pain was better. It would be off and on. Now the pain has gotten worse to the point I feel pain over the middle of my upper eyelid. It's tender to the touch too. The pain can be severe sometimes,but my eye itself does not hurr and I have no sensitivity to light.
I've been to my eye dr twice who just tells me the same thing. No inflammation in your eye,but when he flips my eyelid over, he sees inflammation and bumpy spots. 
My dad was looking at my eye last night and said your eyelid is puffier than the other one. It isn't red though. It just feels very inflamed. I've been prescribed some nsaid eye drops for now to take 4x a day. I've been instructed to come back Friday if it doesn't get any better. I'm just quite miserable and worried.
What does this sound like?</t>
        </is>
      </c>
      <c r="D144" t="n">
        <v>2</v>
      </c>
      <c r="E144" t="n">
        <v>8</v>
      </c>
      <c r="F144">
        <f>HYPERLINK("https://www.reddit.com/r/eyetriage/comments/avtkyc/worried_about_my_eye/")</f>
        <v/>
      </c>
      <c r="G144" t="inlineStr">
        <is>
          <t>2019-02-28 09:18:31</t>
        </is>
      </c>
      <c r="H144" t="inlineStr"/>
    </row>
    <row r="145">
      <c r="A145" t="inlineStr">
        <is>
          <t>avxqcs</t>
        </is>
      </c>
      <c r="B145" t="inlineStr">
        <is>
          <t>How problematic would it be to use a slightly-off BC in my contact lenses?</t>
        </is>
      </c>
      <c r="C145" t="inlineStr">
        <is>
          <t>Hello there! Thanks for creating this subreddit, it´s nice to be able to ask things.
To the point: I buy (toric) soft daily contacts but they´re very expensive to order from the optician.
I´ve found an online shop where I can get the same brand with the same settings much cheaper. The only problem is that I can´t get the BC right: I can pick 8,6 or 8,8, but my boxes both say 8,7.
So my question is, should I get one of these (and which), or better keep searching?
Thank you!</t>
        </is>
      </c>
      <c r="D145" t="n">
        <v>1</v>
      </c>
      <c r="E145" t="n">
        <v>4</v>
      </c>
      <c r="F145">
        <f>HYPERLINK("https://www.reddit.com/r/eyetriage/comments/avxqcs/how_problematic_would_it_be_to_use_a_slightlyoff/")</f>
        <v/>
      </c>
      <c r="G145" t="inlineStr">
        <is>
          <t>2019-02-28 15:39:22</t>
        </is>
      </c>
      <c r="H145" t="inlineStr"/>
    </row>
    <row r="146">
      <c r="A146" t="inlineStr">
        <is>
          <t>aw02oi</t>
        </is>
      </c>
      <c r="B146" t="inlineStr">
        <is>
          <t>Corneal abraison</t>
        </is>
      </c>
      <c r="C146" t="inlineStr">
        <is>
          <t>I have had a corneal abrasion for two days now. I thought it was just dirt in my eye that I couldn't find and it would go away, so i put my contacts in and it stopped hurting. When i took them out again, it was still there. I looked it up and think it is a corneal abrasion. I found conflicting stuff online what i should do about it. Should I go to the ER tonight, or go to an eye doctor asap?</t>
        </is>
      </c>
      <c r="D146" t="n">
        <v>1</v>
      </c>
      <c r="E146" t="n">
        <v>3</v>
      </c>
      <c r="F146">
        <f>HYPERLINK("https://www.reddit.com/r/eyetriage/comments/aw02oi/corneal_abraison/")</f>
        <v/>
      </c>
      <c r="G146" t="inlineStr">
        <is>
          <t>2019-02-28 19:38:14</t>
        </is>
      </c>
      <c r="H146" t="inlineStr"/>
    </row>
    <row r="147">
      <c r="A147" t="inlineStr">
        <is>
          <t>aw0sth</t>
        </is>
      </c>
      <c r="B147" t="inlineStr">
        <is>
          <t>Eye infection for a month+, antibiotics not helping, doctors seem stumped</t>
        </is>
      </c>
      <c r="C147" t="inlineStr">
        <is>
          <t>Any advice or help is greatly appreciated. For a month, since about mid-January, I have been dealing with some sort of eye infection in my left eye. No symptoms at all in my right. It started out as a watery eye, and after a week my eye began producing yellowish mucus. I’ve had no redness in my eye at all, it doesn’t appear like typical pinkeye. 
I made an appointment with my eye doctor, who was adamant that he saw no signs of infection. He prescribed me allergy drops (Alaway) and lubricant drops (Refresh), and also wrote me a script for Tobradex. He made it very clear that he felt the Tobradex was entirely unnecessary, but he said he could tell I was concerned so he would write the script anyway.
Since he seemed so certain it was allergies (and I had just moved to a new place with a cat and I do have occasional allergies), I treated it that way. I used the allergy and lubricant drops and took Claritin every morning. There was no change at all, and my eye continued oozing. I filled the Tobradex script. A week of Tobradex cleared things up and I was fine for about a week after stopping the drops.
A week later, the yellowish mucus came back. The eye doctor told me to try the Tobradex again for a few more days. No change. I spent that weekend in Colorado, with no cat and no pollen, just snow, and the oozing continued.
I called my eye doctor again, who said if the allergy drops and the Tobradex didn’t clear it up, they had to refer me to someone else. I saw a cornea specialist, who examined me and said he also didn’t see any signs of infection. I showed him a photo of my eye from when I woke up that morning, crusted shut with greenish yellow mucus, and then he gave me Besivance drops. 
I’m on day four of the Besivance drops, and nothing is better. I’m still mopping my eye throughout the day, still producing copious amounts of watery fluid and globs of mucus. I’m ready to scoop my eye out with a melon baller. I haven’t been able to see properly for over a month. 
At the end of October, I had some hardware removed from a previous jaw surgery. Some plates and screws were removed from the area around my nose and beneath my eye. Both my jaw surgeon and my eye doctors seem to think this is unrelated as my eye issues didn’t start until mid-January, but I’m concerned regardless. Mostly I just want to see out of my left eye again. Are there any tests I should be asking for, or anything else I can do to try to clear this up? Thanks so much for any help.</t>
        </is>
      </c>
      <c r="D147" t="n">
        <v>2</v>
      </c>
      <c r="E147" t="n">
        <v>30</v>
      </c>
      <c r="F147">
        <f>HYPERLINK("https://www.reddit.com/r/eyetriage/comments/aw0sth/eye_infection_for_a_month_antibiotics_not_helping/")</f>
        <v/>
      </c>
      <c r="G147" t="inlineStr">
        <is>
          <t>2019-02-28 20:56:11</t>
        </is>
      </c>
      <c r="H147" t="inlineStr"/>
    </row>
    <row r="148">
      <c r="A148" t="inlineStr">
        <is>
          <t>aw4ugd</t>
        </is>
      </c>
      <c r="B148" t="inlineStr">
        <is>
          <t>Problem with new glasses(Blurry vision in only one eye)</t>
        </is>
      </c>
      <c r="C148" t="inlineStr">
        <is>
          <t xml:space="preserve">I got new glasses, with a new prescription, and started wearing them yesterday, but i find that ,while i can see much better with my left eye, my right eye seems a little blurry and i can see better with my previous glasses (regarding the right eye). Is this part of an adjustment period (and how long does it take?) for the new glasses or is my prescription wrong? I am not a native english speaker, so sorry for any mispelling errors. </t>
        </is>
      </c>
      <c r="D148" t="n">
        <v>1</v>
      </c>
      <c r="E148" t="n">
        <v>3</v>
      </c>
      <c r="F148">
        <f>HYPERLINK("https://www.reddit.com/r/eyetriage/comments/aw4ugd/problem_with_new_glassesblurry_vision_in_only_one/")</f>
        <v/>
      </c>
      <c r="G148" t="inlineStr">
        <is>
          <t>2019-03-01 05:23:43</t>
        </is>
      </c>
      <c r="H148" t="inlineStr"/>
    </row>
    <row r="149">
      <c r="A149" t="inlineStr">
        <is>
          <t>awb79o</t>
        </is>
      </c>
      <c r="B149" t="inlineStr">
        <is>
          <t>Concerned about starbursts, flashes and other symptoms.</t>
        </is>
      </c>
      <c r="C149" t="inlineStr">
        <is>
          <t>I'm a 19. And since December have been having some strange eye problems that just seem to be getting worse. I've tried visiting an eye doctor but its complicated as my insurance has become inactive and I don't have the money to see one out of pocket. 
At first all I noticed was starbursts around things like headlights and street lights. Stuff like that and those kinda lights also seemed extra bright to me, to the point they would leave after images for a few seconds. Preventing me from reading signs and such. This has also effected lights that normally wouldn't leave after images. I called my eye clinic and they told me it was probably just dry eye and to take some eye drops. I did, but to no effect. Even tried a couple different ones. I've also noticed that some light sources seem to streak across my vision and move. But recently I've started seeing little flashes in my peripheral vision and little black floaters that zip past there too. I've had at least 2 occasions where I've noticed bigger circles of what seemed to be a flash near the center of my vision but it was only for a split second and don't know how else to explain it. It was after looking away from something both times though.
I feel like I'm going crazy and I don't have the means to go see a doctor until I figure out my insurance problem. Any ideas of what could be wrong, or even better what I could do to get seen by someone or make these symptoms go away. I've been hyper anxious every waking moment.</t>
        </is>
      </c>
      <c r="D149" t="n">
        <v>6</v>
      </c>
      <c r="E149" t="n">
        <v>14</v>
      </c>
      <c r="F149">
        <f>HYPERLINK("https://www.reddit.com/r/eyetriage/comments/awb79o/concerned_about_starbursts_flashes_and_other/")</f>
        <v/>
      </c>
      <c r="G149" t="inlineStr">
        <is>
          <t>2019-03-01 15:30:39</t>
        </is>
      </c>
      <c r="H149" t="inlineStr"/>
    </row>
    <row r="150">
      <c r="A150" t="inlineStr">
        <is>
          <t>awjd1g</t>
        </is>
      </c>
      <c r="B150" t="inlineStr">
        <is>
          <t>Weird issue with Right eye.</t>
        </is>
      </c>
      <c r="C150" t="inlineStr">
        <is>
          <t xml:space="preserve">Hello, 
I’m a 31 year old male. I’ve had glasses about 11 years now. Anyway, I got a new prescription about 2 years ago and after a little while noticed my right eye was a lot more blurry than my left eye. I didn’t really think much of it and it wasn’t and still isn’t that bad. I can see, but it’s just a little blurry. Anyway, this past Thursday went to another doctor and got a new prescription, but no matter what they tried they couldn’t correct the vision in my right eye. She said everything looked ok, and all the tests they done looked good too. Field of vision is perfectly fine. 
Of course, this has me concerned, but just experimenting, I noticed something really weird. Looking straight ahead, the vision in the right eye is a touch blurry, however if I turn my head left or right, it clears up just fine. Unable to get back up with my doctor before the weekend, just wondering what can cause that?  No pain, headaches, etc. I do work in pest control, so some pyrethrim based products have gotten into it from time to time. And I have had a couple bouts with Bell’s palsy over the last 13 years, but not severe, no drooping in my face or anything. 
Any help or advice would be appreciated, thanks! </t>
        </is>
      </c>
      <c r="D150" t="n">
        <v>1</v>
      </c>
      <c r="E150" t="n">
        <v>1</v>
      </c>
      <c r="F150">
        <f>HYPERLINK("https://www.reddit.com/r/eyetriage/comments/awjd1g/weird_issue_with_right_eye/")</f>
        <v/>
      </c>
      <c r="G150" t="inlineStr">
        <is>
          <t>2019-03-02 08:25:41</t>
        </is>
      </c>
      <c r="H150" t="inlineStr"/>
    </row>
    <row r="151">
      <c r="A151" t="inlineStr">
        <is>
          <t>awqpku</t>
        </is>
      </c>
      <c r="B151" t="inlineStr">
        <is>
          <t>Progressing Abnormal eye movements, docs can't figure out</t>
        </is>
      </c>
      <c r="C151" t="inlineStr">
        <is>
          <t>Age: 32
Gender: Male
Weight: 155
Height: 6'0"
Diagnosis: Abnormal eye movement
I've seen three neuro ophthalmologists, and one neurologist (all Colorado) and none can figure it out so far.
Basically, when looking straight ahead, and I tilt my head down (keeping eyes on same object), one of my eyes starts moving up (creating double vision).
It's now also doing something similar when turning my head to the right, except one eye/image moves downwards.
I had a brain MRI a year ago which came back normal.
One of the neuro ophthalmologists diagnosed me with myasthenia gravis (w/ no antibodies), but the others did not agree.
These eye problems seem to have started 2-3 years ago.
I've also been having some impulse anger/anxiety/fight or flight at irrelevant times (last month or so), as well brain fog/memory issues (last 5-6 years especially)
The only thing I can think of is genetics+methylation cycle: - CBS C699T is +/+ (meaning excess ammonia/difficulty removing it [or something like that], so possibly brain damage from excess ammonia?) And about 3 years ago I started supplementing w/ methylb12/methylfolate. Probably totally irrelevant, but who knows.
I'm willing to fly to other states to see whichever doc is the best at this.</t>
        </is>
      </c>
      <c r="D151" t="n">
        <v>3</v>
      </c>
      <c r="E151" t="n">
        <v>6</v>
      </c>
      <c r="F151">
        <f>HYPERLINK("https://www.reddit.com/r/eyetriage/comments/awqpku/progressing_abnormal_eye_movements_docs_cant/")</f>
        <v/>
      </c>
      <c r="G151" t="inlineStr">
        <is>
          <t>2019-03-02 20:56:21</t>
        </is>
      </c>
      <c r="H151" t="inlineStr"/>
    </row>
    <row r="152">
      <c r="A152" t="inlineStr">
        <is>
          <t>awzevs</t>
        </is>
      </c>
      <c r="B152" t="inlineStr">
        <is>
          <t>Flickering fluorescents</t>
        </is>
      </c>
      <c r="C152" t="inlineStr">
        <is>
          <t xml:space="preserve">I’be been having trouble with fluorescent lighting causing brain fog and pain. Basically preventing me from being able to be present in this artificial light. My naturopath looked into it and said that it could be that the invisible flickering from fluorescent lighting could be making my eyes work harder, causing my symptoms. Does anyone have experience with this? Eye care professionals or patients? Can anyone explain why or how this could be happening? Any suggestions on relief? </t>
        </is>
      </c>
      <c r="D152" t="n">
        <v>1</v>
      </c>
      <c r="E152" t="n">
        <v>0</v>
      </c>
      <c r="F152">
        <f>HYPERLINK("https://www.reddit.com/r/eyetriage/comments/awzevs/flickering_fluorescents/")</f>
        <v/>
      </c>
      <c r="G152" t="inlineStr">
        <is>
          <t>2019-03-03 14:24:33</t>
        </is>
      </c>
      <c r="H152" t="inlineStr"/>
    </row>
    <row r="153">
      <c r="A153" t="inlineStr">
        <is>
          <t>awzr44</t>
        </is>
      </c>
      <c r="B153" t="inlineStr">
        <is>
          <t>Worried about vision change, is this astigmatism?</t>
        </is>
      </c>
      <c r="C153" t="inlineStr">
        <is>
          <t>(patient here)
Hi, I've noticed in the last few weeks (only when reading text) that a few words (or a part of the sentence) seem to go at an angle compared to the other words. [Something like this (imgur link, pardon my awful editing skills)](https://imgur.com/c2Ml20z). The angle is a bit more subtle than what the image shows.
This does not happen with other stuff and amsler grids look perfectly normal to me, no wavy lines or anything.
However, this does not happen constantly. I am short sighted and have a tiny bit of astigmatism. I'm wearing glasses. I have booked an appointment with my optha but my anxiety is driving me crazy (and is making this worse) so I figured I should also post here.
I'd appreciate any help. Cheers!</t>
        </is>
      </c>
      <c r="D153" t="n">
        <v>1</v>
      </c>
      <c r="E153" t="n">
        <v>0</v>
      </c>
      <c r="F153">
        <f>HYPERLINK("https://www.reddit.com/r/eyetriage/comments/awzr44/worried_about_vision_change_is_this_astigmatism/")</f>
        <v/>
      </c>
      <c r="G153" t="inlineStr">
        <is>
          <t>2019-03-03 14:57:38</t>
        </is>
      </c>
      <c r="H153" t="inlineStr"/>
    </row>
    <row r="154">
      <c r="A154" t="inlineStr">
        <is>
          <t>ax1hku</t>
        </is>
      </c>
      <c r="B154" t="inlineStr">
        <is>
          <t>Floaters and Flashes</t>
        </is>
      </c>
      <c r="C154" t="inlineStr">
        <is>
          <t>Not asking for me, but for my mom. 
This morning she's seen floaters. Around 30 min ago, she saw flashes (5-6 flashes according to her). No recent eye injury.
She's 59 now. From what I've read online, old age could be a big part. But I've asked her to see an ophthalmologist or go to the ER.
But she's wondering if she can wait until next morning to see the docs, cuz the hospital is close to her workplace (which is far from home).
Question: Can she wait till tomorrow or should she see the docs now?</t>
        </is>
      </c>
      <c r="D154" t="n">
        <v>1</v>
      </c>
      <c r="E154" t="n">
        <v>3</v>
      </c>
      <c r="F154">
        <f>HYPERLINK("https://www.reddit.com/r/eyetriage/comments/ax1hku/floaters_and_flashes/")</f>
        <v/>
      </c>
      <c r="G154" t="inlineStr">
        <is>
          <t>2019-03-03 17:56:04</t>
        </is>
      </c>
      <c r="H154" t="inlineStr"/>
    </row>
    <row r="155">
      <c r="A155" t="inlineStr">
        <is>
          <t>ax1hou</t>
        </is>
      </c>
      <c r="B155" t="inlineStr">
        <is>
          <t>Vision constantly fluctuating, what to do?</t>
        </is>
      </c>
      <c r="C155" t="inlineStr">
        <is>
          <t>My vision is constantly fluctuating, quite significantly. Some days I see terribly, everything is blurry and colours are faded out, other days I see quite well, but on average I’d say my vision is poor. Eye drops help a tiny bit, for maybe a half hour to an hour, but then things just go back to where they are. If I had to guess, I’d say the drops might add 0.25 diopters or close to it.
Now, I have had multiple prescriptions over the last 5 years, but the prescriptions are all over the place and I don’t really trust them anymore. For example, using only my right eye but it is the same thing in the other eye:
Script/year 1: -0.5, with 0.75 astigmatism.
Script/year 2: -1.25, with 0.5 astigmatism
Script/year 3: Plano, with 0.5 astigmatism
Script/year 4: -1.00, with 0.25 astigmatism
Script/year 5: -0.5, with 0.5 astigmatism
Today, the day after the latest prescription, my eye sight is excellent, and I would bet if I returned for another exam, my prescription would be lower than it was yesterday, since yesterday before the exam my vision was mediocre. It is always the same too, after the dilation drops have worn out, my vision is fantastic and then things start to slowly drift away over the course of days to weeks. Can someone explain what might be going on and why the prescriptions as constantly changing so much, from a low of Plano to a high of -1.25 diopters? All the optometrists are always the same, they listen to my issues, say it is just my prescription is wrong and I need a new one which will fix the issue, but it never does. Even with the new prescription the vision keeps fluctuating on a daily basis.</t>
        </is>
      </c>
      <c r="D155" t="n">
        <v>1</v>
      </c>
      <c r="E155" t="n">
        <v>6</v>
      </c>
      <c r="F155">
        <f>HYPERLINK("https://www.reddit.com/r/eyetriage/comments/ax1hou/vision_constantly_fluctuating_what_to_do/")</f>
        <v/>
      </c>
      <c r="G155" t="inlineStr">
        <is>
          <t>2019-03-03 17:56:22</t>
        </is>
      </c>
      <c r="H155" t="inlineStr"/>
    </row>
    <row r="156">
      <c r="A156" t="inlineStr">
        <is>
          <t>ax6sdr</t>
        </is>
      </c>
      <c r="B156" t="inlineStr">
        <is>
          <t>Circle in my vision - one eye</t>
        </is>
      </c>
      <c r="C156" t="inlineStr">
        <is>
          <t xml:space="preserve">Since the start of the year, there's been this circle in my vision.  It's not a floater since it doesn't move the same way as my floaters do.   It's like someone took a photo with a flash, you know the light stays in your vision for a bit, but it's only in my right eye and it's been there for two months.  I also noticed that I'm more sensitive to light.  Also, contrasting light tones seem like they'll stay in my vision longer than normally, meaning if I looks a a screen then look away and blink my eyes, I can still see it.  That seemed to always happen but it seems to be more vivid and more easily triggered.
&amp;amp;#x200B;
Eye Rx dilated my pupils and did some tests but said my eye looks fine.  Did a field test and he said there were some blind-ish spots and sent me to a specialist but that's not till August. Rx said it could be a migraine and they don't necessarily cause pain.  
Something that seemed to happen around the same time was one of my fingers started to tingle on the same day I noticed this.  
&amp;amp;#x200B;
My eyes seem weaker since my good eye seems to be compensating for the one with the circle. 
&amp;amp;#x200B;
Anyone see this before?  </t>
        </is>
      </c>
      <c r="D156" t="n">
        <v>2</v>
      </c>
      <c r="E156" t="n">
        <v>12</v>
      </c>
      <c r="F156">
        <f>HYPERLINK("https://www.reddit.com/r/eyetriage/comments/ax6sdr/circle_in_my_vision_one_eye/")</f>
        <v/>
      </c>
      <c r="G156" t="inlineStr">
        <is>
          <t>2019-03-04 04:50:37</t>
        </is>
      </c>
      <c r="H156" t="inlineStr"/>
    </row>
    <row r="157">
      <c r="A157" t="inlineStr">
        <is>
          <t>ax7sly</t>
        </is>
      </c>
      <c r="B157" t="inlineStr">
        <is>
          <t>Do I need to see someone? Is it a stye in my eyelid?</t>
        </is>
      </c>
      <c r="C157" t="inlineStr">
        <is>
          <t>Hi, 31, male, I've woken up with a very swollen eyelid for 4 days in a row now. It tends to get less swollen as the day goes on, but it is still noticeable and the eye gives me a bit of pain/discomfort, especially if I apply any pressure to it. Today, I pulled my eyelid out and saw that there is a small white bump on the inside, to the side of my eye, which looks like a whitehead. It's pretty small compared to a google image search for a stye, but it is definitely there.
I assume this is a stye? I am on day 4 of 10 of a course of antibiotics (the eye inflammation is what caused me to go in for these, but I had been sick/congested for a couple weeks as well). The internet says I should apply warm compresses, but I'm scared that the stye being on the inside of my eye means that draining will be problematic. I'm not sure if I should call someone, or just try using warm compresses a few days (I haven't done any home treatment so far, unless antibiotics count).
Thank you for any advice you can offer me, this sucks!</t>
        </is>
      </c>
      <c r="D157" t="n">
        <v>1</v>
      </c>
      <c r="E157" t="n">
        <v>2</v>
      </c>
      <c r="F157">
        <f>HYPERLINK("https://www.reddit.com/r/eyetriage/comments/ax7sly/do_i_need_to_see_someone_is_it_a_stye_in_my_eyelid/")</f>
        <v/>
      </c>
      <c r="G157" t="inlineStr">
        <is>
          <t>2019-03-04 06:37:17</t>
        </is>
      </c>
      <c r="H157" t="inlineStr"/>
    </row>
    <row r="158">
      <c r="A158" t="inlineStr">
        <is>
          <t>axfy4x</t>
        </is>
      </c>
      <c r="B158" t="inlineStr">
        <is>
          <t>Please help ... eye muscles feel lazy, when I close either one eye or the other it feels like a black see through screen is over my vision</t>
        </is>
      </c>
      <c r="C158" t="inlineStr">
        <is>
          <t>I’ve been to two opthamologists and one neuro-Opthomologist. Basically as described, it feels like a black screen over my vision and my eyes feel kind of lazy? I’ve had a brain scan and luckily it was fine. I’m 22. When I was 9/10 the screen was only in the right eye. I went to vision therapy for a bit and they thought my eye muscles were weak. Now the formerly “good eye” the left one is having the same problems as the right with this screen. I can see 20/20, nothing is blurry or double this is just so irritating. I broke my C2 vertebrate and it’s fused. Could this cause any damage to eye muscles or vision?</t>
        </is>
      </c>
      <c r="D158" t="n">
        <v>3</v>
      </c>
      <c r="E158" t="n">
        <v>0</v>
      </c>
      <c r="F158">
        <f>HYPERLINK("https://www.reddit.com/r/eyetriage/comments/axfy4x/please_help_eye_muscles_feel_lazy_when_i_close/")</f>
        <v/>
      </c>
      <c r="G158" t="inlineStr">
        <is>
          <t>2019-03-04 18:37:33</t>
        </is>
      </c>
      <c r="H158" t="inlineStr"/>
    </row>
    <row r="159">
      <c r="A159" t="inlineStr">
        <is>
          <t>axkeii</t>
        </is>
      </c>
      <c r="B159" t="inlineStr">
        <is>
          <t>Flashes in my eyes?</t>
        </is>
      </c>
      <c r="C159" t="inlineStr">
        <is>
          <t>Hi, college student currently on accutane.
In my day to day I'd say I stare at a screen probably about 8-10 hours a day. Anyway, I think I have been experiencing what MIGHT be flashes in my eyes? They're very very small and I almost question if I just happened to imagine them - they disappear almost in an instant and really only "appear" if I dart my eyes around really fast, if even then. I couldn't find a good description of what a "flash" is online, so I am wondering if these flashes are much more obvious/bigger, or I should be preparing for my next eye exam (would it matter if I went to an optometrist or ophthalmologist?)
Also perhaps unrelated, when I move my eyes around a lot in the dark I can kind of see a faint outline of a circle? 
Thanks so much for reading the dump of text, sincerely, overly worried anxious and unfortunately ill informed college student</t>
        </is>
      </c>
      <c r="D159" t="n">
        <v>3</v>
      </c>
      <c r="E159" t="n">
        <v>5</v>
      </c>
      <c r="F159">
        <f>HYPERLINK("https://www.reddit.com/r/eyetriage/comments/axkeii/flashes_in_my_eyes/")</f>
        <v/>
      </c>
      <c r="G159" t="inlineStr">
        <is>
          <t>2019-03-05 04:02:49</t>
        </is>
      </c>
      <c r="H159" t="inlineStr"/>
    </row>
    <row r="160">
      <c r="A160" t="inlineStr">
        <is>
          <t>axlggw</t>
        </is>
      </c>
      <c r="B160" t="inlineStr">
        <is>
          <t>Lazy eye surgery and vision loss</t>
        </is>
      </c>
      <c r="C160" t="inlineStr">
        <is>
          <t xml:space="preserve">I had strabismus surgery 3 weeks ago. My right eye suffers from lazy eye and amblyopia. My brain pretty much ignores this eye - I can see shapes and outlines out of it but not much else. My left eye however has near perfect vision so I’ve always been okay. I wear glasses for driving and that’s it - other than that I can get about life.
The surgery was performed on my left eye muscles, to correct the right eyes laziness. In terms of cosmetically, it’s perfect, it’s straight.
In terms of vision, I’m very concerned. My left eye is completely blurry - considering I rely on this eye for vision I’m left barely able to see. I keep hoping it will improve, as my eye did get infected and I had to go A&amp;amp;E, and I was given antibiotics a week after surgery, but it’s now almost better in terms of redness and my sight is not coming back. I’m also suffering from double vision. 
With my glasses, it’s much improved, and I can go about my daily life, but without (which I’m used to, I only wear for driving usually) I can’t do anything. Everything is a huge blur. 
I cannot see my consultant for another two weeks and I’m looking for advice please? Is this normal? I’m quite distressed about this. </t>
        </is>
      </c>
      <c r="D160" t="n">
        <v>1</v>
      </c>
      <c r="E160" t="n">
        <v>7</v>
      </c>
      <c r="F160">
        <f>HYPERLINK("https://www.reddit.com/r/eyetriage/comments/axlggw/lazy_eye_surgery_and_vision_loss/")</f>
        <v/>
      </c>
      <c r="G160" t="inlineStr">
        <is>
          <t>2019-03-05 06:00:40</t>
        </is>
      </c>
      <c r="H160" t="inlineStr"/>
    </row>
    <row r="161">
      <c r="A161" t="inlineStr">
        <is>
          <t>axq68a</t>
        </is>
      </c>
      <c r="B161" t="inlineStr">
        <is>
          <t>scratched cornea? not sure</t>
        </is>
      </c>
      <c r="C161" t="inlineStr">
        <is>
          <t xml:space="preserve"> i rubbed my eye recently and one night i couldnt see a damn thing outta my right eye. it was completely blurry and i was flipping out. i continually blinked and it kinda resolved itself but it happened again the following morning. thankfully the rest of the day i was okay but here's the issue. i noticed monday morning (same morning) that my right eye was teary for some reason in comparison to my right eye. i just looked up the symptoms now of a scratched cornea and now im concerned. my right eye is also pretty irritated. it also still is teary and every now and then my vision will slightly decrease. Should i see a doctor? </t>
        </is>
      </c>
      <c r="D161" t="n">
        <v>2</v>
      </c>
      <c r="E161" t="n">
        <v>2</v>
      </c>
      <c r="F161">
        <f>HYPERLINK("https://www.reddit.com/r/eyetriage/comments/axq68a/scratched_cornea_not_sure/")</f>
        <v/>
      </c>
      <c r="G161" t="inlineStr">
        <is>
          <t>2019-03-05 13:01:55</t>
        </is>
      </c>
      <c r="H161" t="inlineStr"/>
    </row>
    <row r="162">
      <c r="A162" t="inlineStr">
        <is>
          <t>axr7jw</t>
        </is>
      </c>
      <c r="B162" t="inlineStr">
        <is>
          <t>Adult still experiencing night time glare even after updating prescription? (astigmatism)</t>
        </is>
      </c>
      <c r="C162" t="inlineStr">
        <is>
          <t>As the title states I’m a 20 something year old student that has light sensitivity while driving at night due to my astigmatism. My opthamologist said my problems would be solved after updating my prescription, (it’s been 2 years since my last update). After renewing my prescription i’m still having trouble at night. What do you recommend, lasik, blue tint, or etc?</t>
        </is>
      </c>
      <c r="D162" t="n">
        <v>1</v>
      </c>
      <c r="E162" t="n">
        <v>3</v>
      </c>
      <c r="F162">
        <f>HYPERLINK("https://www.reddit.com/r/eyetriage/comments/axr7jw/adult_still_experiencing_night_time_glare_even/")</f>
        <v/>
      </c>
      <c r="G162" t="inlineStr">
        <is>
          <t>2019-03-05 14:33:30</t>
        </is>
      </c>
      <c r="H162" t="inlineStr"/>
    </row>
    <row r="163">
      <c r="A163" t="inlineStr">
        <is>
          <t>axrktn</t>
        </is>
      </c>
      <c r="B163" t="inlineStr">
        <is>
          <t>Taking glasses on and off</t>
        </is>
      </c>
      <c r="C163" t="inlineStr">
        <is>
          <t>Hey All, 
&amp;amp;#x200B;
So I got a new prescription that I don't really like (heading back to the prescribing doctor next week. I've been taking them on and off throughout  the week. Is there anything wrong with doing this? How about switching between prescription glasses and computer glasses? 
&amp;amp;#x200B;
&amp;amp;#x200B;</t>
        </is>
      </c>
      <c r="D163" t="n">
        <v>2</v>
      </c>
      <c r="E163" t="n">
        <v>2</v>
      </c>
      <c r="F163">
        <f>HYPERLINK("https://www.reddit.com/r/eyetriage/comments/axrktn/taking_glasses_on_and_off/")</f>
        <v/>
      </c>
      <c r="G163" t="inlineStr">
        <is>
          <t>2019-03-05 15:07:20</t>
        </is>
      </c>
      <c r="H163" t="inlineStr"/>
    </row>
    <row r="164">
      <c r="A164" t="inlineStr">
        <is>
          <t>axrpjg</t>
        </is>
      </c>
      <c r="B164" t="inlineStr">
        <is>
          <t>Eye Strain -</t>
        </is>
      </c>
      <c r="C164" t="inlineStr">
        <is>
          <t>Hi there, 
&amp;amp;#x200B;
Would switching to contacts reduce eye strain from working on the computer? 
&amp;amp;#x200B;
Thank you,</t>
        </is>
      </c>
      <c r="D164" t="n">
        <v>1</v>
      </c>
      <c r="E164" t="n">
        <v>2</v>
      </c>
      <c r="F164">
        <f>HYPERLINK("https://www.reddit.com/r/eyetriage/comments/axrpjg/eye_strain/")</f>
        <v/>
      </c>
      <c r="G164" t="inlineStr">
        <is>
          <t>2019-03-05 15:19:26</t>
        </is>
      </c>
      <c r="H164" t="inlineStr"/>
    </row>
    <row r="165">
      <c r="A165" t="inlineStr">
        <is>
          <t>axt2hi</t>
        </is>
      </c>
      <c r="B165" t="inlineStr">
        <is>
          <t>Lifelong Vision-based Weirdisms.</t>
        </is>
      </c>
      <c r="C165" t="inlineStr">
        <is>
          <t xml:space="preserve">(This might get long, apologies.)
So, when I was a kid (5ish?) I had an eye test. My left eye was utterly useless. Optician gave me glasses, after about a year they didn't help. No mention of patches or "lazy eye"/amblyopia. Instead they said it was something to do with my optic nerve. I just sort of accepted it and relied on my right eye (it's 20/20). All's well. (I stopped wearing the glasses after the optician said they had made 0 difference). 
Except I came across another story on Reddit about someone with a lazy eye and it sparked a bit of an interest. I briefly thought, "I wonder if it was just that and I didn't get treated properly". So I dug around for symptoms and everything that's in any way descriptive mentions "blurred vision", except the vision I have in my left eye isn't blurred at all. It's sharp as a tack, just that somehow my brain can't quite understand what it's seeing (this particular bit sounds pretty similar to lazy eye descriptions but it's a little stranger). 
I see a clear image. If I focus long enough I can get past the weird shit and make perfect sense of what I'm reading. Except overlaid on top of my vision is what I can only describe as DeepDream-esque colours and swirls. Very faint, to the point that I only recognised them as being similar to DeepDream today (I have never really paid much attention to my left eye, as I say, just relying on the right) but still there. Particularly noticeable if I look at something blank/textureless, because then it stands out over the actual vision. At first I thought this was maybe something to do with blood flow in my covered eye (I've read about how blood flow is what can cause swirly patterns when you press on an eye) but after completely sealing all light out without applying pressure to my right eye, they're still there, and focusing my left eye is what draws my attention to it. 
In addition to that, I have what appears to be colour fringing/chromatic aberration on any object near a strong light source - purplish-blue along the top and greenish down either side (strongest on the lit side). Again this only happens with my left eye, and changes based on me attempting to focus at different depths using it. 
It's also worth mentioning that I don't have a squint or apparent astigmatism in that eye - underneath the weird swirly filter things seem to be in perfect focus at any distance. I also have no obvious issues with depth perception (especially compared to having either eye closed), so even though I rely on my right eye for conscious vision I must still be using my left somehow. 
None of this sounds like anything I've been able to find through Googling, thankfully I live in Scotland where free eye tests are a thing but I feel they might not be able to delve into what's actually happening other than "Your left eye doesn't work but we won't give you glasses" (as occurred at my last eye test ~6 years ago) so I'm mainly here out of curiosity, in case anyone has experienced or treated something similar. 
As a final note, I'm also autistic and suffer from sensory processing issues. When overwhelmed, visual information can be difficult to make sense of. The thing in my left eye though is like nothing I've ever seen (heh) before. 
Thanks for putting up with this extensively long ramble! </t>
        </is>
      </c>
      <c r="D165" t="n">
        <v>1</v>
      </c>
      <c r="E165" t="n">
        <v>0</v>
      </c>
      <c r="F165">
        <f>HYPERLINK("https://www.reddit.com/r/eyetriage/comments/axt2hi/lifelong_visionbased_weirdisms/")</f>
        <v/>
      </c>
      <c r="G165" t="inlineStr">
        <is>
          <t>2019-03-05 17:36:43</t>
        </is>
      </c>
      <c r="H165" t="inlineStr"/>
    </row>
    <row r="166">
      <c r="A166" t="inlineStr">
        <is>
          <t>axt7ch</t>
        </is>
      </c>
      <c r="B166" t="inlineStr">
        <is>
          <t>Lacrimal Caruncle red autoimmune?</t>
        </is>
      </c>
      <c r="C166" t="inlineStr">
        <is>
          <t>Hello I'm 31 y/o male patient. I've noticed my lacrimal caruncle im both eyes has been red for the past 3 months instead of a healthy pink color. http://imgur.com/gallery/8tXwIYd
It doesn't hurt or itch. Im wondering if this could be an autoimmune symptom? I recently tested positive ana 1:160. My eyes do not seem dry and I've tried artificial tears. What could this be and what should I do?</t>
        </is>
      </c>
      <c r="D166" t="n">
        <v>1</v>
      </c>
      <c r="E166" t="n">
        <v>3</v>
      </c>
      <c r="F166">
        <f>HYPERLINK("https://www.reddit.com/r/eyetriage/comments/axt7ch/lacrimal_caruncle_red_autoimmune/")</f>
        <v/>
      </c>
      <c r="G166" t="inlineStr">
        <is>
          <t>2019-03-05 17:50:27</t>
        </is>
      </c>
      <c r="H166" t="inlineStr"/>
    </row>
    <row r="167">
      <c r="A167" t="inlineStr">
        <is>
          <t>axtzc1</t>
        </is>
      </c>
      <c r="B167" t="inlineStr">
        <is>
          <t>what should i do about eyelash?</t>
        </is>
      </c>
      <c r="C167" t="inlineStr">
        <is>
          <t>i just saw the eyelash in my eye on my eyelid and was trying to get it out. it was vertical with my eyelid and i almost had it out, but then lost concentration where it then moved on my eyeball vertically and in a panic just filled up a cup of water and  poured in right into my eye, it was very close to my cornea. i dunno what to do and am kinda freaking out. I now cannot find the eyelash but am sure its in my eye still. i dunno what to do</t>
        </is>
      </c>
      <c r="D167" t="n">
        <v>1</v>
      </c>
      <c r="E167" t="n">
        <v>0</v>
      </c>
      <c r="F167">
        <f>HYPERLINK("https://www.reddit.com/r/eyetriage/comments/axtzc1/what_should_i_do_about_eyelash/")</f>
        <v/>
      </c>
      <c r="G167" t="inlineStr">
        <is>
          <t>2019-03-05 19:10:59</t>
        </is>
      </c>
      <c r="H167" t="inlineStr"/>
    </row>
    <row r="168">
      <c r="A168" t="inlineStr">
        <is>
          <t>axymxu</t>
        </is>
      </c>
      <c r="B168" t="inlineStr">
        <is>
          <t>Dry eye and treatment</t>
        </is>
      </c>
      <c r="C168" t="inlineStr">
        <is>
          <t>I took Accutane when I was 14, which I have read can damage meibomian glands. When I was around 21, I started suffering dry eye symptoms. Primarily just in the morning, where I would wake up with painfully dry, red eyes and splash them with water. Worst in the winter, when humidity is low. I've tried eye drops I think I've found one that makes it somewhat better, the nighttime gels I've tried have either been a nightmare (Burning, red, insanely dry eyes for days after) or done nothing for my morning dry eyes. I've got a few questions:
Is it likely I'll see any benefit from hot compresses? Is there any way to tell my meibomian glands are damaged? I couldn't visibly tell that they were blocked, lightly pressing on them meant I could see a tiny bit of fluid  on the apex of my eyelid sometimes. I've begun hot compresses like the sticky advises, haven't noticed change in the short-term.
Can a combination of REM sleep and dry eyes cause eye damage? I'm concerned about the friction caused. 
Any non-prescription treatment options I didn't mention?</t>
        </is>
      </c>
      <c r="D168" t="n">
        <v>1</v>
      </c>
      <c r="E168" t="n">
        <v>9</v>
      </c>
      <c r="F168">
        <f>HYPERLINK("https://www.reddit.com/r/eyetriage/comments/axymxu/dry_eye_and_treatment/")</f>
        <v/>
      </c>
      <c r="G168" t="inlineStr">
        <is>
          <t>2019-03-06 05:08:40</t>
        </is>
      </c>
      <c r="H168" t="inlineStr"/>
    </row>
    <row r="169">
      <c r="A169" t="inlineStr">
        <is>
          <t>axztf7</t>
        </is>
      </c>
      <c r="B169" t="inlineStr">
        <is>
          <t>Questions about Lasik, nearsightedness, astigmatism, etc.</t>
        </is>
      </c>
      <c r="C169" t="inlineStr">
        <is>
          <t>All my life, the only type of eye problems I was ever taught about was abnormalities in the EYEBALL shape, whether they are too long, too short, or irregular. This is why I always believed that Lasik, and other forms of laser surgery, reshapes the eyeball, though I never understood how.
Today I decided to research on it and now found out that it didn't reshape the eyeball, rather it removes microscopic layers of the cornea.
My questions are:
Does that mean there are two types of each eye problem (Corneal and eyeball?)
Does Lasik only treat corneal eye problems?
How does one treat eyeball shape irregularity problems?
Are there any distinct differences in the two types to take note of?</t>
        </is>
      </c>
      <c r="D169" t="n">
        <v>1</v>
      </c>
      <c r="E169" t="n">
        <v>1</v>
      </c>
      <c r="F169">
        <f>HYPERLINK("https://www.reddit.com/r/eyetriage/comments/axztf7/questions_about_lasik_nearsightedness_astigmatism/")</f>
        <v/>
      </c>
      <c r="G169" t="inlineStr">
        <is>
          <t>2019-03-06 07:08:27</t>
        </is>
      </c>
      <c r="H169" t="inlineStr"/>
    </row>
    <row r="170">
      <c r="A170" t="inlineStr">
        <is>
          <t>ay1e3j</t>
        </is>
      </c>
      <c r="B170" t="inlineStr">
        <is>
          <t>Chalazion Help: White head appeared then disappeared. Bump still there. Good or bad?</t>
        </is>
      </c>
      <c r="C170" t="inlineStr">
        <is>
          <t>Hello everyone! 
I have had a nasty chalazion on my upper left lid for about 5 days. Size I say compares to a pea, possibly a bit bigger. Anyway, I have been putting hot compresses and at one point a white head appeared in the inner side of my lid. The white head had become bigger and bigger in a matter of 2 days but looking at it now the white head has dissapeared but the bump is still there. I am just seeing if this is good or bad. Also just yesterday when the white head was the biggest I actually had to stop using hot compresses on the lid because my dumb ass burned myself with the hot compresses.
Antibiotics used: NEO-POLY-DEX EYE DROP, 1 drop 3 times a day for 7 days.
Please let me know what you think and thank you all for your help!</t>
        </is>
      </c>
      <c r="D170" t="n">
        <v>1</v>
      </c>
      <c r="E170" t="n">
        <v>1</v>
      </c>
      <c r="F170">
        <f>HYPERLINK("https://www.reddit.com/r/eyetriage/comments/ay1e3j/chalazion_help_white_head_appeared_then/")</f>
        <v/>
      </c>
      <c r="G170" t="inlineStr">
        <is>
          <t>2019-03-06 09:28:12</t>
        </is>
      </c>
      <c r="H170" t="inlineStr"/>
    </row>
    <row r="171">
      <c r="A171" t="inlineStr">
        <is>
          <t>ay20y3</t>
        </is>
      </c>
      <c r="B171" t="inlineStr">
        <is>
          <t>Currently have corneal abrasion in right eye with contact bandage. Sleeping with contact and removing it</t>
        </is>
      </c>
      <c r="C171" t="inlineStr">
        <is>
          <t>So if you ever had a corneal abrasion before, you know how I feel. I am dying right now. This happened on Monday. It's now Wednesday. Taking antibiotic drops and I have a contact bandage in right now that has been replaced one time. Both Tuesday and today I woke up with the same feeling of the abrasion. My question is, should I take this contact out? I almost feel as if this is causing it. However, when I first get it put in, I am fine for the rest of the day. It's only when I wake up that I feel this. I'm afraid taking it out that underneath the abrasion will not be fully healed today and I will feel the pain again. But I am feeling pain right now and my right eye vision is impaired because the contact isn't perfectly in line with the eye. Can I take the contact out and put it back in? Is the contact bandage the cause of my pain in the morning?</t>
        </is>
      </c>
      <c r="D171" t="n">
        <v>1</v>
      </c>
      <c r="E171" t="n">
        <v>7</v>
      </c>
      <c r="F171">
        <f>HYPERLINK("https://www.reddit.com/r/eyetriage/comments/ay20y3/currently_have_corneal_abrasion_in_right_eye_with/")</f>
        <v/>
      </c>
      <c r="G171" t="inlineStr">
        <is>
          <t>2019-03-06 10:22:20</t>
        </is>
      </c>
      <c r="H171" t="inlineStr"/>
    </row>
    <row r="172">
      <c r="A172" t="inlineStr">
        <is>
          <t>ay3l56</t>
        </is>
      </c>
      <c r="B172" t="inlineStr">
        <is>
          <t>Eye redness from pinkeye</t>
        </is>
      </c>
      <c r="C172" t="inlineStr">
        <is>
          <t xml:space="preserve">Hi I had pink eye for over a month in one eye with discharge and was prescribed besivance. Discharge stopped after day 4 but redness has not disappeared. I continued to use for 3 weeks. I was seen on Saturday by my optometrist who reexamined my eye and was told my cornea looked good and I should use a warm compress and artificial tears for the redness and swelling, then come back after a week. 
I have been following a new regime with the warm compress and tears but my swelling and redness has yet to go down. No discharge has come back. 
I am also a contact wearer but haven’t worn them since my diagnosis. I also have allergies. I am currently on my 7th day of no antibiotics.
Attached is a photo of said eye 
[eye](https://imgur.com/a/gPaUV0b)
Any advice would be greatly appreciated </t>
        </is>
      </c>
      <c r="D172" t="n">
        <v>1</v>
      </c>
      <c r="E172" t="n">
        <v>0</v>
      </c>
      <c r="F172">
        <f>HYPERLINK("https://www.reddit.com/r/eyetriage/comments/ay3l56/eye_redness_from_pinkeye/")</f>
        <v/>
      </c>
      <c r="G172" t="inlineStr">
        <is>
          <t>2019-03-06 12:35:43</t>
        </is>
      </c>
      <c r="H172" t="inlineStr"/>
    </row>
    <row r="173">
      <c r="A173" t="inlineStr">
        <is>
          <t>ay64h2</t>
        </is>
      </c>
      <c r="B173" t="inlineStr">
        <is>
          <t>Eye Allergy, flashes, floaters, and curtains. Help</t>
        </is>
      </c>
      <c r="C173" t="inlineStr">
        <is>
          <t xml:space="preserve">Age-14, sex-male, height 5'3, weight 95, race-asian, duration 4 years.
I have posted on this subreddit before, but it was incredibly long and I didn't explain enough so I deleted it. 
Ever since I was born I noticed that whenever I applied pressure to my eyes, I see many unique shapes. Now I know that it is called phosphenes. In November of 2014 I went to school and noticed that I had sensitivity to light. I also noticed that wind irritated my eyes a lot. I felt my eyes stinging, burning, watering, discomfort. I was so confused so I didn't tell anyone even though it was very painful and impacted my life greatly. I researched my problem in 2015 and the main answer was dry eyes. I tried eye drops, castor oil, warm compress, omega-3 fish oil, massages, anything that I found online. I finally asked my mom to take me to the eye doctor (optometrist).
I went to 2 and they both said to stop using the computer and use eye drops even though they didn't even check my eyes only tested my vision. The drops didn't work so I coped with it. In 2018 I told my mom that my eyes are a huge problem and to take me to the eye doctor. My mom didn't believe me because the optometrist said the same thing. But I begged her to because it was a huge issue and it was urgent. A couple months later I went to an ophthalmologist. At first the ophthalmologist said that he doesn't think I have dry eyes because of my age. He did a Schirmer's test and I got 35mm. He thought it was reflex tearing so he did it again with the same result. After that he examined my eyes thoroughly and said that I might have blocked tear ducts due to allergies. He was going to perform a little surgery to see if I had blocked tear ducts, but canceled last minute. Instead he prescribed me with Prednisolone. After a couple weeks I went back for the checkup and told him that "I only noticed that it helped when my eyes were really watery and if I put drops. it helps very slightly besides that I didn't notice any improvement instilling 3 drops per day." He examined my eyes and said to me that my eyes were over producing tears because of my allergies. I asked him more questions. Is there a permanent cure? "With allergies there are no permanent cures only temporary measures."
How did I get eye allergies? " Something that the eyes weren't used too, suddenly appeared and the eyes over reacted to it and it's permanent." He told me that he was positive that Olopatadine was going to help me. It has been 7 weeks since the checkup. Each morning I instill one drop of Olopatadine Hydrochloride Ophthalmic Solution 0.2% in each eye, but I still don't notice any improvement. I also take 2 tablets of allergy relief to cope with it. Before I can continue I want to explain my other problems. When I was a child I got flashes of light and floaters, but didn’t really notice or care. Now there getting more severe. I look at some light and look away and a flash appears moving. I look into the sky and the only thing I see is moving white cobwebs thousands of them. I see millions of very faint small circles. When I apply pressure to the same spot on my eye I see the same big green flash of light with everything exactly the same as before moving across my eyes. In the dark I see flashes to without light. I also get faint black curtains on my eyes that are starting to get annoying. I recently researched this problem and I think I might have a detached retina. I think I might have gotten the eye allergy from not closing my eyes when I take a shower with shampoo btw. He didn’t tell me what I have, but I think that I have chronic allergic conjunctivitis. The past three days of March 6, 2019 has been hell. I go to school and every second my eyes get irritated and then I have to blink or rub my eyes because it gets watery, I don’t know why I think my eyes are trying to drain the Olopatadine or something. I’m afraid of asking my mom to see the eye doctor again because she won’t believe me and say stop using the computer even though I blink like 30 times per minute. Also the appointment wait time takes very long about a couple months.
Any suggestions? Like should I wait longer to see if the Olopatadine works? Go to the ophthalmologist immediately? Please help me!
</t>
        </is>
      </c>
      <c r="D173" t="n">
        <v>3</v>
      </c>
      <c r="E173" t="n">
        <v>2</v>
      </c>
      <c r="F173">
        <f>HYPERLINK("https://www.reddit.com/r/eyetriage/comments/ay64h2/eye_allergy_flashes_floaters_and_curtains_help/")</f>
        <v/>
      </c>
      <c r="G173" t="inlineStr">
        <is>
          <t>2019-03-06 16:18:44</t>
        </is>
      </c>
      <c r="H173" t="inlineStr"/>
    </row>
    <row r="174">
      <c r="A174" t="inlineStr">
        <is>
          <t>ay6ur7</t>
        </is>
      </c>
      <c r="B174" t="inlineStr">
        <is>
          <t>Halos, bloodshot eyes</t>
        </is>
      </c>
      <c r="C174" t="inlineStr">
        <is>
          <t>I've got a weird eye thing going on. I'm 18 and male.
For the past few months, my eyes have been slightly irritated (barely noticeably bloodshot, pinkish) and around bright lights at night I'm seeing halos and glare.
I don't think it's astigmatism as I have 20/15 or better acuity in both eyes and didn't have astigmatism when I went to the opto a few years ago. I'm young so probably not a cataract. I've been doing hot compresses (Seem to make my eyes more irritated) and artificial tears for a bit over a week now, hasn't improved. Is this likely a permanent thing? I'll be going to the doctor for this in a few weeks.</t>
        </is>
      </c>
      <c r="D174" t="n">
        <v>1</v>
      </c>
      <c r="E174" t="n">
        <v>5</v>
      </c>
      <c r="F174">
        <f>HYPERLINK("https://www.reddit.com/r/eyetriage/comments/ay6ur7/halos_bloodshot_eyes/")</f>
        <v/>
      </c>
      <c r="G174" t="inlineStr">
        <is>
          <t>2019-03-06 17:32:24</t>
        </is>
      </c>
      <c r="H174" t="inlineStr"/>
    </row>
    <row r="175">
      <c r="A175" t="inlineStr">
        <is>
          <t>aybh8i</t>
        </is>
      </c>
      <c r="B175" t="inlineStr">
        <is>
          <t>Am I suffering from Digital Eye Strain or is it something else? Please help.</t>
        </is>
      </c>
      <c r="C175" t="inlineStr">
        <is>
          <t>I'm writting this because I'm in a pretty desperate situation and it's starting to look like Reddit is my last hope. Basically I've had a computer ever since I was a kid(I'm now 26) and never had any eye related problems before(other than having to get glasses), no matter how much time I spent in front of it. So it all started around mid-October 2018,on this particular day when I spent almost the whole day being in front of the computer. I did take short breaks every now and then though. Not sure exactly how many hours had passed(I'm guessing around 12?) when all of the sudden I felt this strong stinging pain and I'm not sure if I felt it in both of my eyes or just in the left one. I'm pretty sure this was caused by the fact that sometimes I forget to blink as much as I should if I focus on a certain task. I looked in the mirror and my eyes look pretty red and tired so I turned off my computer and went to sleep.
Ever since that day, I can no longer sit in front of the computer for long periods of time like I used to even though I'm always forcing myself to blink more. In fact, I can only do 1 hour computer sessions at a time before I feel like I need to take a long break from it (also around 1 hour), anything longer than 1 hour in front of the computer screen and my eyes will either get tired, dry or bloodshot. Sometimes I would even feel all of those symptoms at once which is a nightmare to deal with since it's happening every single day since then. Whenever my eyes feel dry and/or tired and I look in the mirror, the surface of my eyes actually looks wet! Which is very confusing and I'm not sure what's happening with my eyes. How could they feel dry if they are actually wet?
When my eyes get bloodshot, I often start to feel stinging pain in the area that is red. If I take my eyes off the computer or TV or sometimes even the phone, all the pain and dryness/tiredness slowly starts to go away during the 1 hour break that I usually take. I also started seeing [eye floaters](https://media.giphy.com/media/mYhIQzPpY17xe/giphy.gif) pretty regularly when I look at something bright like the sky for example, which is worrying me a lot.
I also want to mention that I've always kept a considerable distance between my eyes and the computer screen, about an arm's length or 60 cm which seems to be more than enough from what I've read and I'm always getting at least 8 hours of sleep per night so I can’t tell what the problem is.
**What I've tried so far**:
**1**) Visited an expensive eye doctor that prescribed me some regular eyedrops called Augen Tropfen. Used them for a month but didn't do much for me.
**2**) Visited another expensive eye doctor that prescribed me Thealoz duo eyedrops along with Artelac Nighttime Gel. Still taking them to this day but I feel little to no improvement.There are times when I feel like the eyedrops help a little but to be honest most of the time I feel like they don’t do much.
**3**) Visited a 3rd eye doctor. A different one. He couldn't figure out what was wrong with my eyes and said I'm fine. I'm obviously not. At this point I'm not planning to go back to another doctor, I'm spending too much money and getting nothing in return. 
**4**) I've set the contrast and brightness of my monitor to 0. As low as it gets. My eyes still feel the same symptoms after each 1 hour computer session (more or less). If I were to set the contrast and brightness values back to what they were before I would last less time in front of the computer. Around 30 mins.
**5**) Tried staring at the monitor with my glasses. No difference. (And yes the prescription for my glasses is correct as it was confirmed by both doctors but I do not wear them at the computer anyway since I’m nearsighted and see perfectly fine at a short distance).
**6**) Bought a pair of special computer glasses called Gunnar that are supposed to block the harmful blue light. No difference.
**7**) Tried installing a program called f.lux that's also supposed to block the harmful blue light. No difference.
**8**) Took a 2 week long break from the computer. As soon as I started using it again all the symptoms came back.
This is a very annoying situation to be in and I can't even go to work because of it. I'm feeling pretty hopeless so any advice coming from any of you will be greatly appreciated.
**EDIT 03/03/2019**: I've been using hot compresses over my eyes for almost a month. My eyes no longer feel like they are getting dry nowadays. However, they still get bloodshot and sting a lot after approximately an hour of PC/TV/PHONE use. (sometimes even less than that..)
**EDIT 03/05/2019**: My eyes also get irritated when I'm outside and it's windy. Also, for whatever reason, I can no longer see as sharp as I used to with my right eye, whether I'm wearing my glasses or not. For example, as I'm writting this, I tried closing one eye at a time and noticed that the text is a bit blurry when looking at it with my right eye. Can't tell if my right eye has an issue focusing on objects or is just seeing blurry if that makes any sense. Couldn't tell any of my doctors about this because it only started happening recently.
**EDIT 03/07/2019**: The lacrimal caruncle from my left eye has been looking slighty red and inflammed for a few days now. Also hurts a bit from time to time. My left eye also happens to be the one that stings the most when using digital devices.</t>
        </is>
      </c>
      <c r="D175" t="n">
        <v>2</v>
      </c>
      <c r="E175" t="n">
        <v>13</v>
      </c>
      <c r="F175">
        <f>HYPERLINK("https://www.reddit.com/r/eyetriage/comments/aybh8i/am_i_suffering_from_digital_eye_strain_or_is_it/")</f>
        <v/>
      </c>
      <c r="G175" t="inlineStr">
        <is>
          <t>2019-03-07 03:08:30</t>
        </is>
      </c>
      <c r="H175" t="inlineStr"/>
    </row>
    <row r="176">
      <c r="A176" t="inlineStr">
        <is>
          <t>aydv52</t>
        </is>
      </c>
      <c r="B176" t="inlineStr">
        <is>
          <t>Choosing an eye doctor after LASIK and how often do I need to go after the first year?</t>
        </is>
      </c>
      <c r="C176" t="inlineStr">
        <is>
          <t xml:space="preserve">I had Epi-LASIK about 11 years ago and in my mid 30's now. I've moved to a new city and haven't had a checkup in a few years. I was wondering should I continue to get checkups at places that offer LASIK since they probably see the most LASIK patients or just go to a general opthalmologist (or optometrist)? 
For background: other than the LASIK I've had a few minor concerns that my optometrist told me to keep an eye on (in my teenage years before the lasik). One was thin retina spots that I saw a retina specialist for but said wasn't worrisome so I stopped going after a few years, a large spot on the white of my eye (hasn't grown for a decade), and some extra blood vessel growth from when I wore contacts. I also have some permanent floaters. I've have dry eyes in the morning when I first wake up since the Epi-LASIK but overall not too bad. One eye still has perfect vision while the other has drifted slightly but not enough to warrant correctives yet. 
My LASIK place didn't really tell me what my care plan should be after the last 1 year checkup (which was with their optometrist). With the above background do I see a general opthalmologist every year for a checkup? Or just an optometrist? And for either should it be at a LASIK specific place or is anywhere fine? Also, I live in Philadelphia and I'm curious about the pros/cons of going to someone at a big hospital like Will's (which I think is the big eye hospital here, though they don't do LASIK which goes back to my original question if that is important or not) or an independent clinic. Thanks. </t>
        </is>
      </c>
      <c r="D176" t="n">
        <v>1</v>
      </c>
      <c r="E176" t="n">
        <v>3</v>
      </c>
      <c r="F176">
        <f>HYPERLINK("https://www.reddit.com/r/eyetriage/comments/aydv52/choosing_an_eye_doctor_after_lasik_and_how_often/")</f>
        <v/>
      </c>
      <c r="G176" t="inlineStr">
        <is>
          <t>2019-03-07 07:35:03</t>
        </is>
      </c>
      <c r="H176" t="inlineStr"/>
    </row>
    <row r="177">
      <c r="A177" t="inlineStr">
        <is>
          <t>ayph0x</t>
        </is>
      </c>
      <c r="B177" t="inlineStr">
        <is>
          <t>Eyes swollen after crying. Am I ok to wear contacts?</t>
        </is>
      </c>
      <c r="C177" t="inlineStr">
        <is>
          <t>I recently lost someone very close to me and last night I ended up crying pretty intensely for over and hour and ended up just crying myself to sleep. When I woke up this morning my eyes are noticeably swollen and one is slightly red. Am I ok to wear contacts? I’ve always been told not to if they are red or feel irritated but since I’m pretty sure I know what the cause is am I ok to?</t>
        </is>
      </c>
      <c r="D177" t="n">
        <v>1</v>
      </c>
      <c r="E177" t="n">
        <v>2</v>
      </c>
      <c r="F177">
        <f>HYPERLINK("https://www.reddit.com/r/eyetriage/comments/ayph0x/eyes_swollen_after_crying_am_i_ok_to_wear_contacts/")</f>
        <v/>
      </c>
      <c r="G177" t="inlineStr">
        <is>
          <t>2019-03-08 04:00:01</t>
        </is>
      </c>
      <c r="H177" t="inlineStr"/>
    </row>
    <row r="178">
      <c r="A178" t="inlineStr">
        <is>
          <t>az22kg</t>
        </is>
      </c>
      <c r="B178" t="inlineStr">
        <is>
          <t>Not sure if contact lens is still there</t>
        </is>
      </c>
      <c r="C178" t="inlineStr">
        <is>
          <t>I always try to be careful and precise when handling my contact lenses. Yesterday i removed my contact lenses from my eyes, but the weird thing is that it feels like i still have a contact lens on my left eye. Like a foreign body sensation when i blink or move my eye. 
I use daily disposable contact lenses, and i know that these containers may contain more than one contact lens, but this rarely never happens. 
So i tried everything. I tried putting some rewetting drops and saline solution in my eye, then gently massaging the eyelid to see if something would move. I was told that you can use your glasses to tell if the contact lens is still there, but i could see fine with glasses. Lastly, i examined my eyes in the mirror with external light to see if the contact was there. I saw a kind of blue tint around my iris, but this may be something else. I know that my contact lens has a blue visibility tint, so i would know if it was there, but still, this didn’t look like it.
So after checking my eyes multiple times, i decided to sleep. The next day the foreign body sensation was gone. Should i go get my eyes checked or not. Its not like the visibility tint on my contact lens will go away, right? 
Sorry for long post, i just had a lot to explain. I would be greatfull if you would help me out.</t>
        </is>
      </c>
      <c r="D178" t="n">
        <v>1</v>
      </c>
      <c r="E178" t="n">
        <v>1</v>
      </c>
      <c r="F178">
        <f>HYPERLINK("https://www.reddit.com/r/eyetriage/comments/az22kg/not_sure_if_contact_lens_is_still_there/")</f>
        <v/>
      </c>
      <c r="G178" t="inlineStr">
        <is>
          <t>2019-03-09 02:14:30</t>
        </is>
      </c>
      <c r="H178" t="inlineStr"/>
    </row>
    <row r="179">
      <c r="A179" t="inlineStr">
        <is>
          <t>az54z1</t>
        </is>
      </c>
      <c r="B179" t="inlineStr">
        <is>
          <t>Possibly scratched eye with nails while removing contact lenses?</t>
        </is>
      </c>
      <c r="C179" t="inlineStr">
        <is>
          <t xml:space="preserve">Switched from Acuvue Oasis Daily to Alcon Daily. After work I tried my usual routine by opening my eyelids and pinching my contacts to remove them. Didn't work. Tried it a second then third, fourth... I must've tried it a dozen times for each eye. I moved the contacts with my fingers in a circular motion thinking it was stuck, but it was moving without an issue. Tried splashing water and eye drops into the eyes but nothing. After 20 minutes of panicking and grabbing the contacts with my nails I removed them, but I'm pretty sure I damaged my cornea or the white part least. Is moving the contacts around with my fingers damaging to the cornea? What about attempting to pinch the contacts a dozen times? 
Both eyes are somewhat red. </t>
        </is>
      </c>
      <c r="D179" t="n">
        <v>0</v>
      </c>
      <c r="E179" t="n">
        <v>2</v>
      </c>
      <c r="F179">
        <f>HYPERLINK("https://www.reddit.com/r/eyetriage/comments/az54z1/possibly_scratched_eye_with_nails_while_removing/")</f>
        <v/>
      </c>
      <c r="G179" t="inlineStr">
        <is>
          <t>2019-03-09 08:25:24</t>
        </is>
      </c>
      <c r="H179" t="inlineStr"/>
    </row>
    <row r="180">
      <c r="A180" t="inlineStr">
        <is>
          <t>az64gy</t>
        </is>
      </c>
      <c r="B180" t="inlineStr">
        <is>
          <t>Corneal Abrasion 5 months ago - can excessive crying cause re-injury?</t>
        </is>
      </c>
      <c r="C180" t="inlineStr">
        <is>
          <t xml:space="preserve">My friend scratched her cornea 5 months ago. Her eye was scratched by a tree branch while walking her dog. It healed and there were no complications 
Fast forward to last week. Her friend died and she has been crying for days and as a result, somehow possibly re injured her eye. Is this a result of the original injury not healing properly? Or a separate issue. Why would excessive crying cause it to get scratched again if so? 
She would have to wait till Monday to see the eye doctor. Is there anything she can do in the mean time to alleviate it? </t>
        </is>
      </c>
      <c r="D180" t="n">
        <v>3</v>
      </c>
      <c r="E180" t="n">
        <v>3</v>
      </c>
      <c r="F180">
        <f>HYPERLINK("https://www.reddit.com/r/eyetriage/comments/az64gy/corneal_abrasion_5_months_ago_can_excessive/")</f>
        <v/>
      </c>
      <c r="G180" t="inlineStr">
        <is>
          <t>2019-03-09 09:59:05</t>
        </is>
      </c>
      <c r="H180" t="inlineStr"/>
    </row>
    <row r="181">
      <c r="A181" t="inlineStr">
        <is>
          <t>azbdcm</t>
        </is>
      </c>
      <c r="B181" t="inlineStr">
        <is>
          <t>'Shadow' effect in vision while reading + text ghosting/halo</t>
        </is>
      </c>
      <c r="C181" t="inlineStr">
        <is>
          <t>Hi,
A few years ago I started getting a 'shadowy' effect while reading (particularly on computer screens), the best way I can  describe it is the sensation you get if you stare at a lightbulb and then at a white wall, it's like that, but all of the time. There's also a slight halo / ghosting outline around text. I work in software development, which is about 80% reading text, so this has been quite problematic.
When it started I went to an optometrist who did a few tests and said I have accommodation/tracking/convergence issues, describing it as "the eyes as a 50 year old", I'm only 25 and have a relatively mild prescription  (-1.00x-0.75x170 axis astigmatism left, -1.25 right). They didn't see any physical eye disease but referred me to the eye unit at the hospital. 
I saw a lady at the hospital (Ophthalmologist?) a couple of times, each time she gave me eye exercises (for accommodation + convergence insufficiency) to do for a few weeks and followed up with another test. The eye exercises didn't seem to do much, every time she observed my eyes while reading she commented she could still visibly see them having abnormal movement when reading. At this point she didn't know what else to try, so referred me on to a more senior consultant. 
The appointment with the consultant lasted about 2 minutes, he didn't even look in my eyes, he'd read on my records that I suffer from depression and had already decided it was all in my head... I questioned what it might have been the other people saw, but he just shrugged, and that was about it, he told me to stop wasting their time. I wasn't in a great place then, and the way he treated me put me off seeking any further help.
There's a few things that have an effect on the problem, if I wear contact lenses it seems to be worse (glasses have no effect). Also, if I read in complete darkness it's *much* less of an issue, but even the tiniest amount of daylight starts causing problems.  
Is this likely to be in my head, despite other people seeing issues... or has anyone heard of a condition that causes symptoms similar to this? Thanks in advance.
&amp;amp;#x200B;</t>
        </is>
      </c>
      <c r="D181" t="n">
        <v>6</v>
      </c>
      <c r="E181" t="n">
        <v>2</v>
      </c>
      <c r="F181">
        <f>HYPERLINK("https://www.reddit.com/r/eyetriage/comments/azbdcm/shadow_effect_in_vision_while_reading_text/")</f>
        <v/>
      </c>
      <c r="G181" t="inlineStr">
        <is>
          <t>2019-03-09 18:56:00</t>
        </is>
      </c>
      <c r="H181" t="inlineStr"/>
    </row>
    <row r="182">
      <c r="A182" t="inlineStr">
        <is>
          <t>azdtki</t>
        </is>
      </c>
      <c r="B182" t="inlineStr">
        <is>
          <t>Am I going crazy or is there a clear film that moves when you pull down the lower eyelid?</t>
        </is>
      </c>
      <c r="C182" t="inlineStr">
        <is>
          <t>I noticed this clear skin/film that moves when I pull up and down my lower eyelids. Is this normal or did I rip something?</t>
        </is>
      </c>
      <c r="D182" t="n">
        <v>3</v>
      </c>
      <c r="E182" t="n">
        <v>5</v>
      </c>
      <c r="F182">
        <f>HYPERLINK("https://www.reddit.com/r/eyetriage/comments/azdtki/am_i_going_crazy_or_is_there_a_clear_film_that/")</f>
        <v/>
      </c>
      <c r="G182" t="inlineStr">
        <is>
          <t>2019-03-10 00:39:45</t>
        </is>
      </c>
      <c r="H182" t="inlineStr"/>
    </row>
    <row r="183">
      <c r="A183" t="inlineStr">
        <is>
          <t>azfeeq</t>
        </is>
      </c>
      <c r="B183" t="inlineStr">
        <is>
          <t>What's wrong with my eyes?</t>
        </is>
      </c>
      <c r="C183" t="inlineStr">
        <is>
          <t>Here are the symptoms I'm having:
* Glare and halos around bright lights at night
* Every morning, my eyes are red, inflamed, and dry when I wake up. I feel like it interrupts my sleep.
* Eye discomfort looking at bright screen for too long
* Constantly red eyes
Here's what I've tried:
* Warm ompress: Makes my eyes redder/more inflamed,  don't think it works
*  Eye drops: Ease burning for 10 seconds, other than that nothing. Tried no preservative drops as well.
* Night ointment: blurry, uncomfortable eyes going to sleep, same dry red enflamed eyes waking up
Is this likely dry eye or something else? I'm 17M</t>
        </is>
      </c>
      <c r="D183" t="n">
        <v>1</v>
      </c>
      <c r="E183" t="n">
        <v>0</v>
      </c>
      <c r="F183">
        <f>HYPERLINK("https://www.reddit.com/r/eyetriage/comments/azfeeq/whats_wrong_with_my_eyes/")</f>
        <v/>
      </c>
      <c r="G183" t="inlineStr">
        <is>
          <t>2019-03-10 05:58:28</t>
        </is>
      </c>
      <c r="H183" t="inlineStr"/>
    </row>
    <row r="184">
      <c r="A184" t="inlineStr">
        <is>
          <t>azg0rk</t>
        </is>
      </c>
      <c r="B184" t="inlineStr">
        <is>
          <t>Frequent Redness in the eyes and tinge pain at times?</t>
        </is>
      </c>
      <c r="C184" t="inlineStr">
        <is>
          <t>I find my eye whites are getting duller in color, frequent redness with red veins, more on the right eye. The bottom of the eye have the most redness and there are pain at times even where there is no redness? What does this mean and what can i do to cure it? 
My dad said to just stopped using the phone, electronic gadgets.</t>
        </is>
      </c>
      <c r="D184" t="n">
        <v>1</v>
      </c>
      <c r="E184" t="n">
        <v>0</v>
      </c>
      <c r="F184">
        <f>HYPERLINK("https://www.reddit.com/r/eyetriage/comments/azg0rk/frequent_redness_in_the_eyes_and_tinge_pain_at/")</f>
        <v/>
      </c>
      <c r="G184" t="inlineStr">
        <is>
          <t>2019-03-10 07:14:15</t>
        </is>
      </c>
      <c r="H184" t="inlineStr"/>
    </row>
    <row r="185">
      <c r="A185" t="inlineStr">
        <is>
          <t>azj960</t>
        </is>
      </c>
      <c r="B185" t="inlineStr">
        <is>
          <t>SMILE with pre-existing chronic dry eye</t>
        </is>
      </c>
      <c r="C185" t="inlineStr">
        <is>
          <t>I have had dry eye which has gradually gotten more severe over time since I took Accutane in my teens. I have taken two Schirmers tests in the last 2 years and scored \~ 2-3 in both eyes both times. The dry eye is chronically severe and I use the night-time Systane gel ointment during the day to relieve my symptoms.
I want to know if SMILE is advisable for people who already have chronic dry eye and whether I would be able to use the gel before the procedure? I would not be able to hold my eye open for 10+ minutes without blinking because the dryness would be too painful. Also, how do you keep yourself from moving your eye when they make the incision?? I have never even been able to get contacts into my eyes even when my optometrist helped me, so I have no idea how I would handle a needle going into my eye for minutes at a time.</t>
        </is>
      </c>
      <c r="D185" t="n">
        <v>1</v>
      </c>
      <c r="E185" t="n">
        <v>3</v>
      </c>
      <c r="F185">
        <f>HYPERLINK("https://www.reddit.com/r/eyetriage/comments/azj960/smile_with_preexisting_chronic_dry_eye/")</f>
        <v/>
      </c>
      <c r="G185" t="inlineStr">
        <is>
          <t>2019-03-10 12:23:02</t>
        </is>
      </c>
      <c r="H185" t="inlineStr"/>
    </row>
    <row r="186">
      <c r="A186" t="inlineStr">
        <is>
          <t>azkzae</t>
        </is>
      </c>
      <c r="B186" t="inlineStr">
        <is>
          <t>Bad case of eye strain during the day</t>
        </is>
      </c>
      <c r="C186" t="inlineStr">
        <is>
          <t xml:space="preserve">Hello everyone, I hope someone can help me! 
For quite some years now I've been suffering from eye strain when staring at a screen (reading a book or driving are no problem). My eyes get tired when looking at a screen and I get a headache. It all passes when I stop looking at a screen for a while and my eyes can rest, sleeping helps even better. 
My symptoms have been fluctuating. From very bad (headaches after a few minutes of staring at a screen) to almost nonexistant (the past yeard and a half or so). Lately the symptoms have been flaring up again.
I've had my eyes checked and I was diagnosed with astigmatism. The glasses I bought help tremendously, but they don't solve my problem. I've visited an eye doctor last summer and she prescribed new glasses because my astigmatism got sligtly worse.
I've tried a bunch of other stuff like eye drops, the 20/20/20 rule and I've installed flux on my computer and smartphone. All with very limited success.
Something is very, very weird though. I only experience these headaches during the day. Once the sun goes down, my issues disappear COMPLETELY. I can stare at a screen for hours (like now) without any issues whatsoever. This also means artificial lightning doesn't cause any issues for my eyes (my room is lit right now).
I've visited three different eye doctors (going to a new one tomorrow), but no one has been able to explain this. The last doctor actually ran all of his tests again after putting on the lights but claimed that he saw no difference in my eyes. Maybe because his room had no windows and all the lightning was artificial?
So sun light seems to be the culprit? It has been very sunny for the past few weeks here, so maybe that's why my symptoms have reappeared. 
At work I am lucky because I work in a room with no natural light. But we'll be moving to a new office with lots of big windows late this year, and I'm really dreading this. For those sugesting f.lux is the solution because it only kicks in at sunset, I don't have f.lux installed at work and my eyes are fine there.
So can anyone actually explain this? I'm happy to answer any questions.
</t>
        </is>
      </c>
      <c r="D186" t="n">
        <v>1</v>
      </c>
      <c r="E186" t="n">
        <v>0</v>
      </c>
      <c r="F186">
        <f>HYPERLINK("https://www.reddit.com/r/eyetriage/comments/azkzae/bad_case_of_eye_strain_during_the_day/")</f>
        <v/>
      </c>
      <c r="G186" t="inlineStr">
        <is>
          <t>2019-03-10 14:54:11</t>
        </is>
      </c>
      <c r="H186" t="inlineStr"/>
    </row>
    <row r="187">
      <c r="A187" t="inlineStr">
        <is>
          <t>azm3f0</t>
        </is>
      </c>
      <c r="B187" t="inlineStr">
        <is>
          <t>Cloudy vision after being hit in the eye?</t>
        </is>
      </c>
      <c r="C187" t="inlineStr">
        <is>
          <t>Hello all, was playing racquetball today and got blasted by a ball directly into my eyeball, this happened a little more than an hour ago. There's no pain anymore but my eye does feel dry and my vision is noticeably more hazy/cloudy as if I'm looking through a dirty window, it's also very red. It's Sunday night so there's not much I can do except buy eyedrops and put them (which I have done and it didn't really help) but I'm wondering if you guys think I should see an eye doctor in the morning, potentially visit an ER tonight, or do nothing if this is common and I'll be fine.
Thanks in advance for the help.</t>
        </is>
      </c>
      <c r="D187" t="n">
        <v>1</v>
      </c>
      <c r="E187" t="n">
        <v>1</v>
      </c>
      <c r="F187">
        <f>HYPERLINK("https://www.reddit.com/r/eyetriage/comments/azm3f0/cloudy_vision_after_being_hit_in_the_eye/")</f>
        <v/>
      </c>
      <c r="G187" t="inlineStr">
        <is>
          <t>2019-03-10 16:38:17</t>
        </is>
      </c>
      <c r="H187" t="inlineStr"/>
    </row>
    <row r="188">
      <c r="A188" t="inlineStr">
        <is>
          <t>aznw1w</t>
        </is>
      </c>
      <c r="B188" t="inlineStr">
        <is>
          <t>Curious Question About Reading at Night</t>
        </is>
      </c>
      <c r="C188" t="inlineStr">
        <is>
          <t>Long story short, pretty much my whole life, I have trouble going to sleep at night. I take extremely good care of myself, I exercise regularly, eat meticulously healthy, and try to ensure I get at least 8 hours every night, despite how hard it is for me to doze off at night, so it's confounding why I have this problem. I'd have to lay in bed at the bare minimum of 45 minutes tossing around before I'm actually asleep. 
However, one thing that does help me go to sleep faster is the act of reading while laying in bed. There reaches a point where I start to nod off, then I simply put away my device and go to sleep. From what I understand, this contradicts the fact that being exposed to light at night will not only make it harder to sleep, but worsen the quality of sleep. I try to mitigate this as best as possible by using whatever technology is available, and there are two forms: I can read on a kindle paperwhite, which is an e-ink reader that is backlit(?) that mimics reading a book with a lamp shone OVER it (as how it's usually described), or I can read on my smartphone with the twilight app, with maximum filtering of blue light, which is 1200K, but of course the led lights blare right into my eyes. Of course, both devices are at lowest brightness settings possible.
My question is, which one would be "better" for my eyes, if I HAD to use one of the devices to help me fall asleep in a completely dark room, device 5-6 inches away from the face?
Thanks to everyone in advance!</t>
        </is>
      </c>
      <c r="D188" t="n">
        <v>1</v>
      </c>
      <c r="E188" t="n">
        <v>3</v>
      </c>
      <c r="F188">
        <f>HYPERLINK("https://www.reddit.com/r/eyetriage/comments/aznw1w/curious_question_about_reading_at_night/")</f>
        <v/>
      </c>
      <c r="G188" t="inlineStr">
        <is>
          <t>2019-03-10 19:39:16</t>
        </is>
      </c>
      <c r="H188" t="inlineStr"/>
    </row>
    <row r="189">
      <c r="A189" t="inlineStr">
        <is>
          <t>azv5sz</t>
        </is>
      </c>
      <c r="B189" t="inlineStr">
        <is>
          <t>Is something wrong with me? Hurts to look/rotate eye up. Only in the right eye, left eye is normal.</t>
        </is>
      </c>
      <c r="C189" t="inlineStr">
        <is>
          <t xml:space="preserve">So google says that pain or soreness when you look in a specific direction is usually just fatigued muscle, especially if it is happening in both eyes. If it isn't that, it's probably something serious.
For me it is just my right eye, though. When I rotate it to look upwards, there is a lot of pain. It's kind of like 50% soreness and 50% sharp pain. It's been like this for 3 days now after I noticed it and has not changed or improved.
Is this worth going to a doctor over now or should I continue waiting to see if the condition changes?
I have to use a computer constantly for work, and I have 3 monitors in front of me for most of the day, every day. So maybe this is some sort of chronic fatigue? I have noticed a large increase in floaters of the past year in just my right eye as well. I did go to the eye doctor about 2 months ago for a check up and he gave me a clean bill of eye health, so if this is something serious would he have seen it during the standard exam?
</t>
        </is>
      </c>
      <c r="D189" t="n">
        <v>2</v>
      </c>
      <c r="E189" t="n">
        <v>7</v>
      </c>
      <c r="F189">
        <f>HYPERLINK("https://www.reddit.com/r/eyetriage/comments/azv5sz/is_something_wrong_with_me_hurts_to_lookrotate/")</f>
        <v/>
      </c>
      <c r="G189" t="inlineStr">
        <is>
          <t>2019-03-11 09:05:02</t>
        </is>
      </c>
      <c r="H189" t="inlineStr"/>
    </row>
    <row r="190">
      <c r="A190" t="inlineStr">
        <is>
          <t>azz4b8</t>
        </is>
      </c>
      <c r="B190" t="inlineStr">
        <is>
          <t>Eye Strain, or More Serious?</t>
        </is>
      </c>
      <c r="C190" t="inlineStr">
        <is>
          <t>Hey folks. 28/m/caucasian here.
&amp;amp;#x200B;
I've had a problem over the past two months or so with my vision. My symptoms include:
\- Blurred/double vision
\- Dry/red eyes
\- Sometimes I experience a weird feeling almost like my depth perception isn't working properly
\- Tracers, curtains
\- Moderate photosensitivity
\- Eyes constantly losing focus
\- When I stare at screens with text in some places and big blank spaces in others (for instance, right now on Reddit the text entry box is in the middle and there are blank grey panels to the side) the blank spaces seem to have a "fuzz" over them almost like I'm seeing black and white dots in the blank spaces all the time. This also happens when I'm not on a screen and I'm looking at, for instance, a painted wall.
&amp;amp;#x200B;
I had an old-ish prescription with some scratched lenses, so I figured this may be the problem. I saw my optometrist who got me fixed up with a new prescription as of a couple weeks ago. They said that my vision should adjust to the correct prescription over the next few days and my symptoms would go away.
&amp;amp;#x200B;
After about a week with the new glasses, I feel like my vision has worsened if anything. These problems seem to be especially bad first thing in the morning and before bed at night.
&amp;amp;#x200B;
I work on a computer 10 hours a day and have a pretty heavy gaming habit outside of work as well.
&amp;amp;#x200B;
I paid for all the optional tests the optometrist had available (blowing air at your eyes, peripheral vision test, photographing and checking my optic nerve) and he said all looks normal. I asked for an ophthalmology referral but the optometrist turned me down.  I was given some eye drops and sent away.
&amp;amp;#x200B;
At this point I'm feeling pretty desperate due to both my work and my favourite hobby relying pretty heavily on my sight being on the up-and-up.
&amp;amp;#x200B;
Should I call my optometrist back and lean more heavily for an ophthalmology referral, or is there anything else I can do in the meantime? I saw the sticky about warm compresses and I'm going to start trying that immediately.
&amp;amp;#x200B;
I appreciate any help or advice that anyone takes the time to give.</t>
        </is>
      </c>
      <c r="D190" t="n">
        <v>3</v>
      </c>
      <c r="E190" t="n">
        <v>0</v>
      </c>
      <c r="F190">
        <f>HYPERLINK("https://www.reddit.com/r/eyetriage/comments/azz4b8/eye_strain_or_more_serious/")</f>
        <v/>
      </c>
      <c r="G190" t="inlineStr">
        <is>
          <t>2019-03-11 14:33:09</t>
        </is>
      </c>
      <c r="H190" t="inlineStr"/>
    </row>
    <row r="191">
      <c r="A191" t="inlineStr">
        <is>
          <t>b014iy</t>
        </is>
      </c>
      <c r="B191" t="inlineStr">
        <is>
          <t>First time wearing glasses.</t>
        </is>
      </c>
      <c r="C191" t="inlineStr">
        <is>
          <t>My glasses just came in for my astigmatism and it seems like words from a distance are more blurry with glasses than without. I know it will take a minute for my eyes to get adjusted to the glasses but that seems a bit worrisome. Am I overthinking this or is there a possibility that my glasses are the wrong prescription?
Sorry if this isn't the right place to ask this!</t>
        </is>
      </c>
      <c r="D191" t="n">
        <v>2</v>
      </c>
      <c r="E191" t="n">
        <v>9</v>
      </c>
      <c r="F191">
        <f>HYPERLINK("https://www.reddit.com/r/eyetriage/comments/b014iy/first_time_wearing_glasses/")</f>
        <v/>
      </c>
      <c r="G191" t="inlineStr">
        <is>
          <t>2019-03-11 17:27:39</t>
        </is>
      </c>
      <c r="H191" t="inlineStr"/>
    </row>
    <row r="192">
      <c r="A192" t="inlineStr">
        <is>
          <t>b01v4n</t>
        </is>
      </c>
      <c r="B192" t="inlineStr">
        <is>
          <t>Foggy curtain when moving eyes near light sources</t>
        </is>
      </c>
      <c r="C192" t="inlineStr">
        <is>
          <t xml:space="preserve">Hello, I am 25 male. Year ago I got floaters, went to a doctor, who explained me what it is. Not the best news in my life, but worse things happen in life. However from few moths I have have new symptom that occurs when I'm looking at sources of light and moving my eye (such as when writing this article). It looks like white curtain which blurs out my vision or cloud of steam,I guess you can imagine now how it looks. Could you explain me what this condition might be?
</t>
        </is>
      </c>
      <c r="D192" t="n">
        <v>4</v>
      </c>
      <c r="E192" t="n">
        <v>1</v>
      </c>
      <c r="F192">
        <f>HYPERLINK("https://www.reddit.com/r/eyetriage/comments/b01v4n/foggy_curtain_when_moving_eyes_near_light_sources/")</f>
        <v/>
      </c>
      <c r="G192" t="inlineStr">
        <is>
          <t>2019-03-11 18:39:52</t>
        </is>
      </c>
      <c r="H192" t="inlineStr"/>
    </row>
    <row r="193">
      <c r="A193" t="inlineStr">
        <is>
          <t>b04bav</t>
        </is>
      </c>
      <c r="B193" t="inlineStr">
        <is>
          <t>Vision clearer when tilting glasses</t>
        </is>
      </c>
      <c r="C193" t="inlineStr">
        <is>
          <t>Hi everyone,
I posted a little while back about how my vision is clearer when I tilt my head with my new glasses; I realised after a few people responded that it also clears up when I tilt the glasses themselves, making it seem like an issue with the axis of my prescription.
My prescription changes are as follows (the tilting thing doesn't happen noticeably with my old glasses):
Old prescription: R -0.50 / -2.50 x 100
L -0.50 / -2.50 x 87
PD: 62
Coatings: anti scratch and anti glare
New Prescription: R -0.50 / -2.75 x 100
L -0.25 / -3.00 x 83 Lens index: 1.6
PD: 62
Coatings: anti scratch and anti glare
I have been wearing them for about a month, my optician previously told me (after about a week of wearing them) to return to her after a month if I'm still having issues as she thinks it is an adjustment thing.
Close to a month later today I returned and got retested, my prescription changes now will be as follows:
Changes only to right eye -
-0.50 / 3.00 x 100
She said the tilting could have been giving me a cyl boost clearing up my vision. The thing is though it is more noticeable in my left eye, my right eye maybe slightly clears up when I tilt but it is mainly my left.
I asked her about the axis change from my old to my new prescription, and she said the original time and today's retest she both got 83 so the axis is correct now and if I was to go back then it would be blurry.
Its also worth noting she told me I have better than 20/20 vision with the glasses as they are now so it's not even worth changing the right eye, but I asked to do so anyway as the slight blurriness is annoying (I play video games with them tilted sometimes to clear up the vision so I can see fine details).
Am I just being fussy?
I don't understand why the tilting doesn't work on my old glasses, it seems to get blurrier if I do it with them as if the axis is correct there?
Is it time to get a second opinion or just suck it up and try forget?
Thanks everyone.
TLDR my vision is clearer when I tilt my glasses and my optician is sure he axis is correct with a retest.</t>
        </is>
      </c>
      <c r="D193" t="n">
        <v>1</v>
      </c>
      <c r="E193" t="n">
        <v>2</v>
      </c>
      <c r="F193">
        <f>HYPERLINK("https://www.reddit.com/r/eyetriage/comments/b04bav/vision_clearer_when_tilting_glasses/")</f>
        <v/>
      </c>
      <c r="G193" t="inlineStr">
        <is>
          <t>2019-03-11 23:07:38</t>
        </is>
      </c>
      <c r="H193" t="inlineStr"/>
    </row>
    <row r="194">
      <c r="A194" t="inlineStr">
        <is>
          <t>b076gh</t>
        </is>
      </c>
      <c r="B194" t="inlineStr">
        <is>
          <t>Necessary to get new glasses?</t>
        </is>
      </c>
      <c r="C194" t="inlineStr">
        <is>
          <t>Hello! I had my eye exam recently and the doctor commented that my RX was very close to my previous RX. Is it necessary to get new glasses in this case? It's a fairly light RX and I only wear them for driving at night (not legally required to wear them for driving). I'm fine with buying new glasses if it's needed, but I don't see the need to spend money unnecessarily. Thanks!</t>
        </is>
      </c>
      <c r="D194" t="n">
        <v>2</v>
      </c>
      <c r="E194" t="n">
        <v>4</v>
      </c>
      <c r="F194">
        <f>HYPERLINK("https://www.reddit.com/r/eyetriage/comments/b076gh/necessary_to_get_new_glasses/")</f>
        <v/>
      </c>
      <c r="G194" t="inlineStr">
        <is>
          <t>2019-03-12 05:25:23</t>
        </is>
      </c>
      <c r="H194" t="inlineStr"/>
    </row>
    <row r="195">
      <c r="A195" t="inlineStr">
        <is>
          <t>b0n7wy</t>
        </is>
      </c>
      <c r="B195" t="inlineStr">
        <is>
          <t>Cloudy film on left eye comes and goes? Worry? Diagnosed w/ Stargardt/retinal dystrophy</t>
        </is>
      </c>
      <c r="C195" t="inlineStr">
        <is>
          <t>Hey so the last week I have started having a cloudy film type of vision only left eye. It comes and goes but lasts a few hours each time. I have tried eye drops and resting my eyes but it doesn’t help. Is this something I should worry about or is it just another thing to deal with while I lose my vision? 
I also have curtains (lost 47% of peripheral vision), floaters, blurred vision, and flashing dots, dark dots, double vision (comes and goes) but have been told not to worry about any of them as they are all just something to deal with as my condition progresses. 
Everything so far has been both eyes but this is only on my left. (But left has always been worse than the right) 30yr &amp;amp; female if that matters. Both diagnosis of Stargardt and retinal dystrophy were made within the last months due to vision deteriorating quickly. 
Thanks</t>
        </is>
      </c>
      <c r="D195" t="n">
        <v>1</v>
      </c>
      <c r="E195" t="n">
        <v>2</v>
      </c>
      <c r="F195">
        <f>HYPERLINK("https://www.reddit.com/r/eyetriage/comments/b0n7wy/cloudy_film_on_left_eye_comes_and_goes_worry/")</f>
        <v/>
      </c>
      <c r="G195" t="inlineStr">
        <is>
          <t>2019-03-13 08:23:06</t>
        </is>
      </c>
      <c r="H195" t="inlineStr"/>
    </row>
    <row r="196">
      <c r="A196" t="inlineStr">
        <is>
          <t>b0qpgc</t>
        </is>
      </c>
      <c r="B196" t="inlineStr">
        <is>
          <t>Is there such a thing as a nonstop occular migraine?</t>
        </is>
      </c>
      <c r="C196" t="inlineStr">
        <is>
          <t xml:space="preserve">I'm at my wits end, I wish someone would just take it out. Haven't been diagnosed with anything, I don't have insurance (New England, USA)
I have this horrendous pain on the backside of my left eye for the past 5 weeks, it doesn't stop, nothing helps. My vision is foggy and I'm noticing my vision in the eye won't stop moving, like it's shaky, and it's not as clear. No trauma, no illness for almost a year, nose isn't leaking. No headache.
This isn't the first time, I went almost completely blind overnight 10 years ago in both eyes, docs couldn't figure it out. Slowly improved over a month or so, was cleared for meningitis. This was roughly 3 months after a bout of mono. No idea if these are connected, just a lot of similarities. 
Help.
</t>
        </is>
      </c>
      <c r="D196" t="n">
        <v>1</v>
      </c>
      <c r="E196" t="n">
        <v>2</v>
      </c>
      <c r="F196">
        <f>HYPERLINK("https://www.reddit.com/r/eyetriage/comments/b0qpgc/is_there_such_a_thing_as_a_nonstop_occular/")</f>
        <v/>
      </c>
      <c r="G196" t="inlineStr">
        <is>
          <t>2019-03-13 13:12:35</t>
        </is>
      </c>
      <c r="H196" t="inlineStr"/>
    </row>
    <row r="197">
      <c r="A197" t="inlineStr">
        <is>
          <t>b0sxec</t>
        </is>
      </c>
      <c r="B197" t="inlineStr">
        <is>
          <t>Contacts prescription</t>
        </is>
      </c>
      <c r="C197" t="inlineStr">
        <is>
          <t>Hi. Can I use the same prescription that I got for glasses to order contacts? I used to have them and I would get the same type as befoare (soft lenses to change monthly) but should I consult with my ophthalmologist first? Thanks.</t>
        </is>
      </c>
      <c r="D197" t="n">
        <v>1</v>
      </c>
      <c r="E197" t="n">
        <v>4</v>
      </c>
      <c r="F197">
        <f>HYPERLINK("https://www.reddit.com/r/eyetriage/comments/b0sxec/contacts_prescription/")</f>
        <v/>
      </c>
      <c r="G197" t="inlineStr">
        <is>
          <t>2019-03-13 16:20:02</t>
        </is>
      </c>
      <c r="H197" t="inlineStr"/>
    </row>
    <row r="198">
      <c r="A198" t="inlineStr">
        <is>
          <t>b0tegu</t>
        </is>
      </c>
      <c r="B198" t="inlineStr">
        <is>
          <t>Do corneal abrasions always have to hurt?</t>
        </is>
      </c>
      <c r="C198" t="inlineStr">
        <is>
          <t xml:space="preserve">Could they just be irritation from time to time along with other symptoms (what I'm experiencing) or do they usually cause pain? This would greatly help me out if I knew whether or not pain was a almost 100% symptom. </t>
        </is>
      </c>
      <c r="D198" t="n">
        <v>1</v>
      </c>
      <c r="E198" t="n">
        <v>5</v>
      </c>
      <c r="F198">
        <f>HYPERLINK("https://www.reddit.com/r/eyetriage/comments/b0tegu/do_corneal_abrasions_always_have_to_hurt/")</f>
        <v/>
      </c>
      <c r="G198" t="inlineStr">
        <is>
          <t>2019-03-13 17:03:25</t>
        </is>
      </c>
      <c r="H198" t="inlineStr"/>
    </row>
    <row r="199">
      <c r="A199" t="inlineStr">
        <is>
          <t>b13b12</t>
        </is>
      </c>
      <c r="B199" t="inlineStr">
        <is>
          <t>Dry eye induced halos?</t>
        </is>
      </c>
      <c r="C199" t="inlineStr">
        <is>
          <t>Does dry eye induce halos in night vision? How does it do this? Is it reversible?
I've been using eye drops and warm compresses aggressively with no change in the halos that appeared in my night vision.</t>
        </is>
      </c>
      <c r="D199" t="n">
        <v>2</v>
      </c>
      <c r="E199" t="n">
        <v>4</v>
      </c>
      <c r="F199">
        <f>HYPERLINK("https://www.reddit.com/r/eyetriage/comments/b13b12/dry_eye_induced_halos/")</f>
        <v/>
      </c>
      <c r="G199" t="inlineStr">
        <is>
          <t>2019-03-14 10:41:39</t>
        </is>
      </c>
      <c r="H199" t="inlineStr"/>
    </row>
    <row r="200">
      <c r="A200" t="inlineStr">
        <is>
          <t>b152ku</t>
        </is>
      </c>
      <c r="B200" t="inlineStr">
        <is>
          <t>Flashes and eye sensitivity</t>
        </is>
      </c>
      <c r="C200" t="inlineStr">
        <is>
          <t>Hello. 
&amp;amp;#x200B;
A few weeks ago I suddenly developed floaters in both my eyes. They are black dots and squiggly lines. I went to the optometrist and eye doctor and had eye exams with retinal scans. They said my eyes looked fine and that there is nothing wrong with them. I also had some mild eye pain and dry eyes accompany my eyes and headaches from time to time. The eye pain usually goes away when I go off work. I also had photosensitivity for a few days which however went away.
However today i suddenly had two episodes of flashes in my eyes. It only lasted a few seconds however this has made me question whether there might still be something wrong with my eyes although I went to the optometrist twice and to the eye doctor once. 
I will go to the doctor again tomorrow however I am worried it might be more serious conditions such as uveitis. Is there anything that can explain my symptoms? And what should I tell the doctor so he doesn't send me home again?</t>
        </is>
      </c>
      <c r="D200" t="n">
        <v>1</v>
      </c>
      <c r="E200" t="n">
        <v>2</v>
      </c>
      <c r="F200">
        <f>HYPERLINK("https://www.reddit.com/r/eyetriage/comments/b152ku/flashes_and_eye_sensitivity/")</f>
        <v/>
      </c>
      <c r="G200" t="inlineStr">
        <is>
          <t>2019-03-14 13:06:40</t>
        </is>
      </c>
      <c r="H200" t="inlineStr"/>
    </row>
    <row r="201">
      <c r="A201" t="inlineStr">
        <is>
          <t>b190dc</t>
        </is>
      </c>
      <c r="B201" t="inlineStr">
        <is>
          <t>Can all Uvetisis cases be diagnosed from a retina exam?</t>
        </is>
      </c>
      <c r="C201" t="inlineStr">
        <is>
          <t>24m. I believe I have symptoms consistent with uveitis (floaters in both eyes, some pain, decreased visual accuity) but my ophthalmologist says he doesn’t see anything wrong in my examination? Is it possible something is wrong with my eyes that he wouldn’t be able to see with in my dilated exam in which he’s using his probe and magnifier?</t>
        </is>
      </c>
      <c r="D201" t="n">
        <v>1</v>
      </c>
      <c r="E201" t="n">
        <v>8</v>
      </c>
      <c r="F201">
        <f>HYPERLINK("https://www.reddit.com/r/eyetriage/comments/b190dc/can_all_uvetisis_cases_be_diagnosed_from_a_retina/")</f>
        <v/>
      </c>
      <c r="G201" t="inlineStr">
        <is>
          <t>2019-03-14 18:57:27</t>
        </is>
      </c>
      <c r="H201" t="inlineStr"/>
    </row>
    <row r="202">
      <c r="A202" t="inlineStr">
        <is>
          <t>b1bvls</t>
        </is>
      </c>
      <c r="B202" t="inlineStr">
        <is>
          <t>Help please</t>
        </is>
      </c>
      <c r="C202" t="inlineStr">
        <is>
          <t>Hi everyone. 
Im gonna be operated today, a small surgery to the cornea left eye. They gonna put me some kind of “rings” on the eye they said. 
Now i have a question and like a dont have no one else to ask, i hope you guys can help me please. 
For you guys can be a stupid question, but for me is gonna be very helpfull. 
After the surgery can i smoke blunts/weed?
Will not that “hurt me”?
Sorry about my english.
Nice day for all.
Thanks.</t>
        </is>
      </c>
      <c r="D202" t="n">
        <v>1</v>
      </c>
      <c r="E202" t="n">
        <v>2</v>
      </c>
      <c r="F202">
        <f>HYPERLINK("https://www.reddit.com/r/eyetriage/comments/b1bvls/help_please/")</f>
        <v/>
      </c>
      <c r="G202" t="inlineStr">
        <is>
          <t>2019-03-15 00:27:09</t>
        </is>
      </c>
      <c r="H202" t="inlineStr"/>
    </row>
    <row r="203">
      <c r="A203" t="inlineStr">
        <is>
          <t>b1hnuc</t>
        </is>
      </c>
      <c r="B203" t="inlineStr">
        <is>
          <t>Eye strain or optic neuritis?</t>
        </is>
      </c>
      <c r="C203" t="inlineStr">
        <is>
          <t>I’m a 35 yo woman with no previous vision problems, except for one ocular migraine years ago. I don’t wear contacts or glasses. 
For the past 2 days I’ve experienced dull pain behind my right eye when I move it, especially more extreme movements. I haven’t experienced blurriness or loss of vision. The only time I’ve experienced something similar is when I’ve had a virus/fever and both eyes hurt to move. I recently had an upper respiratory virus. 
Is it odd to have eye strain like this in just one eye? I work with 2 computer monitors and frequently read text on paper, alternating between the two. I’m concerned that it could be optic neuritis and therefore signals MS. 
Any insight is appreciated!</t>
        </is>
      </c>
      <c r="D203" t="n">
        <v>1</v>
      </c>
      <c r="E203" t="n">
        <v>3</v>
      </c>
      <c r="F203">
        <f>HYPERLINK("https://www.reddit.com/r/eyetriage/comments/b1hnuc/eye_strain_or_optic_neuritis/")</f>
        <v/>
      </c>
      <c r="G203" t="inlineStr">
        <is>
          <t>2019-03-15 10:27:43</t>
        </is>
      </c>
      <c r="H203" t="inlineStr"/>
    </row>
    <row r="204">
      <c r="A204" t="inlineStr">
        <is>
          <t>b21inl</t>
        </is>
      </c>
      <c r="B204" t="inlineStr">
        <is>
          <t>Really red eyes, maybe uveitis</t>
        </is>
      </c>
      <c r="C204" t="inlineStr">
        <is>
          <t xml:space="preserve">Let's start off saying that I have an appointment with a Rheumatologist on Wednesday concerning possible spondylitis or RA.
Eye has been super red and strained for the past few days. It hasn't been bothering me but it has started to hurt and now I'm light sensitive. I was thinking of going to the ER but everything I've read online says against it.
Is there anything OTC I can try until I can try to get an appointment with an Ophthalmologist on Monday? Should I get an eye patch or try to tape my eye shut? lol
</t>
        </is>
      </c>
      <c r="D204" t="n">
        <v>1</v>
      </c>
      <c r="E204" t="n">
        <v>2</v>
      </c>
      <c r="F204">
        <f>HYPERLINK("https://www.reddit.com/r/eyetriage/comments/b21inl/really_red_eyes_maybe_uveitis/")</f>
        <v/>
      </c>
      <c r="G204" t="inlineStr">
        <is>
          <t>2019-03-16 21:31:16</t>
        </is>
      </c>
      <c r="H204" t="inlineStr"/>
    </row>
    <row r="205">
      <c r="A205" t="inlineStr">
        <is>
          <t>b23acj</t>
        </is>
      </c>
      <c r="B205" t="inlineStr">
        <is>
          <t>New double vision, cannot find cause</t>
        </is>
      </c>
      <c r="C205" t="inlineStr">
        <is>
          <t xml:space="preserve">I am a white 36 year old female with sudden onset of double vision in my right eye, vertigo and chronic headaches since November. These symptoms are permanent and have been debilitating. Other medical history is some GI problems, anxiety and depression and fatigue so bad I can hardly get out of bed some days. I have  I  have seen numerous specialists, have had a ton of test but none can tell me why this has happened. So far almost every test has been negative. Luckily, glasses allow me to function and drive. I now take topamax and relafen which have resolved the headaches. My eye doctor placed punctal plugs about a month ago which help with my new dry eye problem. 
I have been diagnosed with new migraines, dry eyes, refractive error, astigmatism, estropia (right side), vertigo. I have had 3 complete eye exams in the past 2 month with each test resulting in dramatically different prescription. My first prescription was +1.25 where as the second was +.5. The third was totally different! My eye doctor kept saying "this is odd..."
Does anyone have any idea what may be wrong or heard of anything like this?
&amp;amp;#x200B;
 </t>
        </is>
      </c>
      <c r="D205" t="n">
        <v>3</v>
      </c>
      <c r="E205" t="n">
        <v>3</v>
      </c>
      <c r="F205">
        <f>HYPERLINK("https://www.reddit.com/r/eyetriage/comments/b23acj/new_double_vision_cannot_find_cause/")</f>
        <v/>
      </c>
      <c r="G205" t="inlineStr">
        <is>
          <t>2019-03-17 01:54:07</t>
        </is>
      </c>
      <c r="H205" t="inlineStr"/>
    </row>
    <row r="206">
      <c r="A206" t="inlineStr">
        <is>
          <t>b27ucd</t>
        </is>
      </c>
      <c r="B206" t="inlineStr">
        <is>
          <t>Should I be concerned that my right eye is firmer to the touch compared to my left eye?</t>
        </is>
      </c>
      <c r="C206" t="inlineStr">
        <is>
          <t xml:space="preserve">Over the past year I noticed that it's a lot firmer than the left one. I get bi-annual eye checkups(because my mom has glaucoma) and my last one was in September.
Some background : I'm 27 and have thin corneas, and a thinner than normal optic nerve but the doctors haven't detected any damage with requires medical intervention for glaucoma yet. I have a lazy eye(the left one) so the right is dominant. I also have low eye pressure readings so my doctors aren't too concerned currently about the possibility of glaucoma. I get the tests done regularly and they're all in the normal range. </t>
        </is>
      </c>
      <c r="D206" t="n">
        <v>1</v>
      </c>
      <c r="E206" t="n">
        <v>3</v>
      </c>
      <c r="F206">
        <f>HYPERLINK("https://www.reddit.com/r/eyetriage/comments/b27ucd/should_i_be_concerned_that_my_right_eye_is_firmer/")</f>
        <v/>
      </c>
      <c r="G206" t="inlineStr">
        <is>
          <t>2019-03-17 10:53:40</t>
        </is>
      </c>
      <c r="H206" t="inlineStr"/>
    </row>
    <row r="207">
      <c r="A207" t="inlineStr">
        <is>
          <t>b2d4ig</t>
        </is>
      </c>
      <c r="B207" t="inlineStr">
        <is>
          <t>Double vision in one eye, excessive computer usage, how to fix?</t>
        </is>
      </c>
      <c r="C207" t="inlineStr">
        <is>
          <t>Hi everyone, I'm having double vision in one eye to the point now that it is affecting my ability to see things clearly (e.g. looking at a TV screen 20 feet away and only seeing double vision on the headline, rendering it difficult to read). When I close my right eye (eye that experiences double vision), and only look with my left, everything is clear as day. If I close the left and just use the right, I see words, but the words begin to double on top of each other to the point that it's not legible anymore. Historically, I've always had 20/20 vision, never had glasses, never contacts, etc. I'm \~30 years old.
My career causes me to use my computer for the standard 8 hours per day, but often time due to deadlines and multiple projects, I end up staring at a screen for easily 16 hours a day or even more.
I have woken up from sleep with one or both eyes in severe pain and involuntarily having tears form. I started doing eye exercises and they actually do seem to help, but it's only been 2 days of trying them so far. I usually get up to start working at 9 AM or so and usually get to bed at around 2-3 AM.
[https://www.medicalnewstoday.com/articles/170634.php](https://www.medicalnewstoday.com/articles/170634.php)
Sounds like it's monocular double vision.
Can these eye exercises and reducing my computer screen usage bring my right eye back to normal?
&amp;amp;#x200B;
Cross-posted in r/AskDocs</t>
        </is>
      </c>
      <c r="D207" t="n">
        <v>1</v>
      </c>
      <c r="E207" t="n">
        <v>10</v>
      </c>
      <c r="F207">
        <f>HYPERLINK("https://www.reddit.com/r/eyetriage/comments/b2d4ig/double_vision_in_one_eye_excessive_computer_usage/")</f>
        <v/>
      </c>
      <c r="G207" t="inlineStr">
        <is>
          <t>2019-03-17 19:13:07</t>
        </is>
      </c>
      <c r="H207" t="inlineStr"/>
    </row>
    <row r="208">
      <c r="A208" t="inlineStr">
        <is>
          <t>b2mfdb</t>
        </is>
      </c>
      <c r="B208" t="inlineStr">
        <is>
          <t>Diagnosed with papilledema by my optometrist. How bad is this?</t>
        </is>
      </c>
      <c r="C208" t="inlineStr">
        <is>
          <t>- 26yo, F. 
- 5'10.5" ~150#
- Nonsmoker
- PMH: Orthostatic hypotension/dysautonomia, BP2, depression/anxiety, IBS-C, h/o vitamin D deficiency.
- Current Meds: Lamotrigine 150mg (new as of ~6weeks ago), escitalopram 10mg, Linzess 72mcg, Kyleena IUD (~3 years old), Xanax PRN, miralax PRN., vitamin D 2000 IU, multivitamin, calcium/vitamin D supplement, acidophilus
I see my optometrist 1-2x yearly. I do like him and I feel like he gives thorough explanations of what's going on. I get a visual field test and OCT every time I see him. I am extremely nearsighted and my retinas are kind of stretched d/t this. I also once had an issue with severe allergies to the point my eyes were recognizing its own proteins as foreign and wound up with white congealed proteins sticking to my eyeballs and I had to take steroid drops (that's the way I remember it being explained). 
Lately my left eye has been a tiny bit blurrier than usual. He found that my ocular disc is swollen (papilledema) and more stretched than usual. He also said my vision is usually pretty symetrical but it's not so much right now. 
Then he asked me if I have been having headaches, neck stiffness, etc. I have had some neck stiffness for over a month now, and I have been cracking my back and neck A LOT more than usual. When I crack my neck I get a lot of pops out of it, and I do it very frequently during the day because I feel an urge to. If I cannot get a crack out of my neck when I have the urge I feel claustrophobic and go at it more aggressively. 
He said that increased spinal pressure can be a reason for the papilledema. I am going back in a week and he will check if it has changed at all. Should he have told me to go to the hospital or recommended me to an ophthamologist at this point or is it safe to wait?
(I also posted this on AskDocs before I knew this sun existed)</t>
        </is>
      </c>
      <c r="D208" t="n">
        <v>1</v>
      </c>
      <c r="E208" t="n">
        <v>3</v>
      </c>
      <c r="F208">
        <f>HYPERLINK("https://www.reddit.com/r/eyetriage/comments/b2mfdb/diagnosed_with_papilledema_by_my_optometrist_how/")</f>
        <v/>
      </c>
      <c r="G208" t="inlineStr">
        <is>
          <t>2019-03-18 11:46:42</t>
        </is>
      </c>
      <c r="H208" t="inlineStr"/>
    </row>
    <row r="209">
      <c r="A209" t="inlineStr">
        <is>
          <t>b2oyhb</t>
        </is>
      </c>
      <c r="B209" t="inlineStr">
        <is>
          <t>Chlamydia pink eye antibiotics question</t>
        </is>
      </c>
      <c r="C209" t="inlineStr">
        <is>
          <t xml:space="preserve">Hi, I was just diagnosed with Chlamydia and have one eye pink eye. I was prescribed azithromycin 1g orally.
Would this be enough to treat the Eye Chlamydia as well, or should I have eye drops as well?
Thank you in advance </t>
        </is>
      </c>
      <c r="D209" t="n">
        <v>1</v>
      </c>
      <c r="E209" t="n">
        <v>6</v>
      </c>
      <c r="F209">
        <f>HYPERLINK("https://www.reddit.com/r/eyetriage/comments/b2oyhb/chlamydia_pink_eye_antibiotics_question/")</f>
        <v/>
      </c>
      <c r="G209" t="inlineStr">
        <is>
          <t>2019-03-18 15:19:45</t>
        </is>
      </c>
      <c r="H209" t="inlineStr"/>
    </row>
    <row r="210">
      <c r="A210" t="inlineStr">
        <is>
          <t>b2pere</t>
        </is>
      </c>
      <c r="B210" t="inlineStr">
        <is>
          <t>27 y.o. male with congenital cataracts with questions.</t>
        </is>
      </c>
      <c r="C210" t="inlineStr">
        <is>
          <t>I was diagnosed at 15 with congenital cataracts by my optometrist. Over the years, I feel driving at night is getting significantly more stressful. Especially when its raining or with headlights. Today, I saw an ophthalmologist and before I knew it I was scheduled for surgery. The plan is to replace my cataract lens with a standard lens. This is what I wanted for a long time, but now that it's happening I am anxious. Given my young age, my understanding is I will need bi-focal lenses for reading and computer work correct? And I will be able to be fitted for a contact lens as well. There was just a lot of information to process in my appointment today and I was hoping to get more insight on what my life will be after this procedure. How likely is it my quality of life will improve from this? I am grateful for any insight on this matter. Thank you.</t>
        </is>
      </c>
      <c r="D210" t="n">
        <v>1</v>
      </c>
      <c r="E210" t="n">
        <v>2</v>
      </c>
      <c r="F210">
        <f>HYPERLINK("https://www.reddit.com/r/eyetriage/comments/b2pere/27_yo_male_with_congenital_cataracts_with/")</f>
        <v/>
      </c>
      <c r="G210" t="inlineStr">
        <is>
          <t>2019-03-18 15:58:54</t>
        </is>
      </c>
      <c r="H210" t="inlineStr"/>
    </row>
    <row r="211">
      <c r="A211" t="inlineStr">
        <is>
          <t>b2q5pb</t>
        </is>
      </c>
      <c r="B211" t="inlineStr">
        <is>
          <t>corneal transplant for scar over pupil?</t>
        </is>
      </c>
      <c r="C211" t="inlineStr">
        <is>
          <t xml:space="preserve">Hi all, I have an eye condition that I would say is rare because i have never met or heard of anyone else having a the same condition as me. I have a scar on my right eye that is directly over my pupil causing blurred vision. Essentially I am looking through a scar. I got the scar when I was 5 years old after I had a very serious eye infection. It hasn't really bothered me until the last few years. Now it drives me insane. So I wanted to know if a corneal transplant would help improve my vision. From my very limited understanding of the procedure, I would think that the scar would be removed? If a corneal transplant will not help, what else can I do? </t>
        </is>
      </c>
      <c r="D211" t="n">
        <v>1</v>
      </c>
      <c r="E211" t="n">
        <v>17</v>
      </c>
      <c r="F211">
        <f>HYPERLINK("https://www.reddit.com/r/eyetriage/comments/b2q5pb/corneal_transplant_for_scar_over_pupil/")</f>
        <v/>
      </c>
      <c r="G211" t="inlineStr">
        <is>
          <t>2019-03-18 17:05:01</t>
        </is>
      </c>
      <c r="H211" t="inlineStr"/>
    </row>
    <row r="212">
      <c r="A212" t="inlineStr">
        <is>
          <t>b2yryu</t>
        </is>
      </c>
      <c r="B212" t="inlineStr">
        <is>
          <t>Eye pain from circle lenses</t>
        </is>
      </c>
      <c r="C212" t="inlineStr">
        <is>
          <t>I often wear "circle lenses" (oversized bambi-looking dark lenses from korea) on nights out. I will often get a lot of pain the next day accompanied by intense redness and murkiness looking. I think they are scratching the backs of my eyelids. Is there anything i can do to still be able to wear them?</t>
        </is>
      </c>
      <c r="D212" t="n">
        <v>1</v>
      </c>
      <c r="E212" t="n">
        <v>4</v>
      </c>
      <c r="F212">
        <f>HYPERLINK("https://www.reddit.com/r/eyetriage/comments/b2yryu/eye_pain_from_circle_lenses/")</f>
        <v/>
      </c>
      <c r="G212" t="inlineStr">
        <is>
          <t>2019-03-19 08:28:14</t>
        </is>
      </c>
      <c r="H212" t="inlineStr"/>
    </row>
    <row r="213">
      <c r="A213" t="inlineStr">
        <is>
          <t>b349rc</t>
        </is>
      </c>
      <c r="B213" t="inlineStr">
        <is>
          <t>Optometrist said i'm fine, still seeing floaters and (i think?) flashes</t>
        </is>
      </c>
      <c r="C213" t="inlineStr">
        <is>
          <t>* Age - 22
* Duration of complaint - About a week
* Location - Both eyes
* Any existing relevant medical issues (if any) - generalized anxiety disorder, high myopia (-7.0), tinnitus
* Current medications (if any) - none
* Include a photo if relevant (skin condition for example) - Here is an image of my retina: [https://imgur.com/a/r26QIsb](https://imgur.com/a/r26QIsb)
So at first I noticed I was seeing floaters, but I think I've had those for a while. But recently, about 5 days ago, I've noticed I've been seeing occasional flashes (I think?) . Heres the thing: I feel like I see it more when theres a lot of light in a room compared to when there's no light in a room. I try standing in the bathroom with the lights off(which has no windows and leave my eyes open and I cannot really notice (what I think are flashes) it too much.
So, worrying, I go to the ER (3 days ago). They tell me I'm fine since I'm not seeing any black veils or curtains in my vision and that I should see an ophthalmologist, and they send me home. Currently, I still do not see any loss of peripheral vision or have the "black curtain effect."
Yesterday, I saw an optometrist since I had already booked the appointment earlier and figured that would be better than waiting for an ophthalmologist in the mean time. I get pictures of my retina taken and have a dilated eye exam. The optometrist says there is no retinal detachment, after looking at the retinal pictures as well as doing a physical eye exam (using a bright light and using another lens to look at my dilated eyes) and doesn't refer me to any ophthalmologist. I'm assuming this means they think I'm fine but I'm still worried since I still see floaters and occasional flashes.
Attached is the picture of my retina in one of my eyes. My other eye looks pretty much the same. I noticed a sort of white-oval near my (fovea?), in the middle near the darker circle in the middle of the picture. I don't think the optometrist could have missed that, but I keep looking at it thinking it's something serious that they didn't mention.
I realize that I'm at a higher risk for retinal detachment, but after seeing the optometrist and saying them saying I'm fine, I'm still worried since I still see floaters and maybe flashes. My eyes also seem to be very sensitive to light today. Is this just my anxiety or should I get another opinion? This has been starting to affect my daily life because this is all I think about and I do not want to lose my vision.
TLDR; Went to the optometrist for floaters (and what I think are flashes), after a dilated eye exam, they say I am fine. I am still worried since I still see floaters and (I think?) flashes. No change in peripheral vision or any black curtain. Is this just my anxiety or should I get another eye exam (if so, how urgent do you think this is?)
Thank you.</t>
        </is>
      </c>
      <c r="D213" t="n">
        <v>3</v>
      </c>
      <c r="E213" t="n">
        <v>7</v>
      </c>
      <c r="F213">
        <f>HYPERLINK("https://www.reddit.com/r/eyetriage/comments/b349rc/optometrist_said_im_fine_still_seeing_floaters/")</f>
        <v/>
      </c>
      <c r="G213" t="inlineStr">
        <is>
          <t>2019-03-19 16:01:11</t>
        </is>
      </c>
      <c r="H213" t="inlineStr"/>
    </row>
    <row r="214">
      <c r="A214" t="inlineStr">
        <is>
          <t>b375m4</t>
        </is>
      </c>
      <c r="B214" t="inlineStr">
        <is>
          <t>Chronic eye inflammation issue. Haven't gotten the answers I've needed from several doctors</t>
        </is>
      </c>
      <c r="C214" t="inlineStr">
        <is>
          <t xml:space="preserve"> 
A couple years ago my eyes started itching like crazy. I thought I  developed allergies, but it was during the winter. It just wouldn't go  away no matter what I did or if I used allergy medicine or drops. So I  finally saw an opthamologist. He diagnosed me with conjunctivitis. My  lower and upper eyelids were incredibly inflamed underneath the  eyelids(need to pull them back to see it, they're almost always beet red  and are super itchy and ooze. It affects my sleep and my vision.  I was  given steroid drops to take care of it. I used them for a couple weeks  and tapered off. It went away. Then a week or so later it came back. And  this has basically been going on since. The drops get it down to about  90% cleared up, but the inflammation won't fully go away. We've tried  the weakest of drops to the strongest. He doesn't want to keep me on  them long because of complications that can develop.  
I've  tried probably upwards of 20 different eye drops, ointments, etc from  allergy to steroid, to antibiotic over the years. I've seen multiple eye  doctors(some top rated at highly regarded hospitals). Everything I've  been prescribed doesn't work.
I  have Crohn's Disease and chronic eczema. So both I and my doctors have  wondered if I have some sort of other inflammatory issue that is now  affecting my eyes. However, my doctors all think it's some type of  allergy irritating my eyes. They all say these type of symptoms almost  always indicate allergies. I've seen an allergist. I did the skin prick  test and consulted with him. He didn't think my issues were allergy  related, he thinks it's inflammatory. So I saw a rheumatologist.   
The  rheumatologist doesn't think it's inflammatory or related to my eczema  or Crohn's. Usually Crohn's people have internal eye inflammation. Mine  is underneath the eyelids, not the actual eyeball, though I did have  some on the outside of the eyeball. I consulted with my gastro doctor.  He agreed, this is not related to my Crohn's.  
I've  tried air purifiers, new detergents, stay away from thinks that I'm  allergic to. Nothing has worked. The inflammation just won't go away,  and the only thing that works is steroid drops, but my doctors don't  want me to stay on them because of glaucoma and cataracts risk.
So  I just don't know what is causing it. All my doctors are stumped. The  rheumatolgist and gastro doctor don't think it's inflammatory because  people like me typically get internal inflammation of the eye and I  don't have that. The allergist thought it was not allergy related, but I  only got a skin prick test for basic allergens. All the eye doctors  I've seen said they can't rule out some rare systemic inflammatory  related issue, but they said in all their years practicing, my eyes  share common symptoms with people who suffer allergies.
My  eyes itch all the time. So so badly. Artificial tears only give a short  period of relief. All I'm left to do is go see more doctors, I guess.  Figured I'd ask if anyone had any advice.
&amp;amp;#x200B;
I'm male, in my mid 30's, and I don't use any products or anything on my face. I take Humira for Crohn's FWIW.
Thanks</t>
        </is>
      </c>
      <c r="D214" t="n">
        <v>2</v>
      </c>
      <c r="E214" t="n">
        <v>18</v>
      </c>
      <c r="F214">
        <f>HYPERLINK("https://www.reddit.com/r/eyetriage/comments/b375m4/chronic_eye_inflammation_issue_havent_gotten_the/")</f>
        <v/>
      </c>
      <c r="G214" t="inlineStr">
        <is>
          <t>2019-03-19 20:39:44</t>
        </is>
      </c>
      <c r="H214" t="inlineStr"/>
    </row>
    <row r="215">
      <c r="A215" t="inlineStr">
        <is>
          <t>b3bupm</t>
        </is>
      </c>
      <c r="B215" t="inlineStr">
        <is>
          <t>I got desonide, a topical steroid, in my eye. what do I do now</t>
        </is>
      </c>
      <c r="C215" t="inlineStr">
        <is>
          <t xml:space="preserve">I accidentally opened my eye while applying it to my eczema, and some got inside. I had mixed the desonide with cetaphil cream beforehand. I also had contacts in. I have already flushed my eye with water, and I think my contact came out. what should I do now </t>
        </is>
      </c>
      <c r="D215" t="n">
        <v>1</v>
      </c>
      <c r="E215" t="n">
        <v>3</v>
      </c>
      <c r="F215">
        <f>HYPERLINK("https://www.reddit.com/r/eyetriage/comments/b3bupm/i_got_desonide_a_topical_steroid_in_my_eye_what/")</f>
        <v/>
      </c>
      <c r="G215" t="inlineStr">
        <is>
          <t>2019-03-20 06:13:05</t>
        </is>
      </c>
      <c r="H215" t="inlineStr"/>
    </row>
    <row r="216">
      <c r="A216" t="inlineStr">
        <is>
          <t>b3c40p</t>
        </is>
      </c>
      <c r="B216" t="inlineStr">
        <is>
          <t>Seeing black spots in the eye for 30 mins</t>
        </is>
      </c>
      <c r="C216" t="inlineStr">
        <is>
          <t xml:space="preserve"> 
Hi, I am a 23 year old man. Over the last couple of years I had this happen to me for 6-7 times.
I see black spots that move in my eyes and also black spots that are shaped like a boomerang for like 30 mins. Then they go away. I went to the eye doctor 3-4 months ago and told her that and she figured out I had a problem in my eye (astigmatism) and said that the black spots could be because of that.
I hadnt see black spots since, until today. So I wore my glasses in case they would make them go away but they didnt.
It lasted for about 40 mins again until it went away.
Does anyone know what's up? It only happened to me about 6-7 times in maybe 30 months but it doesnt happen every 5 months for example. It may happen today and then 2 days from now and then dont happen again for like 10 months.</t>
        </is>
      </c>
      <c r="D216" t="n">
        <v>1</v>
      </c>
      <c r="E216" t="n">
        <v>1</v>
      </c>
      <c r="F216">
        <f>HYPERLINK("https://www.reddit.com/r/eyetriage/comments/b3c40p/seeing_black_spots_in_the_eye_for_30_mins/")</f>
        <v/>
      </c>
      <c r="G216" t="inlineStr">
        <is>
          <t>2019-03-20 06:37:23</t>
        </is>
      </c>
      <c r="H216" t="inlineStr"/>
    </row>
    <row r="217">
      <c r="A217" t="inlineStr">
        <is>
          <t>b3mmh3</t>
        </is>
      </c>
      <c r="B217" t="inlineStr">
        <is>
          <t>Astigmatism in only one eye bad?</t>
        </is>
      </c>
      <c r="C217" t="inlineStr">
        <is>
          <t>So most of my life I've been told I have 20-20 vision and never really had problems seeing but never enjoyed reading. I'm 31 now and got glasses about a year or year and a half ago because I started getting headaches occasionally and eye strain and pain. I could tell text was starting to look weird, and decided one day at work to just close one eye vs another and saw that things looked a bit fuzzy in the right eye. I couldn't explain it (and my background involves studying optics).
So I took one of those online eye exams and was fine for everything except astigmatism. But predominantly in the right eye. The left eye seems fine.
I went to the optometrist and he gave me the same info.
This didn't worry me too much because I knew that astigmatism could be corrected and so my headaches could at least reduce and I could feel a bit better at work.
The main question I was wondering was why it was only on one eye, and if that was bad? I have rubbed my eye before to clear eyelashes and whatnot and thought maybe that might have done it. I also wondered if it was due to blood pressure or high blood pressure, and in which case again, why just one eye?
Would this affect my depth perception and should I go from reading glasses to all-day glasses for driving and other activities?</t>
        </is>
      </c>
      <c r="D217" t="n">
        <v>2</v>
      </c>
      <c r="E217" t="n">
        <v>3</v>
      </c>
      <c r="F217">
        <f>HYPERLINK("https://www.reddit.com/r/eyetriage/comments/b3mmh3/astigmatism_in_only_one_eye_bad/")</f>
        <v/>
      </c>
      <c r="G217" t="inlineStr">
        <is>
          <t>2019-03-20 22:13:19</t>
        </is>
      </c>
      <c r="H217" t="inlineStr"/>
    </row>
    <row r="218">
      <c r="A218" t="inlineStr">
        <is>
          <t>b3n1p1</t>
        </is>
      </c>
      <c r="B218" t="inlineStr">
        <is>
          <t>Conjunctivitis(I Think)</t>
        </is>
      </c>
      <c r="C218" t="inlineStr">
        <is>
          <t>A few days ago I woke up with a red itchy eye in my right eye. I thought nothing of it, maybe just irritation from rubbing too hard. As the week went on the redness spread from my right eye to both of my eyes and now my lower half of my face appears to be swollen. I'm not too worried about the red eyes as I use eye drops for it but I'm quite concerned about the swelling being permanent? I heard your lymph nodes become swollen if you have an infection in your body and that the swelling doesn't subside.. Any tips please?</t>
        </is>
      </c>
      <c r="D218" t="n">
        <v>2</v>
      </c>
      <c r="E218" t="n">
        <v>3</v>
      </c>
      <c r="F218">
        <f>HYPERLINK("https://www.reddit.com/r/eyetriage/comments/b3n1p1/conjunctivitisi_think/")</f>
        <v/>
      </c>
      <c r="G218" t="inlineStr">
        <is>
          <t>2019-03-20 23:07:52</t>
        </is>
      </c>
      <c r="H218" t="inlineStr"/>
    </row>
    <row r="219">
      <c r="A219" t="inlineStr">
        <is>
          <t>b3oyhg</t>
        </is>
      </c>
      <c r="B219" t="inlineStr">
        <is>
          <t>Is it normal to fail a visual field test?</t>
        </is>
      </c>
      <c r="C219" t="inlineStr">
        <is>
          <t xml:space="preserve">I went to the opticians a while back for a visual field test / peripheral vision test because I had migraines, I failed it I think 4 times because my eyes wouldn’t keep still. 
Is this usual?
The reason I ask is because over the last year or so I have been having neurological testing for potentially ocular myasthenia gravis, I’m wondering if the “eyes not keeping still” could be related to possible nerve damage or myasthenia gravis? 
Thank you in advance. </t>
        </is>
      </c>
      <c r="D219" t="n">
        <v>1</v>
      </c>
      <c r="E219" t="n">
        <v>4</v>
      </c>
      <c r="F219">
        <f>HYPERLINK("https://www.reddit.com/r/eyetriage/comments/b3oyhg/is_it_normal_to_fail_a_visual_field_test/")</f>
        <v/>
      </c>
      <c r="G219" t="inlineStr">
        <is>
          <t>2019-03-21 03:36:03</t>
        </is>
      </c>
      <c r="H219" t="inlineStr"/>
    </row>
    <row r="220">
      <c r="A220" t="inlineStr">
        <is>
          <t>b3utz4</t>
        </is>
      </c>
      <c r="B220" t="inlineStr">
        <is>
          <t>Does anyone here have experience with Pinguecula removal?</t>
        </is>
      </c>
      <c r="C220" t="inlineStr">
        <is>
          <t>The Pinguecula in my eye gets worse every year, and my allergies cause it to get inflamed and irritated on a weekly basis. I have gone to an optometrist annually to record how much worse it gets, but it’s still apparently a ‘cosmetic issue’ and the surgery is not covered by insurance. I’m going to make an ophthalmologist appointment to see what can be done. Has anyone had this surgery done? I don’t know what to expect, and I also don’t know how to get it covered by insurance without waiting until it starts to cover my pupil.. (it’s only just touching the iris). I would appreciate any advice. I can post a picture if necessary.</t>
        </is>
      </c>
      <c r="D220" t="n">
        <v>2</v>
      </c>
      <c r="E220" t="n">
        <v>4</v>
      </c>
      <c r="F220">
        <f>HYPERLINK("https://www.reddit.com/r/eyetriage/comments/b3utz4/does_anyone_here_have_experience_with_pinguecula/")</f>
        <v/>
      </c>
      <c r="G220" t="inlineStr">
        <is>
          <t>2019-03-21 12:27:48</t>
        </is>
      </c>
      <c r="H220" t="inlineStr"/>
    </row>
    <row r="221">
      <c r="A221" t="inlineStr">
        <is>
          <t>b3xylq</t>
        </is>
      </c>
      <c r="B221" t="inlineStr">
        <is>
          <t>Enduring eye pain and discomfort after changing glasses</t>
        </is>
      </c>
      <c r="C221" t="inlineStr">
        <is>
          <t>Hello, I'll try to make this as short as possible but it's a bit of a long story.
Around January 20, 2019, I accidentally sat on my glasses and one of the arms went loose. When I put them back on, I immediately got a headache, but I didn't see any change in my vision. The next day I went to an optician who fixed the loose arm - but I still had a headache. I know I'm quite sensitive to eye stuff so even if my vision seemed fine something was wrong.
I went back the next day to an optician who tightened the glasses a little (enough so I perceived a slight change in perception) and told me to do a checkup with an ophthalmologist just in case. I went the next day and he said everything seemed fine - he gave me a new prescription but said the difference with my current prescription was minimal (slightly more astigmatism in the right eye).
I still had discomfort and pain so I decided to just go and get completely new glasses to start over, with the new prescription. I got them in mid-February but after a week my vision hadn't adapted (fish eye effect, can't focus) so I went back to the place where I got my glasses made. The lady there did a quick check on my vision and told me it seemed my sight was more like my PREVIOUS prescription, and that the prescription the ophthalmologist gave might have been a little skewed because of eye fatigue or other factors. So finally, she put back the old prescription in the new frames.
It has now been three weeks and I still have pain and discomfort. I could describe it as a dull ache that is usually around and in the right eye, but occasionnally with the left one. I also feel numbness from it that spreads to my whole cheeks. In terms of sight I feel like I don't see clear but it's hard to define how. It's like I can't make the focus, especially with faster eye movements, and it makes me dizzy. Screens seem to worsen it a bit.
I must add that I have been going through a depressive episode, and I know headaches are part of the symptoms, however I never had ocular headaches like these in past such episodes + it would be too much of a coincidence with the whole broken glasses thing.
What should I do now?</t>
        </is>
      </c>
      <c r="D221" t="n">
        <v>1</v>
      </c>
      <c r="E221" t="n">
        <v>0</v>
      </c>
      <c r="F221">
        <f>HYPERLINK("https://www.reddit.com/r/eyetriage/comments/b3xylq/enduring_eye_pain_and_discomfort_after_changing/")</f>
        <v/>
      </c>
      <c r="G221" t="inlineStr">
        <is>
          <t>2019-03-21 16:57:54</t>
        </is>
      </c>
      <c r="H221" t="inlineStr"/>
    </row>
    <row r="222">
      <c r="A222" t="inlineStr">
        <is>
          <t>b3yd6f</t>
        </is>
      </c>
      <c r="B222" t="inlineStr">
        <is>
          <t>Optic Neuritis</t>
        </is>
      </c>
      <c r="C222" t="inlineStr">
        <is>
          <t>I was diagnosed (by 2 ophthalmologists at different offices) with ON about a year and a half ago but I had no pain associated with it. I had a blind spot, a blurry spot, and a dark line horizontally through my vision along with flashes of light. 
Recently, in the same eye, I’ve been experiencing flashes of light as well as some mild, intermittent pain behind and around my eye sometimes with movement, but no change in my vision (the line through my vision has gotten better but never went away completely).
My question is, is this pain consistent with ON pain? (I saw some previous answers stating ON doesn’t hurt but my ophthalmologists and all the MS literature I’ve read said pain is one of the most common symptoms and vision loss is not always significant, my vision loss was barely noticeable).
I had extensive blood work, 2 brain MRIs, and a spine MRI which all came back negative.
I’m a stay at home mom so I am rarely on a computer.</t>
        </is>
      </c>
      <c r="D222" t="n">
        <v>1</v>
      </c>
      <c r="E222" t="n">
        <v>0</v>
      </c>
      <c r="F222">
        <f>HYPERLINK("https://www.reddit.com/r/eyetriage/comments/b3yd6f/optic_neuritis/")</f>
        <v/>
      </c>
      <c r="G222" t="inlineStr">
        <is>
          <t>2019-03-21 17:34:26</t>
        </is>
      </c>
      <c r="H222" t="inlineStr"/>
    </row>
    <row r="223">
      <c r="A223" t="inlineStr">
        <is>
          <t>b40xca</t>
        </is>
      </c>
      <c r="B223" t="inlineStr">
        <is>
          <t>Can you damage your eyes by accidentally flashing them with a flashlight with glasses on?</t>
        </is>
      </c>
      <c r="C223" t="inlineStr">
        <is>
          <t xml:space="preserve">I've done this on accident before while looking at bright lights without glasses, which results in a light burned into my eyes for a little bit and then it fades away... but this is my first time doing that with glasses, and it left a bunch of distorted, wavy lights and lines flashed into my eyes for a little bit. It faded away within a few minutes, but that was scary as hell.
Can't find anything about it online, are my eyes alright? </t>
        </is>
      </c>
      <c r="D223" t="n">
        <v>1</v>
      </c>
      <c r="E223" t="n">
        <v>5</v>
      </c>
      <c r="F223">
        <f>HYPERLINK("https://www.reddit.com/r/eyetriage/comments/b40xca/can_you_damage_your_eyes_by_accidentally_flashing/")</f>
        <v/>
      </c>
      <c r="G223" t="inlineStr">
        <is>
          <t>2019-03-21 22:02:25</t>
        </is>
      </c>
      <c r="H223" t="inlineStr"/>
    </row>
    <row r="224">
      <c r="A224" t="inlineStr">
        <is>
          <t>b47w4m</t>
        </is>
      </c>
      <c r="B224" t="inlineStr">
        <is>
          <t>What causes red, achy eyes?</t>
        </is>
      </c>
      <c r="C224" t="inlineStr">
        <is>
          <t>I've been sick with some kind of cold/flu virus or infection or something for 4 weeks... fever, sore throat, chills, body aches, extreme fatigue, and some on and off head congestion. The past two weeks I've had what LOOKS like pink eye with yellow/green goop, especially in mornings but also throughout the day. I was put on a 10 day round of amox pills for bacterial sinusitis as the dr thought it was so backed up all the stuff was stuck in there... first I got better but then bad again but I'm probably resistant to amoxicillin at this point. :S I have chronic sinusitis with frequent confirmed bacterial infection. It's a structural issue I was born with and in Canada, they don't do anything about it.
I was also given tobramycin drops for my eyes for 5 days. I threw out my old makeup, washed everything thoroughly at home and work, cleaned my phone, got a new toothbrush, everything I could think may be holding bacteria. Initially they cleared up and went from blood red to yellow to white. 
Two days later, my right eye is reddish pink again with very inflamed inner corner and streaking. Both my eyes are aching deeply but especially that right one. What causes pink eye symptoms WITH aching??! It's not eye strain feeling but feels like my actual eyeball aches. Is it probably just sinusitis? Can that make your eyes look super red and goopy? My uneducated theory is they are so backed up it's coming out my eyes lol. 
Disclaimers:
1) I'm going to see an eye doctor in June when my benefits renew
2) I've already seen my GP and she says meh, it's probably a new allergy</t>
        </is>
      </c>
      <c r="D224" t="n">
        <v>1</v>
      </c>
      <c r="E224" t="n">
        <v>1</v>
      </c>
      <c r="F224">
        <f>HYPERLINK("https://www.reddit.com/r/eyetriage/comments/b47w4m/what_causes_red_achy_eyes/")</f>
        <v/>
      </c>
      <c r="G224" t="inlineStr">
        <is>
          <t>2019-03-22 10:32:49</t>
        </is>
      </c>
      <c r="H224" t="inlineStr"/>
    </row>
    <row r="225">
      <c r="A225" t="inlineStr">
        <is>
          <t>b48chj</t>
        </is>
      </c>
      <c r="B225" t="inlineStr">
        <is>
          <t>23F Strong Pressure Behind Eyes</t>
        </is>
      </c>
      <c r="C225" t="inlineStr">
        <is>
          <t xml:space="preserve">4/7 days a week, I feel like my eyeballs are going to pop. My entire head feels heavy and puffy. I have to close all the lights and sit still in total silence or else the pressure gets stronger and my head starts hurting. 
I drink some water and apply a warm towel to both eyes and around my face. 15 minutes usually does the trick and I can feel the pressure subsiding. But it slowly creeps back through the day and is 10x worse when I look at any screen. 
I had a severe case of conjunctivitus 6 months ago which worsened my vision in one eye. My eyes are consistently red and dry so my optometrist prescribed some drops. If my eyes get too tired (i.e 2 hrs at the art studio) I see halos everywhere and what looks like doubles. Kinda the feeling/vision you get when you slightly cross your eyes. 
Once my eyes get this way, the only way to fix it is silence, pure darkness and sleep. 
My doctors are VERY dismissive of any of my symptoms. I've been living like this for the last 6 months. Any ideas on what to do next?? </t>
        </is>
      </c>
      <c r="D225" t="n">
        <v>2</v>
      </c>
      <c r="E225" t="n">
        <v>19</v>
      </c>
      <c r="F225">
        <f>HYPERLINK("https://www.reddit.com/r/eyetriage/comments/b48chj/23f_strong_pressure_behind_eyes/")</f>
        <v/>
      </c>
      <c r="G225" t="inlineStr">
        <is>
          <t>2019-03-22 11:09:34</t>
        </is>
      </c>
      <c r="H225" t="inlineStr"/>
    </row>
    <row r="226">
      <c r="A226" t="inlineStr">
        <is>
          <t>b4ek39</t>
        </is>
      </c>
      <c r="B226" t="inlineStr">
        <is>
          <t>32 M Monocular Double Vision almost constantly</t>
        </is>
      </c>
      <c r="C226" t="inlineStr">
        <is>
          <t xml:space="preserve">Hello,
Some info about me: 
Age: 32
Gender: Male
Body: 5'10 240lbs
Work conditions: I spend a lot of time in front of computers, 6 hours at work and a few hours at home (video games)
Medical conditions: GERD , slight astigmatism, 20/20 vision. Minor size difference in pupils (had this forever)
Switched from ciggs to Juul about 4 months ago, I use Juul fairly often but hope to be wheening off over the next month.
Story on symptoms:
I quit cannabis after 10+ years of daily fairly heavy use (after work only and on weekends), after about 1 week sober i noticed my first floater in my left eye and had some irritation. Saw an optometrist to check it out, was cleared of anything serious and prescribed Olopatadine for the irritation (twice daily for a week, once daily thereafter). I began using the drops and the irritation improved.
At about 3-4 weeks sober (week and half of eye drops)  I started noticing light blurring of my vision mostly at night time, lights had a small glare and just felt off. I chalked it up to cannabis withdrawal and my body just resetting. I then began noticing slight monocular vision in both eyes, see it with either eye closed and sometime when both eyes open. I scheduled an appointment with an Opthalmologist for a second opinion, he did a full dilation exam, slit lamp, poked my eye lid to look at every angle and cleared me of any retinal issues and diagnosed me with Blepharitis, gave me a treatment plan: warm compresses, washing eyelids, fish oil, OTC sustane ultra drops etc ..  I have been doing all of that for week and my double vision is honestly not improving and seems to be getting worse. It not totally constant, usually good in the morning and worse at night. Had a full day where I barely noticed it. But it's starting to scare me. I have had perfect vision my entire life.
Can Blepharitis cause blurry and double vision more or less constantly?
 I understand that it can sometimes chronic and for life, I'm just hoping that  I can manage it with treatment. 
Could my extended cannabis use have contributed? I'm on day 38 sober now, I'm still testing positive for thc in my urine but it's getting lighter on the strip. So do I just need to wait until my body, eyes, etc.. gets used to being sober? 
Any advise, help or ideas is appreciated. 
Thanks 
</t>
        </is>
      </c>
      <c r="D226" t="n">
        <v>1</v>
      </c>
      <c r="E226" t="n">
        <v>2</v>
      </c>
      <c r="F226">
        <f>HYPERLINK("https://www.reddit.com/r/eyetriage/comments/b4ek39/32_m_monocular_double_vision_almost_constantly/")</f>
        <v/>
      </c>
      <c r="G226" t="inlineStr">
        <is>
          <t>2019-03-22 20:48:22</t>
        </is>
      </c>
      <c r="H226" t="inlineStr"/>
    </row>
    <row r="227">
      <c r="A227" t="inlineStr">
        <is>
          <t>b4u21n</t>
        </is>
      </c>
      <c r="B227" t="inlineStr">
        <is>
          <t>I think I’ve tried everything</t>
        </is>
      </c>
      <c r="C227" t="inlineStr">
        <is>
          <t>I think I’ve tried everything as it relates to solving computer vision syndrome (eye fatigue and bluriness) from being on the computer too many hours a day. 
- prescription eye drops
- over the counter eye drops
- computer glasses 
- adding prism to my glasses 
- no prism glasses 
It’s late, I’m sure I’m forgetting something..Is there anything I’m overlooking for this problem that is kinda debilitating for someone who works on a computer all day and then conducts a lot of research online in the evenings.
Thanks for your help.</t>
        </is>
      </c>
      <c r="D227" t="n">
        <v>4</v>
      </c>
      <c r="E227" t="n">
        <v>18</v>
      </c>
      <c r="F227">
        <f>HYPERLINK("https://www.reddit.com/r/eyetriage/comments/b4u21n/i_think_ive_tried_everything/")</f>
        <v/>
      </c>
      <c r="G227" t="inlineStr">
        <is>
          <t>2019-03-24 01:19:32</t>
        </is>
      </c>
      <c r="H227" t="inlineStr"/>
    </row>
    <row r="228">
      <c r="A228" t="inlineStr">
        <is>
          <t>b4yswn</t>
        </is>
      </c>
      <c r="B228" t="inlineStr">
        <is>
          <t>What doctor next?</t>
        </is>
      </c>
      <c r="C228" t="inlineStr">
        <is>
          <t xml:space="preserve">First. My ophthalmologist is amazing. He is at a loss at this point. I have seen him for ten years. He has talked to a vision therapist and she said she couldn’t help. 
Question: Neurologist or some other doctor?
—History: perfect left eye. Strabismus and amploybia in right. legally blind in right eye. Double Vision which appeared months after second surgery. Used 1.00 reading glasses constantly for two years to keep the alignment straight. 
—Now amploybic eye  ( right) 20/70 crisp and clear. Distortion. This eyes image is on top of the good eyes image. Still all double but wherever it is pointed it shows my good eye and my good eye focuses on it. 
—Left eye. Pain when looking up and to the left. Strain. “Gives out”when the right eye takes over, focuses on overlapping image. Things move in peripheral vision. Flashes. 22 floaters. Spasms. Have videos of the spasms. Constant visual vibration. Small astigmatism in this eye only. Eye pressure is fine. Slight swelling of optic nerve once. Pain in this eye during patching of bad eye. Optic migraine in October 2017.
—Tried patching, prisms, glasses, anxiety meds, therapy, neck massages, chiropractor, antibiotics for congestion. Mri clear. Eye scan of good eye is fine. Currently working on posture, and relaxation.  
Doc says brain/eye is currently evolving. Which is not normal. Talked to him Friday evening, the current prism worked for three weeks then just stopped working. I am supposed to give it a few more days to see if it goes back. After that, if it doesn’t, nothing else can be done.
Od right 0.5  cyl 0 axis 0
Os left.  .25. cyl .5 axis 146
I have two more months before I have to quit my job. Not being able to drive, or walk without a chaperone are problems. My employers have been more than kind during this. Since I am not legally blind, I wouldn’t be able to get disability or anything. Where do I go now? 
Sorry for any errors.
</t>
        </is>
      </c>
      <c r="D228" t="n">
        <v>2</v>
      </c>
      <c r="E228" t="n">
        <v>0</v>
      </c>
      <c r="F228">
        <f>HYPERLINK("https://www.reddit.com/r/eyetriage/comments/b4yswn/what_doctor_next/")</f>
        <v/>
      </c>
      <c r="G228" t="inlineStr">
        <is>
          <t>2019-03-24 10:18:19</t>
        </is>
      </c>
      <c r="H228" t="inlineStr"/>
    </row>
    <row r="229">
      <c r="A229" t="inlineStr">
        <is>
          <t>b524n0</t>
        </is>
      </c>
      <c r="B229" t="inlineStr">
        <is>
          <t>Eye redness on right eye only underneath eyelid</t>
        </is>
      </c>
      <c r="C229" t="inlineStr">
        <is>
          <t>My right eye has a lot of redness focused only underneath my eyelid, not around actual iris. I feel like I have tried everything. It has been nearly 2 months, so I don't think it's viral. I saw a nurse practitioner who prescribed erythromycin ointment, applied 2-3xdaily, with no relief. I have tried artificial tears, ketotifen eye drops, warm compresses, and I take claritin every day. It usually doesn't cause me any discomfort and there is no itching. Any ideas?</t>
        </is>
      </c>
      <c r="D229" t="n">
        <v>2</v>
      </c>
      <c r="E229" t="n">
        <v>0</v>
      </c>
      <c r="F229">
        <f>HYPERLINK("https://www.reddit.com/r/eyetriage/comments/b524n0/eye_redness_on_right_eye_only_underneath_eyelid/")</f>
        <v/>
      </c>
      <c r="G229" t="inlineStr">
        <is>
          <t>2019-03-24 14:55:32</t>
        </is>
      </c>
      <c r="H229" t="inlineStr"/>
    </row>
    <row r="230">
      <c r="A230" t="inlineStr">
        <is>
          <t>b54x8p</t>
        </is>
      </c>
      <c r="B230" t="inlineStr">
        <is>
          <t>Phototoxicity</t>
        </is>
      </c>
      <c r="C230" t="inlineStr">
        <is>
          <t>If you’re replacing an incandescence light bulb and it comes on right in your face resulting in you unavoidably looking at it for a second or two is there any light (visible, infrared, UV) that will permanently damage the eyes in any way in that short length of time through either phototoxicity or thermal damage?</t>
        </is>
      </c>
      <c r="D230" t="n">
        <v>1</v>
      </c>
      <c r="E230" t="n">
        <v>4</v>
      </c>
      <c r="F230">
        <f>HYPERLINK("https://www.reddit.com/r/eyetriage/comments/b54x8p/phototoxicity/")</f>
        <v/>
      </c>
      <c r="G230" t="inlineStr">
        <is>
          <t>2019-03-24 19:20:13</t>
        </is>
      </c>
      <c r="H230" t="inlineStr"/>
    </row>
    <row r="231">
      <c r="A231" t="inlineStr">
        <is>
          <t>b55t3w</t>
        </is>
      </c>
      <c r="B231" t="inlineStr">
        <is>
          <t>[UPDATE] Eye infection for a month+, antibiotics not helping, doctors seem stumped</t>
        </is>
      </c>
      <c r="C231" t="inlineStr">
        <is>
          <t>[Original post](https://www.reddit.com/r/eyetriage/comments/aw0sth/eye_infection_for_a_month_antibiotics_not_helping/)
Unfortunately I'm back for more advice. Thanks so much for all the replies to my first post. Sorry in advance for length but it's been two and a half months and I'm still dealing with this after multiple doctor visits. I would really appreciate any more ideas. :(
**Possibly Relevant** End of October, I had hardware removed from my upper jaw from a previous surgery. Some of the hardware removed was in the area below the affected eye and next to my nose. About a week before this started, I moved in to my friend's place. He has a cat. Cats have never given me allergy trouble although admittedly I have never lived with one before. Recently learned cat has had some sort of eye issue involving discharge, unsure if it was ever diagnosed by the vet. Also about a week before my symptoms started, I spent a small amount of time at a very large bird sanctuary, in close contact with various types of parrots for approximately an hour. 
**Mid-January** Watery eye for about a week, progressed to mucus discharge and crusting in the mornings. 
**Opthamologist #1** Thought it looked like allergies. Prescribed Alaway and Refresh drops. Also used Claritin daily. No improvement. Prescribed Tobradex for a week. Symptoms cleared up, continued showing improvement for a week after discontinuing, but then symptoms returned. 
**Opthamologist #2 (same office, different doc)** Told me to try Tobradex again. No change, symptoms continued. Referred to cornea specialist.
**Cornea Specialist #1** Said it didn't look like an infection. Changed his mind when I showed him photo of my eye from that morning. Prescribed Besivance drops. No change in symptoms. Wanted a culture, doc was out of culture swabs (?!), prescribed Besivance drops every two hours. Again, no change.
**Cornea Specialist #2** I went to visit family across the country and saw another doctor since the Besivance wasn't doing anything. Cultures taken, doc suspected avian chlamydia. Prescribed one week course of doxycycline. Chlamydia results came back negative, discontinued doxy after five days. (Hadn't helped.) Still waiting on fungal culture results. Not sure about other cultures, I have to get a copy of the results. Doc suspected overactive immune response to something, prescribed Neo-poly-dex drops twice a day, then tapered. 
**Current** Seemed like slight improvement on the neo-poly-dex drops but nowhere near symptom free. A couple days into the taper now (once a day) and my eye still feels constantly wet and sticky, and is regularly watering and producing mucus. This morning I woke up with a nice glob of greenish yellow goop in my eye again. :( :( :(
I don't know what to do at this point. Four doctors and two and a half months later, Jesus. Are there more tests I can ask for? Would an x-ray be at all useful? Can I just get the damn thing scooped out and be a pirate? This is disgusting and uncomfortable and I am so goddamned ready for my eye to be normal again. :(</t>
        </is>
      </c>
      <c r="D231" t="n">
        <v>3</v>
      </c>
      <c r="E231" t="n">
        <v>8</v>
      </c>
      <c r="F231">
        <f>HYPERLINK("https://www.reddit.com/r/eyetriage/comments/b55t3w/update_eye_infection_for_a_month_antibiotics_not/")</f>
        <v/>
      </c>
      <c r="G231" t="inlineStr">
        <is>
          <t>2019-03-24 20:51:41</t>
        </is>
      </c>
      <c r="H231" t="inlineStr"/>
    </row>
    <row r="232">
      <c r="A232" t="inlineStr">
        <is>
          <t>b55vh2</t>
        </is>
      </c>
      <c r="B232" t="inlineStr">
        <is>
          <t>24 year old who just had cataracts surgery with some recovery questions</t>
        </is>
      </c>
      <c r="C232" t="inlineStr">
        <is>
          <t>Hey guys I just had cataracts removal surgery in my right eye 3 days ago and my vision is blurrier than pre surgery especially in close distance. 
I read online that people usually regain their vision 24-48 hours after the surgery. I had lasik surgery as 2 years ago and had perfect vision before the cataracts surgery. My doctor said people who had lasik have slower recovery times? 
I was just wondering how are your experiences post surgery? Anyone have a simillar experience like mine? I'm worried that my eye complications are not yet finished and I can't get back to everyday life like before.</t>
        </is>
      </c>
      <c r="D232" t="n">
        <v>1</v>
      </c>
      <c r="E232" t="n">
        <v>3</v>
      </c>
      <c r="F232">
        <f>HYPERLINK("https://www.reddit.com/r/eyetriage/comments/b55vh2/24_year_old_who_just_had_cataracts_surgery_with/")</f>
        <v/>
      </c>
      <c r="G232" t="inlineStr">
        <is>
          <t>2019-03-24 20:58:35</t>
        </is>
      </c>
      <c r="H232" t="inlineStr"/>
    </row>
    <row r="233">
      <c r="A233" t="inlineStr">
        <is>
          <t>b5e52k</t>
        </is>
      </c>
      <c r="B233" t="inlineStr">
        <is>
          <t>my near vision is distorted when I use my new astigmatism glasses</t>
        </is>
      </c>
      <c r="C233" t="inlineStr">
        <is>
          <t xml:space="preserve">Hello guys, I'm 23 years old. I use glasses since when I was 15. But recently, I went to ophthalmologist again and she explain me that I have astigmatism and gave me a new glasses prescription. Before that I used just spherical glasses (I'm not sure I say it correctly, but in older glasses prescription was filled only SPH column).
I bought it and when I use it, I see really clearly and correct when I look far, but my near vision is distorted. For example when I look down to a table or a bed, I think their surface are tilt.same to floor. 
Is that ok? Is the reason that, It's just new and I will get used to it? If not, what should I do? Go again to ophthalmologist? </t>
        </is>
      </c>
      <c r="D233" t="n">
        <v>1</v>
      </c>
      <c r="E233" t="n">
        <v>9</v>
      </c>
      <c r="F233">
        <f>HYPERLINK("https://www.reddit.com/r/eyetriage/comments/b5e52k/my_near_vision_is_distorted_when_i_use_my_new/")</f>
        <v/>
      </c>
      <c r="G233" t="inlineStr">
        <is>
          <t>2019-03-25 11:08:16</t>
        </is>
      </c>
      <c r="H233" t="inlineStr"/>
    </row>
    <row r="234">
      <c r="A234" t="inlineStr">
        <is>
          <t>b5gv8i</t>
        </is>
      </c>
      <c r="B234" t="inlineStr">
        <is>
          <t>29M - dizziness, occasional pressure behind eyes, dryness for 1 year</t>
        </is>
      </c>
      <c r="C234" t="inlineStr">
        <is>
          <t>I've had the same health problem for nearly a year now. To start, I've also had a CT Scan, MRI and EKG done to rule out anything serious in the brain or heart.
About a year ago I woke up and felt dizziness in my head and with my vision. Not the spins, but just generally feeling out of it and lightheaded. I had upped my contact strength the previous December (so ~15 months ago). 
In June after 3 months of this, I started wearing my backup glasses - things got better immediately but did not go away. I've seen two different eye doctors, and both said my eyes looked fine. A couple weeks ago I found an old pair of contacts of the previous strength, I've been wearing them for two weeks and things are okay (not as bad as when I was wearing the newer contacts) but I still feel it.
I've tried noticing if there are any dietary trends, if it has to do with hydration, or anything else and there's nothing obvious. Recently I've noticed that when I try to cross my eyes, it creates immense pressure and extreme dizziness to the point where I feel like if I held it for more than 2-3 second I would pass out. Not that I need to cross my eyes, but I used to be able to like most people to get a laugh or whatever. I'm pretty convinced what i'm feeling is eye related but not sure what else to do. Any thoughts? Or additional tests?</t>
        </is>
      </c>
      <c r="D234" t="n">
        <v>2</v>
      </c>
      <c r="E234" t="n">
        <v>0</v>
      </c>
      <c r="F234">
        <f>HYPERLINK("https://www.reddit.com/r/eyetriage/comments/b5gv8i/29m_dizziness_occasional_pressure_behind_eyes/")</f>
        <v/>
      </c>
      <c r="G234" t="inlineStr">
        <is>
          <t>2019-03-25 14:41:57</t>
        </is>
      </c>
      <c r="H234" t="inlineStr"/>
    </row>
    <row r="235">
      <c r="A235" t="inlineStr">
        <is>
          <t>b5iqoa</t>
        </is>
      </c>
      <c r="B235" t="inlineStr">
        <is>
          <t>What to look for in computer glasses?</t>
        </is>
      </c>
      <c r="C235" t="inlineStr">
        <is>
          <t>Hey everyone 
For the past few weeks I've been suffering from severe eye strain. I already have glasses correction for my astigmatism. I've been reading about computer glasses but I'm a bit confused. 
First of all, my opthalmologist said that apart from my astigmatism, my eyes are perfectly fine. He did say that tinted lenses can help with eye strain. Is this true?
Second, computer glasses seem to enlarge for a medium distance. Can I combine this with my astigmatism glasses?
My current optometrist recommends a blue light filter and also something called Sync III (https://www.hoyavision.com/discover-products/for-eye-care-professionals/single-vision-lenses/sync3-digital-lens/) which has a boost zone on the bottom of the glasses to destress the eyes. He also says that tinted glasses are bs. I honestly have no idea if he's just trying to get me to pay more for new glasses.
Any other tips for computer lenses? Any advice is greatly appreciated!</t>
        </is>
      </c>
      <c r="D235" t="n">
        <v>1</v>
      </c>
      <c r="E235" t="n">
        <v>2</v>
      </c>
      <c r="F235">
        <f>HYPERLINK("https://www.reddit.com/r/eyetriage/comments/b5iqoa/what_to_look_for_in_computer_glasses/")</f>
        <v/>
      </c>
      <c r="G235" t="inlineStr">
        <is>
          <t>2019-03-25 17:21:08</t>
        </is>
      </c>
      <c r="H235" t="inlineStr"/>
    </row>
    <row r="236">
      <c r="A236" t="inlineStr">
        <is>
          <t>b64yiy</t>
        </is>
      </c>
      <c r="B236" t="inlineStr">
        <is>
          <t>Retina hole repair scheduled 2 months out -- is this ok?</t>
        </is>
      </c>
      <c r="C236" t="inlineStr">
        <is>
          <t>Hello! TIA for your help.
I have a retina hole laser repair scheduled for May 13. Is that too far out? Should I press for a sooner appointment?
I've been seeing a weird black floater for the past 2 months or so. I went to my optometrist and she didn't see anything concerning. I kept pressing the issue and she agreed to refer me to an ophthalmologist. He diagnosed me with a retina hole in my left eye. He's not 100% sure it's the cause of my floater but he says there's definitely a hole and that it's starting to get a little fluid behind it.
He said they like to get them repaired within 2 months. It'll be almost exactly 2 months once I get it repaired.
Is this typical? Should I be worried about it tearing or detaching in the meantime? What would you do?
Thanks!!</t>
        </is>
      </c>
      <c r="D236" t="n">
        <v>1</v>
      </c>
      <c r="E236" t="n">
        <v>6</v>
      </c>
      <c r="F236">
        <f>HYPERLINK("https://www.reddit.com/r/eyetriage/comments/b64yiy/retina_hole_repair_scheduled_2_months_out_is_this/")</f>
        <v/>
      </c>
      <c r="G236" t="inlineStr">
        <is>
          <t>2019-03-27 07:11:15</t>
        </is>
      </c>
      <c r="H236" t="inlineStr"/>
    </row>
    <row r="237">
      <c r="A237" t="inlineStr">
        <is>
          <t>b66wuz</t>
        </is>
      </c>
      <c r="B237" t="inlineStr">
        <is>
          <t>Is there a way to prevent migraine after eye appointment?</t>
        </is>
      </c>
      <c r="C237" t="inlineStr">
        <is>
          <t>So after every eye appointment I have; I get a huge migraine that sometimes lasts days. I’m on 5 different migraine meds but the eye doc and the lights never fails to bring on one, despite the meds. Is there anything I can do to prevent this from happening? Had an erg this morning and have a pulsing migraine with aura and strained burning eyes. (Same happens with just regular exams though) 
Thanks</t>
        </is>
      </c>
      <c r="D237" t="n">
        <v>2</v>
      </c>
      <c r="E237" t="n">
        <v>4</v>
      </c>
      <c r="F237">
        <f>HYPERLINK("https://www.reddit.com/r/eyetriage/comments/b66wuz/is_there_a_way_to_prevent_migraine_after_eye/")</f>
        <v/>
      </c>
      <c r="G237" t="inlineStr">
        <is>
          <t>2019-03-27 10:17:23</t>
        </is>
      </c>
      <c r="H237" t="inlineStr"/>
    </row>
    <row r="238">
      <c r="A238" t="inlineStr">
        <is>
          <t>b6ayjd</t>
        </is>
      </c>
      <c r="B238" t="inlineStr">
        <is>
          <t>Strange visual phenomenon after grazing my cornea with a piece of flying plastic</t>
        </is>
      </c>
      <c r="C238" t="inlineStr">
        <is>
          <t xml:space="preserve">I was trying to rip open a plastic clamshell containing some new headphones and a small shard of plastic flew off and grazed my cornea causing moderate pain. Now it's night time and I noticed something super strange: when I look at any small source of bright light (traffic ought, street light, car headlights) the center of every light has a black dot in its center. It's so surreal. I couldn't find any info on it and I tried to recreate it with an edited image. This is exactly what my vision looks like right now. I'm gonna go to the doctor tomorrow but does anyone know wtf this is? https://i.imgur.com/Rntjsyo.jpg
Before you make any googly eye jokes, the black voids only appear on circular lights, not phone screens, although anything bright and circular like some letters of text or some light colored circles do this too. It's so very bizarre, it's only in one eye. It's like someone deleted the pixels of the centers of light, but in real time. </t>
        </is>
      </c>
      <c r="D238" t="n">
        <v>1</v>
      </c>
      <c r="E238" t="n">
        <v>1</v>
      </c>
      <c r="F238">
        <f>HYPERLINK("https://www.reddit.com/r/eyetriage/comments/b6ayjd/strange_visual_phenomenon_after_grazing_my_cornea/")</f>
        <v/>
      </c>
      <c r="G238" t="inlineStr">
        <is>
          <t>2019-03-27 15:43:18</t>
        </is>
      </c>
      <c r="H238" t="inlineStr"/>
    </row>
    <row r="239">
      <c r="A239" t="inlineStr">
        <is>
          <t>b6i8aw</t>
        </is>
      </c>
      <c r="B239" t="inlineStr">
        <is>
          <t>Halos in otherwise healthy eye</t>
        </is>
      </c>
      <c r="C239" t="inlineStr">
        <is>
          <t>I've noticed halos around bright lights at night, went to the optometrist and got an eye exam.
I have essentially no measurable refractive error, 20/15 in both eyes. They dilated my eyes and looked at my retina which was healthy, ruled out cataracts, etc. They tested for dry eye, which I don't have, and performed a slit lamp exam which looked fine. Overall, they said my eyes are extremely healthy. Should I get a second opinion or any extra exams that may reveal a cause to this symptom? Is some amount of halos (Around close-up streetlights and the full moon for example) at night "normal"?</t>
        </is>
      </c>
      <c r="D239" t="n">
        <v>1</v>
      </c>
      <c r="E239" t="n">
        <v>2</v>
      </c>
      <c r="F239">
        <f>HYPERLINK("https://www.reddit.com/r/eyetriage/comments/b6i8aw/halos_in_otherwise_healthy_eye/")</f>
        <v/>
      </c>
      <c r="G239" t="inlineStr">
        <is>
          <t>2019-03-28 05:34:08</t>
        </is>
      </c>
      <c r="H239" t="inlineStr"/>
    </row>
    <row r="240">
      <c r="A240" t="inlineStr">
        <is>
          <t>b6j66b</t>
        </is>
      </c>
      <c r="B240" t="inlineStr">
        <is>
          <t>Eyesight and Breastfeeding</t>
        </is>
      </c>
      <c r="C240" t="inlineStr">
        <is>
          <t>Hello, I am 7 months postpartum and for the past 6 weeks or so I have noticed my eyesight has gotten much worse. I have a hard time focusing and I can't see as far away as I could before. I wear contacts 95% of the time. I wear -5.5 in both eyes.
From most of my googling, I have found that this isn't uncommon and usually temporary. Is that true? Also, I have an appointment at an eye center next week, will they change my prescription until my daughter weans? Or will I just have to put up with this until my eyesight (hopefully) returns to what it was.
Thanks in advance!</t>
        </is>
      </c>
      <c r="D240" t="n">
        <v>1</v>
      </c>
      <c r="E240" t="n">
        <v>2</v>
      </c>
      <c r="F240">
        <f>HYPERLINK("https://www.reddit.com/r/eyetriage/comments/b6j66b/eyesight_and_breastfeeding/")</f>
        <v/>
      </c>
      <c r="G240" t="inlineStr">
        <is>
          <t>2019-03-28 07:03:10</t>
        </is>
      </c>
      <c r="H240" t="inlineStr"/>
    </row>
    <row r="241">
      <c r="A241" t="inlineStr">
        <is>
          <t>b6psb4</t>
        </is>
      </c>
      <c r="B241" t="inlineStr">
        <is>
          <t>Taking LSD after having eyes dilated</t>
        </is>
      </c>
      <c r="C241" t="inlineStr">
        <is>
          <t>Hello, I am curious about any eye safety risks with taking LSD after having my eyes dilated. Would taking LSD over-dilate my eyes? is this even possible? any help concerning this topic would be useful, I know it is a somewhat unique case!</t>
        </is>
      </c>
      <c r="D241" t="n">
        <v>2</v>
      </c>
      <c r="E241" t="n">
        <v>2</v>
      </c>
      <c r="F241">
        <f>HYPERLINK("https://www.reddit.com/r/eyetriage/comments/b6psb4/taking_lsd_after_having_eyes_dilated/")</f>
        <v/>
      </c>
      <c r="G241" t="inlineStr">
        <is>
          <t>2019-03-28 16:09:34</t>
        </is>
      </c>
      <c r="H241" t="inlineStr"/>
    </row>
    <row r="242">
      <c r="A242" t="inlineStr">
        <is>
          <t>b6twbh</t>
        </is>
      </c>
      <c r="B242" t="inlineStr">
        <is>
          <t>Cataracts at age 30? Weird Stuff</t>
        </is>
      </c>
      <c r="C242" t="inlineStr">
        <is>
          <t xml:space="preserve">Hey everyone.
So a little over 1.5 years ago I started to notice eye floaters and halos around lights. I had it checked out by 2 different optamologists a few months apart and they found nothing serious wrong. The reason for my second appointment was that I started seeing the halos and he said retina and everything are fine but that I had high order aberrations or something and its simply because I’m very nearsighted, and that RLE surgery (essentially cataract surgery) would fix the halos, starbursts, and overall poor night vision (and no he doesnt perform that surgery, so its not like he recommended it for commission). But of course because I care about my eyes I do not want the surgery as it poses at least a small risk and im fine with dealing with the symptoms. 
Now fast forward to today... 1.5 years later. I go to a third ophthalmologist, this time from a different provider because my insurance changed. I went to the appointment just as a precaution and to get my eyes checked just to be sure everything is still ok and to get another opinion. My symptoms have not worsened. 
I told this new optamologist about my symptoms and about the opinion I had received from the previous opthamologist. He laughed and scoffed and asked what his name was, and then made the remark “oh hes just a retina specialist) and that his ideas was insane. Of course, i agree that I do not want RLE surgery, but what this new guy told me terrifies me and sounds even more quacky. 
This new opthamologist went on to say that cataract surgery ALWAYS causes retinal detachment and is never good. Lol. I find that hard to believe because what i have read is that its one of the most successful and common surgeries... yes it poses a little risk but it doesnt make EVERYONES retina detach. This guy scared me like this before even looking at my eyes. He even went on the say that PVD (when the vitreous detaches) ALWAYS causes an RD. Wtf? It increases risk but they dont always tear AND detach the retina. Of course im not a doc, but man i dont like what this guy says. 
Anyways he then proceeds to look at my eyes and pretty quickly says... oh it does look like  you have very minor cataracts (ends up being both eyes), but he brushed it off to not be a big deal and he said I was most likely just born with them.
So... i find that puzzling... sure the way I see does appear to be cataract symptoms but I had 2 prior opthamologist say i had no cataracts and ive had dilated eye exams since i was young and not a single doc said I had cataracts. Do you think this is something that formed recently or is this guy a quack? 
I have a hard time believing this guy because i feel what he says is wrong. Do opthamologist purposely scare people away from surgery so they dont get it? I already made it clear that i have no plans to proceed with surgery and want to put it off as long as i can. But now this guy says i have cataracts apparently.
I asked him more about it but he didnt make a big deal about it. I asked how quickly will it progress and he seemed to state it probably wont and i should be fine until i get old like 60 and its so minor ive probably always had the cataracts in both eyes. 
Is a cataract diagnosis a matter of opinion with docs? Ive never been told i have this before and i dont like how this guy scared me and said the surgery is a guaranteed RD lol. 
Otherwise he said my retina and macula seems fine, no holes or lattice degeneration which he said was great “considering” how nearsighted i am at -10D.
So do you guys see minor cataracts in people in their 30s? Do they quickly get worse. Im so afraid of surgery in the future now. I really dont feel good after that appointment. </t>
        </is>
      </c>
      <c r="D242" t="n">
        <v>2</v>
      </c>
      <c r="E242" t="n">
        <v>3</v>
      </c>
      <c r="F242">
        <f>HYPERLINK("https://www.reddit.com/r/eyetriage/comments/b6twbh/cataracts_at_age_30_weird_stuff/")</f>
        <v/>
      </c>
      <c r="G242" t="inlineStr">
        <is>
          <t>2019-03-28 23:34:53</t>
        </is>
      </c>
      <c r="H242" t="inlineStr"/>
    </row>
    <row r="243">
      <c r="A243" t="inlineStr">
        <is>
          <t>b709r3</t>
        </is>
      </c>
      <c r="B243" t="inlineStr">
        <is>
          <t>Ptosis from chlamydia conjunctivitis</t>
        </is>
      </c>
      <c r="C243" t="inlineStr">
        <is>
          <t xml:space="preserve">Hi everyone. As of today my optometrist has cleared my eye of having any infection. I still have some bumps on my inner eyelid but nothing serious. I took 1g of azrithromycin for my Chlamydia almost 2 weeks ago and yet my eyelid still seems to be droopy. I was referred to an ophthalmologist but unfortunately I do not have health insurance.
How long does it take for Chlamydia eye infections to resolve? Am I being too impatient and maybe need to wait longer for my eyelid to go back to normal?
Any advice is greatly appreciated </t>
        </is>
      </c>
      <c r="D243" t="n">
        <v>3</v>
      </c>
      <c r="E243" t="n">
        <v>0</v>
      </c>
      <c r="F243">
        <f>HYPERLINK("https://www.reddit.com/r/eyetriage/comments/b709r3/ptosis_from_chlamydia_conjunctivitis/")</f>
        <v/>
      </c>
      <c r="G243" t="inlineStr">
        <is>
          <t>2019-03-29 10:41:37</t>
        </is>
      </c>
      <c r="H243" t="inlineStr"/>
    </row>
    <row r="244">
      <c r="A244" t="inlineStr">
        <is>
          <t>b7b3vt</t>
        </is>
      </c>
      <c r="B244" t="inlineStr">
        <is>
          <t>What is this strange ring around my pupil?</t>
        </is>
      </c>
      <c r="C244" t="inlineStr">
        <is>
          <t xml:space="preserve">Hi eye triage!
I have been having a lot of new eye issues in past 6 months - new floaters and flashes, new visual snow etc. 
Today I noticed this ring around my pupil (I have a nevus in same eye and I take pictures regularly for comparison) this ring was not there in December. 
Any idea what this is? 
Age: 29
Sex: F
Race: South Asian
Glass pres. L: -1.25, R: -0.5, both have astigmatism
https://imgur.com/a/1vCwB9D
</t>
        </is>
      </c>
      <c r="D244" t="n">
        <v>1</v>
      </c>
      <c r="E244" t="n">
        <v>0</v>
      </c>
      <c r="F244">
        <f>HYPERLINK("https://www.reddit.com/r/eyetriage/comments/b7b3vt/what_is_this_strange_ring_around_my_pupil/")</f>
        <v/>
      </c>
      <c r="G244" t="inlineStr">
        <is>
          <t>2019-03-30 06:10:45</t>
        </is>
      </c>
      <c r="H244" t="inlineStr"/>
    </row>
    <row r="245">
      <c r="A245" t="inlineStr">
        <is>
          <t>b7boro</t>
        </is>
      </c>
      <c r="B245" t="inlineStr">
        <is>
          <t>Scintillating scotoma from pressure over maxillary sinus?</t>
        </is>
      </c>
      <c r="C245" t="inlineStr">
        <is>
          <t xml:space="preserve">Hi, confused patient here! 
31, F.
Before I start I want to note that I have an appointment to discuss this with my GP on Friday, I would just like to get a general idea of what might be going on first. I have a scientific background and I'm not really able to find any links between these two things.
1) For a couple of months now, when I'm washing my face, relatively gentle pressure over the right maxillary sinus area is creating an area of moving black and white stripes in the vision of my right eye, bottom left corner closest to nose (images of scintillating scotoma is the closest thing I can find to describe it). Only appears during pressure.
2) Years of sinus issues. I wake up with awful puffy droopy face and eyelids which generally regress over the course of the day, I feel like hell, I get low grade fevers. All this despite being on daily nasal steroids (which have helped a great deal- it used to be even worse) a recent MRI (without contrast) has shown "opacification of the posterior left maxillary sinus. Mild mucosal thickening in the remainder of the paranasal sinuses." No incidental eye findings in MRI report.
3) Recent eye exam (Dec '18 was normal. I didn't have the air puff test though.)
The L-sided bit has thrown me really as although all sinuses are inflamed, if it was opacification of the R maxillary then that would go some way to explain what's going on.
The nasal steroid is mometasone furoate 50mcg/spray, and I was on 1 spray per nostril for over a year, but for the past 45ish days I have cut down to 1 spray every other day, so I hesitate to blame the steroids.
Thanks for reading, any thoughts would be much appreciated. Not looking for personal advice but whether anyone has any experience of sinus issues/inflammation causing this?
</t>
        </is>
      </c>
      <c r="D245" t="n">
        <v>2</v>
      </c>
      <c r="E245" t="n">
        <v>0</v>
      </c>
      <c r="F245">
        <f>HYPERLINK("https://www.reddit.com/r/eyetriage/comments/b7boro/scintillating_scotoma_from_pressure_over/")</f>
        <v/>
      </c>
      <c r="G245" t="inlineStr">
        <is>
          <t>2019-03-30 07:10:45</t>
        </is>
      </c>
      <c r="H245" t="inlineStr"/>
    </row>
    <row r="246">
      <c r="A246" t="inlineStr">
        <is>
          <t>b7ejpq</t>
        </is>
      </c>
      <c r="B246" t="inlineStr">
        <is>
          <t>Visible red veins in my right eye constantly growing</t>
        </is>
      </c>
      <c r="C246" t="inlineStr">
        <is>
          <t>So since 3 years ago, only in my right eye, these red thingies are constantly appearing, and never backing up. Even with glasses, I feel like I have blurry vision, and it's like I have a grain of sand in my eye. In the morning, my tears won't start coming out, so I have to use eye drops so I can function properly. And later in day, tears won't stop, water constantly coming out like I'm crying. I visited 3 different ophthalmologist, they all told me it's just visible eye veins, and it can't be cured, and that I should use artificial tears every day. I have been doing that for long time now, but I see no progress, only new ones appearing. And this is all happening in right eye. They also said everything else is normal (eye pressure etc.). Also, whenever I am exposed to some light, my eye always have this glance in it, when comparing to the left one.
Here are pictures of my right eye:
https://imgur.com/a/NuRcDv5
https://imgur.com/a/cYJ1Rv0
Is there someone who knows what exactly these are, and how can I prevent them? They constantly make my eye look red, and this gives a feeling I have an asymmetric face. Also I am afraid this is just a beginning of some different eye disease, like glaucoma? 
Is there any laser surgery that can remove these?</t>
        </is>
      </c>
      <c r="D246" t="n">
        <v>1</v>
      </c>
      <c r="E246" t="n">
        <v>9</v>
      </c>
      <c r="F246">
        <f>HYPERLINK("https://www.reddit.com/r/eyetriage/comments/b7ejpq/visible_red_veins_in_my_right_eye_constantly/")</f>
        <v/>
      </c>
      <c r="G246" t="inlineStr">
        <is>
          <t>2019-03-30 11:47:48</t>
        </is>
      </c>
      <c r="H246" t="inlineStr"/>
    </row>
    <row r="247">
      <c r="A247" t="inlineStr">
        <is>
          <t>b7isrr</t>
        </is>
      </c>
      <c r="B247" t="inlineStr">
        <is>
          <t>Black spots seen when looking down a microscope</t>
        </is>
      </c>
      <c r="C247" t="inlineStr">
        <is>
          <t>I have recently noticed black 'spots' in my vision when looking down a microscope at high magnification (100x) - these vary in shape and size and I have them in both eyes. Been to my GP who examined my eyes and said they are healthy, also had my eyes tested at an opticians recently. Is this anything to worry about?</t>
        </is>
      </c>
      <c r="D247" t="n">
        <v>1</v>
      </c>
      <c r="E247" t="n">
        <v>1</v>
      </c>
      <c r="F247">
        <f>HYPERLINK("https://www.reddit.com/r/eyetriage/comments/b7isrr/black_spots_seen_when_looking_down_a_microscope/")</f>
        <v/>
      </c>
      <c r="G247" t="inlineStr">
        <is>
          <t>2019-03-30 19:08:05</t>
        </is>
      </c>
      <c r="H247" t="inlineStr"/>
    </row>
    <row r="248">
      <c r="A248" t="inlineStr">
        <is>
          <t>b7jd7b</t>
        </is>
      </c>
      <c r="B248" t="inlineStr">
        <is>
          <t>Asking all optometrists, ophthalmologists, retina speacialist or anyone who has what I have, I Have a stretched retina, how worried should I be?</t>
        </is>
      </c>
      <c r="C248" t="inlineStr">
        <is>
          <t>Hi, i'm a female, in my late teens and my prescription is around -3/-3.25 in both eyes. A bit of astigmatism in the left eye. I have symtoms of floaters since i was like around 11/12. When i got checked by the optometrist she said there was no indication of eye diseases (retinal detachment/tears) however she said that the back of one of my eyeballs "looks a little stretched" and that id see a retinal specialist to indicate whether "its normal for me or I may need to get it lasered". Should I be worried? Is it normal or not unheard of for people who are as myopic as me to have a retina thats a little stretched? I really do not want to have laser surgery done. Also how does myopia cause the retina to stretch?</t>
        </is>
      </c>
      <c r="D248" t="n">
        <v>0</v>
      </c>
      <c r="E248" t="n">
        <v>3</v>
      </c>
      <c r="F248">
        <f>HYPERLINK("https://www.reddit.com/r/eyetriage/comments/b7jd7b/asking_all_optometrists_ophthalmologists_retina/")</f>
        <v/>
      </c>
      <c r="G248" t="inlineStr">
        <is>
          <t>2019-03-30 20:18:57</t>
        </is>
      </c>
      <c r="H248" t="inlineStr"/>
    </row>
    <row r="249">
      <c r="A249" t="inlineStr">
        <is>
          <t>b82q2l</t>
        </is>
      </c>
      <c r="B249" t="inlineStr">
        <is>
          <t>eye glasses script</t>
        </is>
      </c>
      <c r="C249" t="inlineStr">
        <is>
          <t>I got a glasses script and cant translate it into the scipt boxes online. can anyone help</t>
        </is>
      </c>
      <c r="D249" t="n">
        <v>1</v>
      </c>
      <c r="E249" t="n">
        <v>0</v>
      </c>
      <c r="F249">
        <f>HYPERLINK("https://www.reddit.com/r/eyetriage/comments/b82q2l/eye_glasses_script/")</f>
        <v/>
      </c>
      <c r="G249" t="inlineStr">
        <is>
          <t>2019-04-01 06:58:50</t>
        </is>
      </c>
      <c r="H249" t="inlineStr"/>
    </row>
    <row r="250">
      <c r="A250" t="inlineStr">
        <is>
          <t>b82uls</t>
        </is>
      </c>
      <c r="B250" t="inlineStr">
        <is>
          <t>Glasses Script</t>
        </is>
      </c>
      <c r="C250" t="inlineStr">
        <is>
          <t>I got an eye exam for a glasses script. I'm ordering online, but cant figure out how to translate what the doc wrote to the:  
Right (OD)  SPH       CYL        AXI           Near (ADD)  
Left (OS)     SPH       CYL        AXI           Near (ADD)  
https://i.redd.it/hspuzbgrtnp21.png
can anyone help?
https://i.redd.it/0fv5in3ntnp21.jpg</t>
        </is>
      </c>
      <c r="D250" t="n">
        <v>1</v>
      </c>
      <c r="E250" t="n">
        <v>4</v>
      </c>
      <c r="F250">
        <f>HYPERLINK("https://www.reddit.com/r/eyetriage/comments/b82uls/glasses_script/")</f>
        <v/>
      </c>
      <c r="G250" t="inlineStr">
        <is>
          <t>2019-04-01 07:08:49</t>
        </is>
      </c>
      <c r="H250" t="inlineStr"/>
    </row>
    <row r="251">
      <c r="A251" t="inlineStr">
        <is>
          <t>b87zid</t>
        </is>
      </c>
      <c r="B251" t="inlineStr">
        <is>
          <t>Foreign object?</t>
        </is>
      </c>
      <c r="C251" t="inlineStr">
        <is>
          <t>29 y/o w/m states that, upon waking yesterday, he rubbed his eyes and felt an object in his R eye. He rubbed them again but did not feel that object had dislodged. Applied spring water and contact solution fluid over approx 30 min period before feeling went away. Afterward reported excessive watering and crusting of eyes, as well as puffiness. Napped, and upon waking, felt some “crustiness,” but improved condition. No vision loss or photophobia. Slept overnight, felt even better upon waking, although noticed some slight puffiness. Proceeded throughout day w/o complaint until later feeling in afternoon like another foreign object was in same eye. Purchased generic eye wash solution from local drugstore with no results. However later felt that complaint resolved on its own. Also supplied to pictures of lower eye taken by friend depicting where he believed object was felt.
Thoughts?</t>
        </is>
      </c>
      <c r="D251" t="n">
        <v>1</v>
      </c>
      <c r="E251" t="n">
        <v>1</v>
      </c>
      <c r="F251">
        <f>HYPERLINK("https://www.reddit.com/r/eyetriage/comments/b87zid/foreign_object/")</f>
        <v/>
      </c>
      <c r="G251" t="inlineStr">
        <is>
          <t>2019-04-01 13:02:34</t>
        </is>
      </c>
      <c r="H251" t="inlineStr"/>
    </row>
    <row r="252">
      <c r="A252" t="inlineStr">
        <is>
          <t>b8afvd</t>
        </is>
      </c>
      <c r="B252" t="inlineStr">
        <is>
          <t>Reflected light</t>
        </is>
      </c>
      <c r="C252" t="inlineStr">
        <is>
          <t xml:space="preserve">   
**Will ceiling lights damage my retina if the light bounces off my iPhone screen while I am using the phone?** </t>
        </is>
      </c>
      <c r="D252" t="n">
        <v>2</v>
      </c>
      <c r="E252" t="n">
        <v>2</v>
      </c>
      <c r="F252">
        <f>HYPERLINK("https://www.reddit.com/r/eyetriage/comments/b8afvd/reflected_light/")</f>
        <v/>
      </c>
      <c r="G252" t="inlineStr">
        <is>
          <t>2019-04-01 15:35:34</t>
        </is>
      </c>
      <c r="H252" t="inlineStr"/>
    </row>
    <row r="253">
      <c r="A253" t="inlineStr">
        <is>
          <t>b8b6tj</t>
        </is>
      </c>
      <c r="B253" t="inlineStr">
        <is>
          <t>Im not really sure what to do anymore(eye issues for 3 to 4 months)</t>
        </is>
      </c>
      <c r="C253" t="inlineStr">
        <is>
          <t xml:space="preserve">Hi. Ive had a host of ey issues since mid december. I don't really know what to so anymore
I have seen a opthamologist in early january at a hospital.  They found nothing. I saw another a month later on a referral and still nothing. Eyes are apperently completely healthy but im still having issuess
Ill note my issues I was having and some still having.
December: the underside of my left eye became swollen. I want to say it was from a natural oil i was using called castor oil because not long before i remmember getting some in my eye. Not long aftee my left eye was very blurry and stayed that way for a month.
Jan:I started seeing floaters. Mostly when looking at natural light. Unsure if they were always there and just started noticing them or were new. This prompted my visits to opthamology
Feb/march: ( i also saw a opthamologist in feb) blurry vision has stopped sort of but im noticing now that my right eye seems more dominant. Like if staring straight at somethiin im looking more at it with my right eye than my left. If i cover my right eye and look straight with my left one, its like I see the darkness from my covered eye because I am focusing with my right eye even though its covered. This leads to what im seeing with my uncovered left eye to fade in and out of focus unless I really focus my eye hard which causes strain and cant keep up for long. Also sometimes it feels like images in my eyes are different sizes but im not really sure if im just stressing out and seeing that.
I also noticed if im watching movie with subtitles written in white, i see them in double for a few seconds. Same with white writing on a black screen. Its basically what i think double vision would look like but only for a few seconds. Normal writing like in books i do not see double.
I do have astigmatism in both eyes so maybe that could be causing it but i just got new glasses a couple months ago so it should be fixed plus i dont think astigmatism causes you to only focus out of one eye.
I know the final answee will be go back to the doctor but do you guys have any insight on this?
</t>
        </is>
      </c>
      <c r="D253" t="n">
        <v>2</v>
      </c>
      <c r="E253" t="n">
        <v>11</v>
      </c>
      <c r="F253">
        <f>HYPERLINK("https://www.reddit.com/r/eyetriage/comments/b8b6tj/im_not_really_sure_what_to_do_anymoreeye_issues/")</f>
        <v/>
      </c>
      <c r="G253" t="inlineStr">
        <is>
          <t>2019-04-01 16:30:05</t>
        </is>
      </c>
      <c r="H253" t="inlineStr"/>
    </row>
    <row r="254">
      <c r="A254" t="inlineStr">
        <is>
          <t>b8eb9u</t>
        </is>
      </c>
      <c r="B254" t="inlineStr">
        <is>
          <t>Eye pain with anisocoria?</t>
        </is>
      </c>
      <c r="C254" t="inlineStr">
        <is>
          <t xml:space="preserve">Hi.  
I've made an appointment with my ophthalmologist for wednesday, so I will definitely be getting this checked out, but I just wanted to ask you guys if you all think this is an emergency and if I should go to the emergency room instead. It should also be noted that I use contacts and there is a possibility of infection there.  
Around a week ago, I started to notice that my vision was slightly blurred. It wasn't much worse, just slightly worse than I normally see with my contacts in. That night I take my contacts out and (I think?) my vision was better with my glasses and not as blurred as when my contacts were in. Following the blurriness came some mild eye pain a few days later. Not anything unbearable, just a droning mild pain that would come and go. Then, looking in the mirror I noticed that one of my pupils was slightly larger than the other, and the iris in my right eye wouldn't seem to stay in one spot. It would twitch every now and then.  
I should mention that these symptoms come and go, my right eye does not always hurt and my pupil is not always larger than the other. But it's definitely happening on a daily basis. I've tried artificial tears and they help a little, but do not keep the problem completely at bay.  
So that's the size of it. Should I be worrying more than I am and try to get an appointment sooner or go to the emergency room? Is waiting until wednesday to get it looked at a good idea?  
Thank you. </t>
        </is>
      </c>
      <c r="D254" t="n">
        <v>1</v>
      </c>
      <c r="E254" t="n">
        <v>0</v>
      </c>
      <c r="F254">
        <f>HYPERLINK("https://www.reddit.com/r/eyetriage/comments/b8eb9u/eye_pain_with_anisocoria/")</f>
        <v/>
      </c>
      <c r="G254" t="inlineStr">
        <is>
          <t>2019-04-01 21:17:37</t>
        </is>
      </c>
      <c r="H254" t="inlineStr"/>
    </row>
    <row r="255">
      <c r="A255" t="inlineStr">
        <is>
          <t>b8fl3l</t>
        </is>
      </c>
      <c r="B255" t="inlineStr">
        <is>
          <t>% Chance of Retinal Detachment after cataract surgery for high myopia</t>
        </is>
      </c>
      <c r="C255" t="inlineStr">
        <is>
          <t xml:space="preserve">I have -10D script. What is a ballpark % chance of retinal detachment AFTER successful cataract surgery. Im most concerned about the long term effects of removing the natural lens and how that may have am effect of the vitreous and retina falling off sooner than later. </t>
        </is>
      </c>
      <c r="D255" t="n">
        <v>3</v>
      </c>
      <c r="E255" t="n">
        <v>4</v>
      </c>
      <c r="F255">
        <f>HYPERLINK("https://www.reddit.com/r/eyetriage/comments/b8fl3l/chance_of_retinal_detachment_after_cataract/")</f>
        <v/>
      </c>
      <c r="G255" t="inlineStr">
        <is>
          <t>2019-04-01 23:42:21</t>
        </is>
      </c>
      <c r="H255" t="inlineStr"/>
    </row>
    <row r="256">
      <c r="A256" t="inlineStr">
        <is>
          <t>b8ih61</t>
        </is>
      </c>
      <c r="B256" t="inlineStr">
        <is>
          <t>Nothing serious but,</t>
        </is>
      </c>
      <c r="C256" t="inlineStr">
        <is>
          <t xml:space="preserve">I've had red veins in my eyes for quite a long time now. While this doesn't really bother me because I have other eye problems to worry about, but whenever I would ask when the red veins would disappear, I always got an answer something along the lines "they go away with time, just wait a few weeks". Well I've basically had the same red veins (except more) for the past decade or so.
My way of living has changed a lot during this time and I have used eye drops, glasses and such. These have helped my vision, but the red veins have stayed. Just wondering when they would disappear. 
(PS. I'm almost certain they are the same veins because there's one big vein that has just been sitting there for the past 10 years.) </t>
        </is>
      </c>
      <c r="D256" t="n">
        <v>1</v>
      </c>
      <c r="E256" t="n">
        <v>1</v>
      </c>
      <c r="F256">
        <f>HYPERLINK("https://www.reddit.com/r/eyetriage/comments/b8ih61/nothing_serious_but/")</f>
        <v/>
      </c>
      <c r="G256" t="inlineStr">
        <is>
          <t>2019-04-02 05:19:29</t>
        </is>
      </c>
      <c r="H256" t="inlineStr"/>
    </row>
    <row r="257">
      <c r="A257" t="inlineStr">
        <is>
          <t>b8srf5</t>
        </is>
      </c>
      <c r="B257" t="inlineStr">
        <is>
          <t>Do cataracts increase IOP?</t>
        </is>
      </c>
      <c r="C257" t="inlineStr">
        <is>
          <t xml:space="preserve">If you have mild-severe cataracts is there an influence on eye pressure? Can bad cataracts cause glaucoma? </t>
        </is>
      </c>
      <c r="D257" t="n">
        <v>1</v>
      </c>
      <c r="E257" t="n">
        <v>2</v>
      </c>
      <c r="F257">
        <f>HYPERLINK("https://www.reddit.com/r/eyetriage/comments/b8srf5/do_cataracts_increase_iop/")</f>
        <v/>
      </c>
      <c r="G257" t="inlineStr">
        <is>
          <t>2019-04-02 20:06:05</t>
        </is>
      </c>
      <c r="H257" t="inlineStr"/>
    </row>
    <row r="258">
      <c r="A258" t="inlineStr">
        <is>
          <t>b8t5t5</t>
        </is>
      </c>
      <c r="B258" t="inlineStr">
        <is>
          <t>I'm 17 and I am worried i have cataracts</t>
        </is>
      </c>
      <c r="C258" t="inlineStr">
        <is>
          <t xml:space="preserve">I would blink and it becomes super blurry than I link again and it's back to normal. Should I be worried. I am kind of freaking out cause its been happening for a month. </t>
        </is>
      </c>
      <c r="D258" t="n">
        <v>1</v>
      </c>
      <c r="E258" t="n">
        <v>3</v>
      </c>
      <c r="F258">
        <f>HYPERLINK("https://www.reddit.com/r/eyetriage/comments/b8t5t5/im_17_and_i_am_worried_i_have_cataracts/")</f>
        <v/>
      </c>
      <c r="G258" t="inlineStr">
        <is>
          <t>2019-04-02 20:49:35</t>
        </is>
      </c>
      <c r="H258" t="inlineStr"/>
    </row>
    <row r="259">
      <c r="A259" t="inlineStr">
        <is>
          <t>b8wrfo</t>
        </is>
      </c>
      <c r="B259" t="inlineStr">
        <is>
          <t>What kind of eye test is this?</t>
        </is>
      </c>
      <c r="C259" t="inlineStr">
        <is>
          <t>Hello, my name is Bogdan and I suffer from recurrent corneal erosion. Yesterday I went to ER because of this issue and they made me look into some kind of machine, but they did not explain much. However they let me take some pictures of the results.
&amp;amp;#x200B;
What kind of test is this? What does it test about my cornea? 
*Processing img 8v65smxfb1q21...*
&amp;amp;#x200B;
*Processing img 0yh0lq9kb1q21...*
&amp;amp;#x200B;
*Processing img rdi69oklb1q21...*</t>
        </is>
      </c>
      <c r="D259" t="n">
        <v>1</v>
      </c>
      <c r="E259" t="n">
        <v>1</v>
      </c>
      <c r="F259">
        <f>HYPERLINK("https://www.reddit.com/r/eyetriage/comments/b8wrfo/what_kind_of_eye_test_is_this/")</f>
        <v/>
      </c>
      <c r="G259" t="inlineStr">
        <is>
          <t>2019-04-03 04:31:05</t>
        </is>
      </c>
      <c r="H259" t="inlineStr"/>
    </row>
    <row r="260">
      <c r="A260" t="inlineStr">
        <is>
          <t>b97xhb</t>
        </is>
      </c>
      <c r="B260" t="inlineStr">
        <is>
          <t>29 years old and I have cataract surgery in a month. What to expect (especially for such a young patient)?</t>
        </is>
      </c>
      <c r="C260" t="inlineStr">
        <is>
          <t>First thing doc said to me when he walked in the door was, "You're young." Lol.
Anyway, I'm getting cataract surgery for the cataracts I've had since birth. How's the recovery process like? And what kind of vision can I expect after? Doc says I can see (no pun intended) better vision once surgery is complete, but if that's the case, then why doesn't everyone do it and get better vision? 
Numbers for reference:
Left: -12.5
Right: -15.5</t>
        </is>
      </c>
      <c r="D260" t="n">
        <v>3</v>
      </c>
      <c r="E260" t="n">
        <v>17</v>
      </c>
      <c r="F260">
        <f>HYPERLINK("https://www.reddit.com/r/eyetriage/comments/b97xhb/29_years_old_and_i_have_cataract_surgery_in_a/")</f>
        <v/>
      </c>
      <c r="G260" t="inlineStr">
        <is>
          <t>2019-04-03 20:54:45</t>
        </is>
      </c>
      <c r="H260" t="inlineStr"/>
    </row>
    <row r="261">
      <c r="A261" t="inlineStr">
        <is>
          <t>b9ohsz</t>
        </is>
      </c>
      <c r="B261" t="inlineStr">
        <is>
          <t>Left Eye has blurry vision - onset of nearsight in left eye or effect of viagra use</t>
        </is>
      </c>
      <c r="C261" t="inlineStr">
        <is>
          <t>I am 26, healthy, but need to take Viagra to perform. Recently I noticed my left eye has blurry vision. Right eye is fine, when I use both it's also fine. What could be the issue</t>
        </is>
      </c>
      <c r="D261" t="n">
        <v>1</v>
      </c>
      <c r="E261" t="n">
        <v>8</v>
      </c>
      <c r="F261">
        <f>HYPERLINK("https://www.reddit.com/r/eyetriage/comments/b9ohsz/left_eye_has_blurry_vision_onset_of_nearsight_in/")</f>
        <v/>
      </c>
      <c r="G261" t="inlineStr">
        <is>
          <t>2019-04-05 01:15:11</t>
        </is>
      </c>
      <c r="H261" t="inlineStr"/>
    </row>
    <row r="262">
      <c r="A262" t="inlineStr">
        <is>
          <t>b9ptfh</t>
        </is>
      </c>
      <c r="B262" t="inlineStr">
        <is>
          <t>Dry eye, every treatment I've tried makes my eyes burn</t>
        </is>
      </c>
      <c r="C262" t="inlineStr">
        <is>
          <t>I've got dry eye I'm trying to treat. It's only a problem when I wake up, so I've been experimenting with nighttime ointments, but every one I've tried makes me wake up with extremely irritated and red eyes. Thus far I've tried the Genteal ointment and Systane ointment in the green tube. I tried both for 2 days and it really, really irritated my eyes.
Even if I use normal refresh tears (preservativeless) which are normally fine in the day, if I use it directly before closing my eyes for sleep I wake up in the morning extremely irritated and red.
Anyone experience this sort of thing? I'm honestly ready to drop like $150 testing out a bunch of different brands. What worked for you guys?</t>
        </is>
      </c>
      <c r="D262" t="n">
        <v>1</v>
      </c>
      <c r="E262" t="n">
        <v>2</v>
      </c>
      <c r="F262">
        <f>HYPERLINK("https://www.reddit.com/r/eyetriage/comments/b9ptfh/dry_eye_every_treatment_ive_tried_makes_my_eyes/")</f>
        <v/>
      </c>
      <c r="G262" t="inlineStr">
        <is>
          <t>2019-04-05 04:07:36</t>
        </is>
      </c>
      <c r="H262" t="inlineStr"/>
    </row>
    <row r="263">
      <c r="A263" t="inlineStr">
        <is>
          <t>b9rjuo</t>
        </is>
      </c>
      <c r="B263" t="inlineStr">
        <is>
          <t>Lens Edge Lift</t>
        </is>
      </c>
      <c r="C263" t="inlineStr">
        <is>
          <t>Could an increase in edge lift to better center RGP lenses cause irritation, fogging, surface debris?
I’m wondering if there may be a link to edge lift and interaction with the lid (i.e, scraping the lid surface) to help with centration.</t>
        </is>
      </c>
      <c r="D263" t="n">
        <v>1</v>
      </c>
      <c r="E263" t="n">
        <v>0</v>
      </c>
      <c r="F263">
        <f>HYPERLINK("https://www.reddit.com/r/eyetriage/comments/b9rjuo/lens_edge_lift/")</f>
        <v/>
      </c>
      <c r="G263" t="inlineStr">
        <is>
          <t>2019-04-05 07:00:41</t>
        </is>
      </c>
      <c r="H263" t="inlineStr"/>
    </row>
    <row r="264">
      <c r="A264" t="inlineStr">
        <is>
          <t>b9w44r</t>
        </is>
      </c>
      <c r="B264" t="inlineStr">
        <is>
          <t>Interesting Thing that happens to my Vision in the Morning</t>
        </is>
      </c>
      <c r="C264" t="inlineStr">
        <is>
          <t>Not really a serious concern but more just curious as to if anyone has insight into something I’ve noticed. When I wake up early, like before the sun has come up, and go to the bathroom, I have noticed a weird sensation. The lights in the bathroom are very bright.  I’ll leave the bathroom and turn off the light. When I do this my vision takes time to adjust but it will be in waves it seems. Like I can see the stages of my eyes adjusting to the darkness again. What’s the cause of that? It’s actually pretty cool and I’ve just recently had my eyes checked and everything looks normal (besides an irregular oct that seems to be nothing), so this is more out of curiousity than anything.</t>
        </is>
      </c>
      <c r="D264" t="n">
        <v>1</v>
      </c>
      <c r="E264" t="n">
        <v>0</v>
      </c>
      <c r="F264">
        <f>HYPERLINK("https://www.reddit.com/r/eyetriage/comments/b9w44r/interesting_thing_that_happens_to_my_vision_in/")</f>
        <v/>
      </c>
      <c r="G264" t="inlineStr">
        <is>
          <t>2019-04-05 13:17:59</t>
        </is>
      </c>
      <c r="H264" t="inlineStr"/>
    </row>
    <row r="265">
      <c r="A265" t="inlineStr">
        <is>
          <t>b9xayw</t>
        </is>
      </c>
      <c r="B265" t="inlineStr">
        <is>
          <t>Comparing active ingredients in gel eye drops</t>
        </is>
      </c>
      <c r="C265" t="inlineStr">
        <is>
          <t xml:space="preserve">I had LASIK about 4 months ago and am having some dry eye issues. My doctor recommended gel drops. While looking at active ingredients I found one kind using Hypromellose (.3%) and another using Polyethylene Glycol (.4%) and Propylene Glycol (.3%). What are the differences? What would you recommend, and why? Thanks for your help! </t>
        </is>
      </c>
      <c r="D265" t="n">
        <v>1</v>
      </c>
      <c r="E265" t="n">
        <v>2</v>
      </c>
      <c r="F265">
        <f>HYPERLINK("https://www.reddit.com/r/eyetriage/comments/b9xayw/comparing_active_ingredients_in_gel_eye_drops/")</f>
        <v/>
      </c>
      <c r="G265" t="inlineStr">
        <is>
          <t>2019-04-05 15:03:23</t>
        </is>
      </c>
      <c r="H265" t="inlineStr"/>
    </row>
    <row r="266">
      <c r="A266" t="inlineStr">
        <is>
          <t>ba16t3</t>
        </is>
      </c>
      <c r="B266" t="inlineStr">
        <is>
          <t>Eyelid Pain</t>
        </is>
      </c>
      <c r="C266" t="inlineStr">
        <is>
          <t>Hello,  
I've been experiencing some sudden eyelid pain and am wondering if this is a serious issue. It happened yesterday while I was working out, and while I normally wouldn't be concerned, it has not gone away after 24 hours (though the pain has lessened). It is in my right eye, and the very small amount of pain comes when I blink hard (i.e. intentionally try to shut my eye). Another point of concern is that I've been some twitches around my right eye, and also a double eyelid has been forming in the past couple months (I usually have a single eyelid). With all these compounding observations, I am wondering if I should book an appointment with an ophthalmologist/optometrist ASAP, but am not sure if this is an overreaction. Any help would be greatly appreciated!</t>
        </is>
      </c>
      <c r="D266" t="n">
        <v>1</v>
      </c>
      <c r="E266" t="n">
        <v>0</v>
      </c>
      <c r="F266">
        <f>HYPERLINK("https://www.reddit.com/r/eyetriage/comments/ba16t3/eyelid_pain/")</f>
        <v/>
      </c>
      <c r="G266" t="inlineStr">
        <is>
          <t>2019-04-05 22:32:17</t>
        </is>
      </c>
      <c r="H266" t="inlineStr"/>
    </row>
    <row r="267">
      <c r="A267" t="inlineStr">
        <is>
          <t>ba32cs</t>
        </is>
      </c>
      <c r="B267" t="inlineStr">
        <is>
          <t>Ultra-wide field retinal scan AFTER dilation (cross-post)</t>
        </is>
      </c>
      <c r="C267" t="inlineStr">
        <is>
          <t>Hi,
I was at the optometrist today and after doing a check by dilating my eyes, I was given a scan using the Octos Optomap.
My concern is that dilating the eyes already allows a lot more light in and the Optomap shines a very bright light/laser as well. Could the bright shine of the Optomap damage the eyes after dilation?
Made a post in another sub-forum but was told this is the right sub-forum to ask questions, so I apologize for the cross-post.
Thanks in advance for your time.</t>
        </is>
      </c>
      <c r="D267" t="n">
        <v>1</v>
      </c>
      <c r="E267" t="n">
        <v>5</v>
      </c>
      <c r="F267">
        <f>HYPERLINK("https://www.reddit.com/r/eyetriage/comments/ba32cs/ultrawide_field_retinal_scan_after_dilation/")</f>
        <v/>
      </c>
      <c r="G267" t="inlineStr">
        <is>
          <t>2019-04-06 03:37:56</t>
        </is>
      </c>
      <c r="H267" t="inlineStr"/>
    </row>
    <row r="268">
      <c r="A268" t="inlineStr">
        <is>
          <t>ba88uk</t>
        </is>
      </c>
      <c r="B268" t="inlineStr">
        <is>
          <t>Uncomfortable feeling while reading on computer/mobile phone</t>
        </is>
      </c>
      <c r="C268" t="inlineStr">
        <is>
          <t>Lately, I get a really weird feeling while reading on a display especially at night. I can still read the words just fine but it feels like i cant really concentrate on them and its hard to focus. My eyes get tired really fast because of it and its really hard to focus while in class.
It all began after i got new glasses but I already went 3 times to the optometris and they were sure that the glasses weren't the problem. I will go to a ophthalmologist next but i worry that he doesnt know whats wrong with me either, so im looking for people who have similiar problems, in order to get a more clear picture on whats wrong with my eyes.
Any help would be much appreciated.</t>
        </is>
      </c>
      <c r="D268" t="n">
        <v>2</v>
      </c>
      <c r="E268" t="n">
        <v>7</v>
      </c>
      <c r="F268">
        <f>HYPERLINK("https://www.reddit.com/r/eyetriage/comments/ba88uk/uncomfortable_feeling_while_reading_on/")</f>
        <v/>
      </c>
      <c r="G268" t="inlineStr">
        <is>
          <t>2019-04-06 12:56:13</t>
        </is>
      </c>
      <c r="H268" t="inlineStr"/>
    </row>
    <row r="269">
      <c r="A269" t="inlineStr">
        <is>
          <t>baa0eu</t>
        </is>
      </c>
      <c r="B269" t="inlineStr">
        <is>
          <t>5 days post-vitrectomy to treat detached retina</t>
        </is>
      </c>
      <c r="C269" t="inlineStr">
        <is>
          <t>Howdy!
TL:DR-I’m five days removed from a vitrectomy to repair a detached retina (developed a tear about a month after congenital cataract surgery) and today I’m seeing lots of floaters in the ‘liquid’ (extreme upper) portion of my vision. No ‘black spots’ like what I experienced with the RD. I have a follow up on Thursday...should I go in before then?
Long version:
Had surgery for a congenital cataract at the end of February. On the way to my one month check up i noticenoticed that I had more floaters in my field of vision. Told ophthalmologist, and she diagnosed me with a retina tear. 
She immediately lasered it, and also a ‘suspicious’ spot as well. After the dilation wore off, I noticed many additional ‘background noise’ floaters, a very large new floater, and a large dark spot in the bottom of my vision. Called back into the office later that day and mentioned those things and was blown off by a tech. Called back after hours to get the on-call doctor. She told me it was unlikely that I had a detachment so soon after retina repair. 
Come Friday, the dark spot was growing a bit (a semi-circle coming up 1/3 of the way to the top of my field of vision), so I called the office again. Was told by a tech (again) that it was ‘fine’. On Sunday, the dark spot was approaching my center vision and I freaked out, so I went to the ER. They called my ophthalmologist (different on-call doctor), who told me not to eat or drink anything after 9pm, and to get into their office at 8am. So that was fun. 
Went in at 8 and was told that I had a detached retina. Was immediately referred to a retina specialist at 12:30. After pictures were taken, I was told that the fluid was only 300 microns from the macula, but the surgeon didn’t seem overly interested in doing it that day. I pointed out that I’d actually had this detachment since last Wednesday, and he relented. 
Had a vitrectomy that evening, and the eye was not quite filled up all the way with gas. I believe the detachment was on the superior part of the eye (good b/c staying upright is good for the bubble). Post-op visit the next day was fine, and was told to sleep either face down or on my right, and not to read for at least a week (among other instructions). 
I’ve done pretty well on not reading, except for times when it doesn’t occur to me that I’m ‘reading’, and I’ve been religious about sleeping on my right side (face down is hard). 
Today I noticed quite a few more floaters in the upper part of my field of vision (the liquid part of my vision). The bottom edge of that liquid is a bit above my center vision. 
All of that said, I’d love some insight on my questions:
1. These floaters seem to be of the ‘background noise’ variety (i.e. evenly dispersed, no really recognizable structures that are visible in the majority of the liquid vision area). It occurred to me that perhaps they’ve been there since the surgery but I’m only now noticing because fluid level is increasing or vision is improving. Is that normal, or should I be concerned about a new tear in the retina?
2. One of my incision sites seems to be ‘blowing bubbles’. This is not constant, and I’m not sure if it’s from a bit of gas escaping or from the eye moving around and ‘capturing’ tiny amount sof air in the incision/flap area. Is this normal?
3. Would sleeping face-down be better than on my right, assuming I’m correct about the location of the detachment?
4. Aside from a black spot in my vision (don’t have that...whole vision field seems fine...just varying degrees of blurry), anything else that would prompt me to get in to the retina specialist before my Thursday appointment?
Apologies for the length, and thank for any comments (either from professionals or folks who have been through this before)!</t>
        </is>
      </c>
      <c r="D269" t="n">
        <v>1</v>
      </c>
      <c r="E269" t="n">
        <v>0</v>
      </c>
      <c r="F269">
        <f>HYPERLINK("https://www.reddit.com/r/eyetriage/comments/baa0eu/5_days_postvitrectomy_to_treat_detached_retina/")</f>
        <v/>
      </c>
      <c r="G269" t="inlineStr">
        <is>
          <t>2019-04-06 15:56:19</t>
        </is>
      </c>
      <c r="H269" t="inlineStr"/>
    </row>
    <row r="270">
      <c r="A270" t="inlineStr">
        <is>
          <t>babr5c</t>
        </is>
      </c>
      <c r="B270" t="inlineStr">
        <is>
          <t>Persistent blurry vision after ophthalmoscopy</t>
        </is>
      </c>
      <c r="C270" t="inlineStr">
        <is>
          <t>Hi all,
I've always had healthy eyes and quite excellent visual acuity. I should mention that originally my **right eye** had been *slighty* worse than my left eye but it was not worth mentioning and the doctor back then (eye exam for driver's license) said overall my vision would still be excellent.
Anyway, about a year ago I made an appointment because sometimes I was seeing some slight strings in my right eye. The doctor checked my eye out and apparently it was completely normal/harmless (floaters).
Now to my actual problem: During the exam the doctor used a mydriatic on that very eye (**right one**) to make sure my retina is fine. I've had the usual side effects (being sensitive to light for a couple of hours on that eye) but eversince I've had this exam my **left eye** has lost its perfect vision.
I didn't think anything of it because I thought it would go away on it's own and never really restricted me but up to this day it's been like this. 
My left eye used to have perfect vision and now I feel, especially when I'm tired, it's worse than my right eye.
What could have happened there? I mean the mydriatic had been used on my right eye and not on my left one but it must have something to do with the exam because it would be a crazy coincidence that I have lost some visual acuity the day after my visit to the doctor.
You might ask yourself why I never went to the doctor with this and to be honest I don't know either. It's probably because despite of this, I still have pretty good vision and I've been thinking of it as a little ache, nothing more.
Male, 28y old.</t>
        </is>
      </c>
      <c r="D270" t="n">
        <v>1</v>
      </c>
      <c r="E270" t="n">
        <v>0</v>
      </c>
      <c r="F270">
        <f>HYPERLINK("https://www.reddit.com/r/eyetriage/comments/babr5c/persistent_blurry_vision_after_ophthalmoscopy/")</f>
        <v/>
      </c>
      <c r="G270" t="inlineStr">
        <is>
          <t>2019-04-06 19:15:34</t>
        </is>
      </c>
      <c r="H270" t="inlineStr"/>
    </row>
    <row r="271">
      <c r="A271" t="inlineStr">
        <is>
          <t>bac9lu</t>
        </is>
      </c>
      <c r="B271" t="inlineStr">
        <is>
          <t>[FINAL UPDATE] Eye infection for a month+, antibiotics not helping, doctors seem stumped</t>
        </is>
      </c>
      <c r="C271" t="inlineStr">
        <is>
          <t>[Original post](https://www.reddit.com/r/eyetriage/comments/aw0sth/eye_infection_for_a_month_antibiotics_not_helping/)
[Update post](https://www.reddit.com/r/eyetriage/comments/b55t3w/update_eye_infection_for_a_month_antibiotics_not/)
I have a final update. You guys are great, everyone was so helpful and it was really nice to know for the almost three months that I was miserable, that strangers on the internet wanted to know what was wrong with me. :D I learned so much about all the horrible things that could have been wrong with my eyeball. (Most notably, avian chlamydia. Which thankfully it was NOT because who wants to explain they have a bird STD in their eye, come on.)
After my parade of doctors, nothing was better. Pretty much resigned to my fate of ocular oozing for eternity, I went back to my original ophthalmologist, who had first diagnosed me with allergies. After I saw him that first time, he wasn't available when I went back to the office, so I saw another doctor there who then shuffled me off to cornea specialists, etc. Kinda wish he'd been around for my second appointment because I feel like maybe I wouldn't have been miserable for so long. :/ I should get that man a fruit basket or a Starbucks card or something. 
He took a look at me, dropped some dye in, handed me two boxes of lubricating eye drops and basically told me that those drops and I were now best friends, and to stop putting all the other shit in my eyes everyone else had been prescribing that was only making the situation worse.
Y'all. 
DRY. EYES. DRY MOTHERFUCKING EYES.
I was suspicious at first. Sure I have dry eyes, I've only been stuffing them full of various drops for freaking months. But after that week of Refresh drops and allergy drops ... okay, it did clear up for a week before coming back ... I was willing to try it. I was basically willing to try anything, including black magic, to flipping see again.
So I have been religiously dumping a combo of Systane and Refresh drops into my peepers for a week. I saw some gradual improvement. Hope sprung. And TODAY. Today has been the first day since mid-January that I have been able to SEE. I haven't had to wipe goop out of my eye even once. SMEAGOL IS FREE. 
Yeah. My months-long horror show was basically the most mundane eye problem in the world. I have no idea why it was only my left eye. I have no idea what it was doing producing the nastiest-looking mucus ever as a result of being too dry. I have no idea how no one else figured it out. But it seems to be over and I am goddamned thrilled, and I am taking those little vials of Refresh with me literally everywhere I go from now on.</t>
        </is>
      </c>
      <c r="D271" t="n">
        <v>16</v>
      </c>
      <c r="E271" t="n">
        <v>2</v>
      </c>
      <c r="F271">
        <f>HYPERLINK("https://www.reddit.com/r/eyetriage/comments/bac9lu/final_update_eye_infection_for_a_month/")</f>
        <v/>
      </c>
      <c r="G271" t="inlineStr">
        <is>
          <t>2019-04-06 20:19:17</t>
        </is>
      </c>
      <c r="H271" t="inlineStr"/>
    </row>
    <row r="272">
      <c r="A272" t="inlineStr">
        <is>
          <t>bag8v6</t>
        </is>
      </c>
      <c r="B272" t="inlineStr">
        <is>
          <t>Is it bad to only wear one contact when I need them in both eyes?</t>
        </is>
      </c>
      <c r="C272" t="inlineStr">
        <is>
          <t xml:space="preserve">For the past year or two I have been doing this and I haven’t noticed any negative effects on my eyes. I don’t experience headaches when I do this like a lot of people report. I am nearsighted and whichever eye I am wearing my contact seems to correct for the other eye, so I have no problem reading or seeing at distance. Each month when I change contacts i change which eye gets a contact. I started doing this because I have bad allergies and I found often times one contact would fall out anyway. </t>
        </is>
      </c>
      <c r="D272" t="n">
        <v>1</v>
      </c>
      <c r="E272" t="n">
        <v>3</v>
      </c>
      <c r="F272">
        <f>HYPERLINK("https://www.reddit.com/r/eyetriage/comments/bag8v6/is_it_bad_to_only_wear_one_contact_when_i_need/")</f>
        <v/>
      </c>
      <c r="G272" t="inlineStr">
        <is>
          <t>2019-04-07 06:30:30</t>
        </is>
      </c>
      <c r="H272" t="inlineStr"/>
    </row>
    <row r="273">
      <c r="A273" t="inlineStr">
        <is>
          <t>bagwa5</t>
        </is>
      </c>
      <c r="B273" t="inlineStr">
        <is>
          <t>Different prescriptions from every optician and eye doctor i go to. Struggling to read books.</t>
        </is>
      </c>
      <c r="C273" t="inlineStr">
        <is>
          <t>Gone to two opticians to get my prescription checked. I am clearly nearsighted, but very confused when it comes to close work. It is clear enough to be read but is it also behind the border of want want to read books.
Optician 1: You are nearsighted. Use your nearsighted glasses if you want to.
Optician 2: You are nearsighted, but also need reading glasses for up close work.
Eye doctor: You should read books without your nearsighted glasses.
Eye doctor 2: You have an eye infection. Gave me to salves to put inside my eyelid.
I am so confused. Every single person differs in their opinion and i have no idea what to do. All i want to is to be able to read books again, but it is just beyond the border of what i want. But at the same time i don't want to use reading glasses if i was given an incorrect prescription.</t>
        </is>
      </c>
      <c r="D273" t="n">
        <v>1</v>
      </c>
      <c r="E273" t="n">
        <v>2</v>
      </c>
      <c r="F273">
        <f>HYPERLINK("https://www.reddit.com/r/eyetriage/comments/bagwa5/different_prescriptions_from_every_optician_and/")</f>
        <v/>
      </c>
      <c r="G273" t="inlineStr">
        <is>
          <t>2019-04-07 07:41:51</t>
        </is>
      </c>
      <c r="H273" t="inlineStr"/>
    </row>
    <row r="274">
      <c r="A274" t="inlineStr">
        <is>
          <t>bahc6x</t>
        </is>
      </c>
      <c r="B274" t="inlineStr">
        <is>
          <t>Are Air Optix HydraGlyde for astigmatism better than regular the AirOptix for astigmatism?</t>
        </is>
      </c>
      <c r="C274" t="inlineStr">
        <is>
          <t>Asking this because my eyes tend to get aa little dry and I saw this new type of lenses, but wondering if they're as good as the others for astigmatism.</t>
        </is>
      </c>
      <c r="D274" t="n">
        <v>1</v>
      </c>
      <c r="E274" t="n">
        <v>0</v>
      </c>
      <c r="F274">
        <f>HYPERLINK("https://www.reddit.com/r/eyetriage/comments/bahc6x/are_air_optix_hydraglyde_for_astigmatism_better/")</f>
        <v/>
      </c>
      <c r="G274" t="inlineStr">
        <is>
          <t>2019-04-07 08:24:19</t>
        </is>
      </c>
      <c r="H274" t="inlineStr"/>
    </row>
    <row r="275">
      <c r="A275" t="inlineStr">
        <is>
          <t>baj1tw</t>
        </is>
      </c>
      <c r="B275" t="inlineStr">
        <is>
          <t>What would cause paresthesia of the Ophthalmic Nerve (V1)?</t>
        </is>
      </c>
      <c r="C275" t="inlineStr">
        <is>
          <t>For the past 6 months I have been experiencing a strong unilateral (right side only) paresthesia sensation (pins and needles) on my face of the Ophthalmic Nerve (V1) &amp;amp; some what on the Maxillary Nerve (V2) - see picture here: https://dbmmu5j6lxew.cloudfront.net/pe-trigeminal-fig1.jpg
The sensation just started suddenly one day. It has not gotten worse and is not causing any pain, nor is it causing any numbness or reduction in sensation to the skin. Just a very strong paresthesia type of sensation that is consistent.
Blood work and physicals are normal and an optometrist appointment was normal. I have not had any head imaging done.
I have a small prescription (-0.75) for distance. What's weird is if I I wear my glasses, it reduces the paresthesia by like 50%. Clonazepam also reduces the sensation by about 50%.
I find that stimulants, caffeine, stress/anxiety, and sauna use make's the sensation worse.</t>
        </is>
      </c>
      <c r="D275" t="n">
        <v>2</v>
      </c>
      <c r="E275" t="n">
        <v>0</v>
      </c>
      <c r="F275">
        <f>HYPERLINK("https://www.reddit.com/r/eyetriage/comments/baj1tw/what_would_cause_paresthesia_of_the_ophthalmic/")</f>
        <v/>
      </c>
      <c r="G275" t="inlineStr">
        <is>
          <t>2019-04-07 10:59:53</t>
        </is>
      </c>
      <c r="H275" t="inlineStr"/>
    </row>
    <row r="276">
      <c r="A276" t="inlineStr">
        <is>
          <t>bapelv</t>
        </is>
      </c>
      <c r="B276" t="inlineStr">
        <is>
          <t>White without pressure? (WWP nasal)</t>
        </is>
      </c>
      <c r="C276" t="inlineStr">
        <is>
          <t xml:space="preserve">The opthamologist put this on my left eye as a note. I am highly myopic at -10D but he didnt say anything about this. I am worried about this, can anyone explain? I am only 30. </t>
        </is>
      </c>
      <c r="D276" t="n">
        <v>1</v>
      </c>
      <c r="E276" t="n">
        <v>3</v>
      </c>
      <c r="F276">
        <f>HYPERLINK("https://www.reddit.com/r/eyetriage/comments/bapelv/white_without_pressure_wwp_nasal/")</f>
        <v/>
      </c>
      <c r="G276" t="inlineStr">
        <is>
          <t>2019-04-07 21:32:51</t>
        </is>
      </c>
      <c r="H276" t="inlineStr"/>
    </row>
    <row r="277">
      <c r="A277" t="inlineStr">
        <is>
          <t>bawqu6</t>
        </is>
      </c>
      <c r="B277" t="inlineStr">
        <is>
          <t>Eye Pressure L23, R27</t>
        </is>
      </c>
      <c r="C277" t="inlineStr">
        <is>
          <t>Is it high? The doctor said it's high but didn't care about it or further test. What do you guys think? Opinions? Is is high? I am 27</t>
        </is>
      </c>
      <c r="D277" t="n">
        <v>1</v>
      </c>
      <c r="E277" t="n">
        <v>12</v>
      </c>
      <c r="F277">
        <f>HYPERLINK("https://www.reddit.com/r/eyetriage/comments/bawqu6/eye_pressure_l23_r27/")</f>
        <v/>
      </c>
      <c r="G277" t="inlineStr">
        <is>
          <t>2019-04-08 10:42:03</t>
        </is>
      </c>
      <c r="H277" t="inlineStr"/>
    </row>
    <row r="278">
      <c r="A278" t="inlineStr">
        <is>
          <t>bb38r5</t>
        </is>
      </c>
      <c r="B278" t="inlineStr">
        <is>
          <t>Best things to do for your eye health</t>
        </is>
      </c>
      <c r="C278" t="inlineStr">
        <is>
          <t>Hi, I’ve had a few issues with my eyes over the last 4 years and I’m wondering what are a. Some good supplements for eye health, b. What are some things I can do to prevent eye disease and c. Just any general info on what not to do and what to with when it comes to eye health.
Thanks ♥️</t>
        </is>
      </c>
      <c r="D278" t="n">
        <v>1</v>
      </c>
      <c r="E278" t="n">
        <v>1</v>
      </c>
      <c r="F278">
        <f>HYPERLINK("https://www.reddit.com/r/eyetriage/comments/bb38r5/best_things_to_do_for_your_eye_health/")</f>
        <v/>
      </c>
      <c r="G278" t="inlineStr">
        <is>
          <t>2019-04-08 20:44:00</t>
        </is>
      </c>
      <c r="H278" t="inlineStr"/>
    </row>
    <row r="279">
      <c r="A279" t="inlineStr">
        <is>
          <t>bb3u8g</t>
        </is>
      </c>
      <c r="B279" t="inlineStr">
        <is>
          <t>Prescription Doubt.</t>
        </is>
      </c>
      <c r="C279" t="inlineStr">
        <is>
          <t>I'm so sorry if this is not the place, but to be honest i don't really use forums outside of reddit and didn't know where else to go.
I'm having my first glasses made, and since my country is expensive as hell, i'll order from outside (ZenniOptical).
My graduation is:
R: -0.75 -0.75 x175
L: -0.75 -1.25 x0
Thing is, Zenni doesn't allow for the 0 there. Is the prescription wrong? Should i go to another optometrist? Should i just put a "1" and deal with it?
Again, sorry for the mayhaps out of place question, but it's a building of doubts over doubts, and money is in the mix.
Thanks in advance!</t>
        </is>
      </c>
      <c r="D279" t="n">
        <v>0</v>
      </c>
      <c r="E279" t="n">
        <v>3</v>
      </c>
      <c r="F279">
        <f>HYPERLINK("https://www.reddit.com/r/eyetriage/comments/bb3u8g/prescription_doubt/")</f>
        <v/>
      </c>
      <c r="G279" t="inlineStr">
        <is>
          <t>2019-04-08 21:54:23</t>
        </is>
      </c>
      <c r="H279" t="inlineStr"/>
    </row>
    <row r="280">
      <c r="A280" t="inlineStr">
        <is>
          <t>bb5bol</t>
        </is>
      </c>
      <c r="B280" t="inlineStr">
        <is>
          <t>Third corneal ulcer in 4 years?</t>
        </is>
      </c>
      <c r="C280" t="inlineStr">
        <is>
          <t>Hello, a few days ago I started experiencing subtle piercing pain in my right eye. The issue feels consistent with a problem I've dealt with twice the past, namely corneal ulcers: first on the left eye 4 years ago, second on the right eye 1 year ago. When I had the first ulcer I waited too long and it got to the point where simply seeing brightly colored objects would trigger intense pain, tearing, photophobia and eventually caused me to lose my chamber and have blurred vision. I was hospitalized for about two months and underwent several treatments and procedures in that time but eventually my eye healed and hasn't bothered me since. Then to my surprise I got the exact same thing on my other eye three years later, only this time I caught it early on and it was fixed within a week just with physiological serum and a therapeutic lens. Or so I thought.
The specialists I've consulted were clueless as to what might've caused the ulcers, though most of them pointed to physical trauma. The last one suggested that my corneas might be unusually thin and more prone to "breaking" due to dryness and prescribed me [these eye drops](http://www.labticianthea.com/products/thealoz-duo/) which I take every 3 hours or so. Something else she pointed out is that both ulcers happened in the exact same spot on both eyes, which if anything makes the whole thing even more confusing.
The earliest I could get an appointment with an ophthalmologist is on Monday but in the meantime I was wondering if there's anybody here that might've dealt with cases like mine in the past and could clue me in on what might be causing it. I'm completely in the dark right now and something tells me that unless I meet someone whose dealt with this in the past I'll remain that way.
Any help is appreciated.</t>
        </is>
      </c>
      <c r="D280" t="n">
        <v>1</v>
      </c>
      <c r="E280" t="n">
        <v>7</v>
      </c>
      <c r="F280">
        <f>HYPERLINK("https://www.reddit.com/r/eyetriage/comments/bb5bol/third_corneal_ulcer_in_4_years/")</f>
        <v/>
      </c>
      <c r="G280" t="inlineStr">
        <is>
          <t>2019-04-09 01:14:05</t>
        </is>
      </c>
      <c r="H280" t="inlineStr"/>
    </row>
    <row r="281">
      <c r="A281" t="inlineStr">
        <is>
          <t>bbazs2</t>
        </is>
      </c>
      <c r="B281" t="inlineStr">
        <is>
          <t>Eye bone pain</t>
        </is>
      </c>
      <c r="C281" t="inlineStr">
        <is>
          <t>Hi r/eyetriage
First my ophthalmologist is already researching this but I wanted to see if any others might have an idea of what this is.
I have a slew of eye conditions: Retinitis Pigmentosa, cystoid macular edema, uveitis, pars planitis, iridocyclitis, blepharitis, and tear film insufficiency.
I take restasis drops 2 times a day and diamox 500mg 2 times a day for the CME..yuck.
The best way I can explain this is my eye bone (I know that’s not the right term) on the outside corner about where my bottom and top eyelid meet, is very tender. It’s bilateral and I’ve always assumed it was something to do with all these headaches I get, which I assumed is because of how crap my eyes are. The pain does not follow up the bone but I also have some tenderness on the inside corner.
My eyes also feel like I have strained them or pulled a muscle, looking down and to the side causes more pain and I have a fairly consistent headache behind my eyes.
My ophthalmologist yesterday said something about a ligament on the outside corner and I want to say he said something about it possibly being inflamed.  He is doing more research on it because he didn’t have an answer for me right then. 
Has anyone seen this before? Know what that ligament is called?</t>
        </is>
      </c>
      <c r="D281" t="n">
        <v>2</v>
      </c>
      <c r="E281" t="n">
        <v>8</v>
      </c>
      <c r="F281">
        <f>HYPERLINK("https://www.reddit.com/r/eyetriage/comments/bbazs2/eye_bone_pain/")</f>
        <v/>
      </c>
      <c r="G281" t="inlineStr">
        <is>
          <t>2019-04-09 10:49:04</t>
        </is>
      </c>
      <c r="H281" t="inlineStr"/>
    </row>
    <row r="282">
      <c r="A282" t="inlineStr">
        <is>
          <t>bbdw4y</t>
        </is>
      </c>
      <c r="B282" t="inlineStr">
        <is>
          <t>Lots of problems, but minorly.</t>
        </is>
      </c>
      <c r="C282" t="inlineStr">
        <is>
          <t>Not a question or anything, more of an ask around to find some people with  similar issues to me. 
So I have a multitude of eye problems, but I have them all pretty minorly in the grand scheme of things. I never feel validated to say "I can't see that, could you read it for me?" because I can never really blame it on one problem. Is this the same for anyone else?
 I have: myopia, astigmatism, double vision (monocular), double vision (binocular), muscle weakness, involuntary eye movement, converge insufficiency and a lot of headaches. Note that I can only get glasses for the first two. I also lack depth perception and have distorted vision.</t>
        </is>
      </c>
      <c r="D282" t="n">
        <v>3</v>
      </c>
      <c r="E282" t="n">
        <v>4</v>
      </c>
      <c r="F282">
        <f>HYPERLINK("https://www.reddit.com/r/eyetriage/comments/bbdw4y/lots_of_problems_but_minorly/")</f>
        <v/>
      </c>
      <c r="G282" t="inlineStr">
        <is>
          <t>2019-04-09 14:50:21</t>
        </is>
      </c>
      <c r="H282" t="inlineStr"/>
    </row>
    <row r="283">
      <c r="A283" t="inlineStr">
        <is>
          <t>bbf4t5</t>
        </is>
      </c>
      <c r="B283" t="inlineStr">
        <is>
          <t>What causes eye floaters?</t>
        </is>
      </c>
      <c r="C283" t="inlineStr">
        <is>
          <t>I’ve noticed I have eye floaters, what does this mean? 😭😭</t>
        </is>
      </c>
      <c r="D283" t="n">
        <v>1</v>
      </c>
      <c r="E283" t="n">
        <v>12</v>
      </c>
      <c r="F283">
        <f>HYPERLINK("https://www.reddit.com/r/eyetriage/comments/bbf4t5/what_causes_eye_floaters/")</f>
        <v/>
      </c>
      <c r="G283" t="inlineStr">
        <is>
          <t>2019-04-09 16:44:38</t>
        </is>
      </c>
      <c r="H283" t="inlineStr"/>
    </row>
    <row r="284">
      <c r="A284" t="inlineStr">
        <is>
          <t>bbmfe8</t>
        </is>
      </c>
      <c r="B284" t="inlineStr">
        <is>
          <t>One eye closed, dark veil comes and goes. Is this normal?</t>
        </is>
      </c>
      <c r="C284" t="inlineStr">
        <is>
          <t>Whenever I close one eye, (either one).  A dark veil comes and goes in vision.
&amp;amp;#x200B;
Lasts 5-30 seconds.  Usually comes from one side or top / bottom, (varies) Sometimes forms a collapsing tunnel of all black that closes in on center of vision, then quickly fades once vision goes all black.
&amp;amp;#x200B;
No idea if this is normal or not.
&amp;amp;#x200B;
Also getting a slight darkening ring around center of vision.  Like a donut. Effect is subtle.</t>
        </is>
      </c>
      <c r="D284" t="n">
        <v>1</v>
      </c>
      <c r="E284" t="n">
        <v>2</v>
      </c>
      <c r="F284">
        <f>HYPERLINK("https://www.reddit.com/r/eyetriage/comments/bbmfe8/one_eye_closed_dark_veil_comes_and_goes_is_this/")</f>
        <v/>
      </c>
      <c r="G284" t="inlineStr">
        <is>
          <t>2019-04-10 07:06:18</t>
        </is>
      </c>
      <c r="H284" t="inlineStr"/>
    </row>
    <row r="285">
      <c r="A285" t="inlineStr">
        <is>
          <t>bbozrn</t>
        </is>
      </c>
      <c r="B285" t="inlineStr">
        <is>
          <t>23yr old with higher IOP</t>
        </is>
      </c>
      <c r="C285" t="inlineStr">
        <is>
          <t>I am seeking some advice or ideas on what is currently going on with my IOP to try and alleviate my fear/stress. Thanks in advance!
At my last regularly scheduled eye exam (last August) I was informed I have above average IOP (27), and that it has been higher in the two years prior as well. I went back a couple weeks later to take the field vision test  and I did great, and then when she examined my eyes at the rod and cone layer, everything looked great as well. I believe even my optic nerve looked normal, too. However, she said the next time I come in, if it’s still high, we will have consider starting eye drops to prevent Glaucoma. This, of course, has caused me QUITE a bit of stress as I am rather young to even be thinking of Glaucoma, and I am concerned as to why she seem rushed to prevent if everything seems healthy. She told me there isn’t really anything I can do to help it, but I would really appreciate outside opinions on the situation. 
Note: I would most likely be considered a high stress individual and perhaps that is why it is so high? I work full time while attending school full time (and have been for the past 4 years), so lots of stressors on top of a hectic personal life. I do not sleep as much as I probably should (6-8 hours a night), and I do drink quite a bit of caffeine some days. 
Again, any and all advice/ideas/suggestions are very much appreciated! Thank you for reading.</t>
        </is>
      </c>
      <c r="D285" t="n">
        <v>1</v>
      </c>
      <c r="E285" t="n">
        <v>3</v>
      </c>
      <c r="F285">
        <f>HYPERLINK("https://www.reddit.com/r/eyetriage/comments/bbozrn/23yr_old_with_higher_iop/")</f>
        <v/>
      </c>
      <c r="G285" t="inlineStr">
        <is>
          <t>2019-04-10 10:46:10</t>
        </is>
      </c>
      <c r="H285" t="inlineStr"/>
    </row>
    <row r="286">
      <c r="A286" t="inlineStr">
        <is>
          <t>bc6t0t</t>
        </is>
      </c>
      <c r="B286" t="inlineStr">
        <is>
          <t>How effective is e ink in reducing eye strain?</t>
        </is>
      </c>
      <c r="C286" t="inlineStr">
        <is>
          <t>Hey everybody, a relatively simple question. 
I've been suffering from bad eye streen for a while now and I've read that e ink screens should be far easier on the eyes. 
Is there any truth to this? There are some tablets out there with an e ink screen, but they're quite expensive.
Any experience would be appreciated!</t>
        </is>
      </c>
      <c r="D286" t="n">
        <v>2</v>
      </c>
      <c r="E286" t="n">
        <v>4</v>
      </c>
      <c r="F286">
        <f>HYPERLINK("https://www.reddit.com/r/eyetriage/comments/bc6t0t/how_effective_is_e_ink_in_reducing_eye_strain/")</f>
        <v/>
      </c>
      <c r="G286" t="inlineStr">
        <is>
          <t>2019-04-11 16:38:09</t>
        </is>
      </c>
      <c r="H286" t="inlineStr"/>
    </row>
    <row r="287">
      <c r="A287" t="inlineStr">
        <is>
          <t>bc7oai</t>
        </is>
      </c>
      <c r="B287" t="inlineStr">
        <is>
          <t>Desperate for allergy eye relief</t>
        </is>
      </c>
      <c r="C287" t="inlineStr">
        <is>
          <t>Hey guys, I have an itchy eye due to allergy season. I have been taking a daily antihistamine (Zyrtec) as well as olopatadine drops (generic patanol) for several days now. I still have very little relief in the affected eye and I’m beginning to get desperate. Any ideas or suggestions to help alleviate the itch? Thank you!</t>
        </is>
      </c>
      <c r="D287" t="n">
        <v>1</v>
      </c>
      <c r="E287" t="n">
        <v>4</v>
      </c>
      <c r="F287">
        <f>HYPERLINK("https://www.reddit.com/r/eyetriage/comments/bc7oai/desperate_for_allergy_eye_relief/")</f>
        <v/>
      </c>
      <c r="G287" t="inlineStr">
        <is>
          <t>2019-04-11 18:07:05</t>
        </is>
      </c>
      <c r="H287" t="inlineStr"/>
    </row>
    <row r="288">
      <c r="A288" t="inlineStr">
        <is>
          <t>bc93wl</t>
        </is>
      </c>
      <c r="B288" t="inlineStr">
        <is>
          <t>24/7 allergy sufferer. Sudden intense redness in the corner of my right eye, but there's no pus and it doesn't bother me more than usual. Worth seeing a doctor?</t>
        </is>
      </c>
      <c r="C288" t="inlineStr">
        <is>
          <t>My allergies have been pretty bad the last few days since I ran out of meds, lots of sinus issues and phlegm. But I've never ever had red eye like this. And it's only in half of my right eye (on the side towards my nose) and doesn't seem to be spreading. I have allergies and both my eyes itch regularly, and honestly this eye feels better than the normal looking one. In the morning it's actually easier to open this eye than the other. It feels a little warm but it's not really a  burning sensation. There's absolutely 0 pus or crustiness either. 
I do wear contact lenses every day.
I'm pretty certain it's just allergies but my family thinks it looks like pink eye, because of how concentrated it is, and that I need antibiotics. I restocked on my meds this afternoon, just some zyrtec capsules, and I'm trying to see if it goes away. How long should I wait before seeing a doctor to get some antibacterial eyedrops?</t>
        </is>
      </c>
      <c r="D288" t="n">
        <v>1</v>
      </c>
      <c r="E288" t="n">
        <v>0</v>
      </c>
      <c r="F288">
        <f>HYPERLINK("https://www.reddit.com/r/eyetriage/comments/bc93wl/247_allergy_sufferer_sudden_intense_redness_in/")</f>
        <v/>
      </c>
      <c r="G288" t="inlineStr">
        <is>
          <t>2019-04-11 20:41:39</t>
        </is>
      </c>
      <c r="H288" t="inlineStr"/>
    </row>
    <row r="289">
      <c r="A289" t="inlineStr">
        <is>
          <t>bc9krp</t>
        </is>
      </c>
      <c r="B289" t="inlineStr">
        <is>
          <t>Weird RNFL Thickness Map w/ Analysis Paperwork</t>
        </is>
      </c>
      <c r="C289" t="inlineStr">
        <is>
          <t>(Paragraph 4 is question)
Background: Before you panic at these results for me (if necessary), I’m going to an ophthalmologist in about a week. I have no medical training of any kind, but I’ve taken enough college classes to know how to find peer reviewed information. Because of this, I have been reading professional papers about optics nerve findings. After about a week of unguided research, I’ve learned enough to understand basic terminology related to conditions, but nothing that I can be sure pertains to my situation. That’s why I am here.
I’ve not seen an optometrist for several years, so this didn’t necessarily “come out of nowhere,” but who knows. I’ve finally gone in, and have been given these results to take with me to an ophthalmologist. 
I’ve been researching papilledema and IIH, and think I’m probably going to end up with a diagnoses for IIH, due to other symptoms. But, once again, I have no medical training and understand I could be missing a whole slew of things that come to an obvious diagnosis for which I have no knowledge.
The question: After much research, I’ve come to find that my RNFL Thickness Map looks absolutely insane compared to so many others that I’m seeing online. Is it that I’m off the charts, and that the reading can not be done properly? Does this reading look like something you’d imagine is accurate, or perhaps a machine error? Would you consider this weird even for a reading for drusen? Any ideas or thoughts would be greatly appreciated, as I’m probably going to drive myself mad reading online papers that seem only to be teaching me a new language.
Image: https://imgur.com/a/RDQDgEB</t>
        </is>
      </c>
      <c r="D289" t="n">
        <v>1</v>
      </c>
      <c r="E289" t="n">
        <v>4</v>
      </c>
      <c r="F289">
        <f>HYPERLINK("https://www.reddit.com/r/eyetriage/comments/bc9krp/weird_rnfl_thickness_map_w_analysis_paperwork/")</f>
        <v/>
      </c>
      <c r="G289" t="inlineStr">
        <is>
          <t>2019-04-11 21:39:12</t>
        </is>
      </c>
      <c r="H289" t="inlineStr"/>
    </row>
    <row r="290">
      <c r="A290" t="inlineStr">
        <is>
          <t>bco9va</t>
        </is>
      </c>
      <c r="B290" t="inlineStr">
        <is>
          <t>Letters disappear when reading</t>
        </is>
      </c>
      <c r="C290" t="inlineStr">
        <is>
          <t>When I’m reading words disappear.
I have way more floaters then I ever experienced before.
Even when its dark i see light spots.
It constantly feels like I’m looking through a window.
When looking at light, The spots take way longer to disappear.
When I look at a person or a object my eyes fee like they try to focus on whats behind it even if i don’t what that.
This all happend after some aura migraines. But I havent gotten an attack for 3 weeks now and this isn’t going away.
Does anyone know what thiscould be?
Mid march they didn’t find anything when examining my eyes. And neurologist keeps giving me medicine for migraines that don’t work for these symptoms 
Girl,25 years, no glasses.
(English isn’t my first language)</t>
        </is>
      </c>
      <c r="D290" t="n">
        <v>3</v>
      </c>
      <c r="E290" t="n">
        <v>1</v>
      </c>
      <c r="F290">
        <f>HYPERLINK("https://www.reddit.com/r/eyetriage/comments/bco9va/letters_disappear_when_reading/")</f>
        <v/>
      </c>
      <c r="G290" t="inlineStr">
        <is>
          <t>2019-04-13 00:53:07</t>
        </is>
      </c>
      <c r="H290" t="inlineStr"/>
    </row>
    <row r="291">
      <c r="A291" t="inlineStr">
        <is>
          <t>bcpxfp</t>
        </is>
      </c>
      <c r="B291" t="inlineStr">
        <is>
          <t>Is there something really wrong with my vision?</t>
        </is>
      </c>
      <c r="C291" t="inlineStr">
        <is>
          <t>My life has been spiraling downwards for the past year. I have been to ophthalmologists and a psychiatrist. I just came here because I don't know what else to do. I know you guys shouldn't have to deal with my bullshit but I desperately need some input. **I try to remain as rational as possible and ignore these as much as possible but they are taking a toll on me. I just want you read the following if you will and tell me if its all in my head like everyone seems to think or is it real?** I am 25.
One day about an year ago I woke up with my **vision looking different**. After careful examination I found that as if someone had increased the transparency of my left eye, my left eye was seeing slightly darker, colours were less vibrant and my right eye was filling in for my right eye. I went to an ophthalmologist for an eye check up, he did a dilated exam and found nothing and asked me to do a Visual field test, VEP and MRI. Here I should mention that I had a JNA tumour removed from my nasopharnyx about 12 years ago in an emergency operation. After the operation, I couldn't see from my left eye because of extreme light sensitivity, glare and pain when I opened that eye. At that time this same doctor checked the eye and he thought that there was damage to left optic nerve. I fully regained my vision after 2 months and had no problems till now. I don't know if it is relevant to my current problem.
Anyways the Visual field test came back with paracentral scotoma and VEP showed markedly reduced amplitude, and high P100 latency in both eyes with left eye more affected. The doctor said that there was a problem and there is no treatment for this sort of things. The MRI of orbit showed that nothing is wrong and the optic nerve had normal signal and intensity.
After two months, I developed mild **monoocular diplopia (ghosting)** in both eyes, **strarbursts**, **halos** and **glare** in both eyes. I went to the same doc and a corneal specialist who both said that there was nothing wrong with my eyes, Corneal topography was also unremarkable. They have remained the same, maybe the glare has increased a bit. And there is now a **pulsatile shimmering** around some type of lights.
Fast forward to 2 weeks ago, I had **flickering vision**, **flashes of lights**, **pinprick lights,** **more floaters** (I had some already since a long time and am not sure if they are new), small pinprick lights. Along with this came **increased head pressure, dizziness that comes and goes** and some **balance problems**. I seem to notice things in my peripheral vision more. Looking at walls makes me think that it is flickering and it seems I can see the flickering when I close my eyes. If I am reading something while lying down and if I suddenly move my eyes upwards to focus on something far away, there is an immediate **flash of white light** in both eyes. My vision also sometimes seems a little blurry. I had also developed **palinopsia** and my **afterimages** **were prolonged**. When I closed one of my eyes, and tried to see with my other eye a **grainy veil overtook my vision**, opening both eyes clears it immediately. I vision also seem to vibrate sometimes.
I went to another ophthalmologist (retina specialist) because my old doc was not available and he checked my eyes with different things for 20 mins after listening to my problems. He couldn't find anything wrong. He asked me to another visual field test and this time he told me to concentrate. This time there was no scotoma and the test came back fine. The doctor said that I probably did not concentrate in the previous test and that caused the wrong result. The doctor then said that he doesn't know why the VEP came out that way. But he said if I had an optic nerve problem, it would be in one eye, and both eyes would not be affected symmetrically and he concluded that the VEP was not clinically relevant. And as I had a visual acquity of 6/6, I don't need to worry.
But the flicker kind of worries me. I can notice the flicker with both eyes even with the eyes closed. My vision seems a bit blurry. And gives me crippling anxiety that I am losing my vision. It makes me smoke more, which gives me more cough and nausea and head pressure and more eye problems.
&amp;amp;#x200B;
I have been to a psychiatrist recently. He told me that if it was optic nerve problem then I shouldn't see the flickering while eye closed. He told me to get my anxiety under control and remove stressor from my life. I have also been  coping my mother's sudden death two months ago, which according to him is a big stressor along with my career problems. According to him, I have altered personality, anxiety, depression and obsessive tendencies. He hasn't been giving me any medication yet and wants me to report in next visit.
Now, I really want to get out of this situation I am in. Is it just my brain playing tricks on me? Is it just me going insane like my family and friends seem to think?
**So I only want to ask since you guys are professionals who deal with different types of eye problems on a daily basis, from the above description is there really something clinically wrong with my vision or is it just me losing my mind?**</t>
        </is>
      </c>
      <c r="D291" t="n">
        <v>1</v>
      </c>
      <c r="E291" t="n">
        <v>0</v>
      </c>
      <c r="F291">
        <f>HYPERLINK("https://www.reddit.com/r/eyetriage/comments/bcpxfp/is_there_something_really_wrong_with_my_vision/")</f>
        <v/>
      </c>
      <c r="G291" t="inlineStr">
        <is>
          <t>2019-04-13 05:20:06</t>
        </is>
      </c>
      <c r="H291" t="inlineStr"/>
    </row>
    <row r="292">
      <c r="A292" t="inlineStr">
        <is>
          <t>bctvrj</t>
        </is>
      </c>
      <c r="B292" t="inlineStr">
        <is>
          <t>Restoring Vision in Eye After Cataract Surgery As Infant</t>
        </is>
      </c>
      <c r="C292" t="inlineStr">
        <is>
          <t>Hello r/eyetriage,
I realize posting on here does not compare to going to the ophthalmologist but I wanted to get some preliminary ideas just to see what I can expect during my actual visit so I really appreciate any information anyone can share be it anecdotes, latest research, etc.
I was born in March, 1989 with a cataract in my left eye and had it surgically removed not even a week after being born. Since the surgery, my parents were advised to cover my right eye with an eye patch and place a contact lens on my left eye to help restore vision. I apparently didn't take kindly to that and kept removing the eye patch and never liked having the lens in my eye.
So my parents buckled and stopped this. Fast forward 30 years later, I'm blind in my left eye and my right eye prescription hovers around -4.25. From previous visits to optometrists and ophthalmologists, it turns out I never received an IOL during the cataract surgery, so my left eye has no lens. This may have influenced the eye, because its pupil is very large, misshapen and I often experience light sensitivity as a result of this.
So I wanted to ask how possible would it be restore vision in my eye? What are my options? Would receiving a lens transplant help in any way?
If not, does the eye have any value if it has no vision? I've played with the idea of getting an artificial eye because I also have seasonal allergies that irritate the eye especially during sunny, pollen-heavy days.</t>
        </is>
      </c>
      <c r="D292" t="n">
        <v>2</v>
      </c>
      <c r="E292" t="n">
        <v>1</v>
      </c>
      <c r="F292">
        <f>HYPERLINK("https://www.reddit.com/r/eyetriage/comments/bctvrj/restoring_vision_in_eye_after_cataract_surgery_as/")</f>
        <v/>
      </c>
      <c r="G292" t="inlineStr">
        <is>
          <t>2019-04-13 11:59:03</t>
        </is>
      </c>
      <c r="H292" t="inlineStr"/>
    </row>
    <row r="293">
      <c r="A293" t="inlineStr">
        <is>
          <t>bcwudv</t>
        </is>
      </c>
      <c r="B293" t="inlineStr">
        <is>
          <t>What is "visual reserve"?</t>
        </is>
      </c>
      <c r="C293" t="inlineStr">
        <is>
          <t>Someone I know saw an ophthalmologist today. Doc was concerned about high IOP in one eye (36 mmHg) and said he wanted to examine the eye further to determine the amount of "visual reserve." I couldn't understand what he meant by this term.
Thanks for any clarification.</t>
        </is>
      </c>
      <c r="D293" t="n">
        <v>1</v>
      </c>
      <c r="E293" t="n">
        <v>2</v>
      </c>
      <c r="F293">
        <f>HYPERLINK("https://www.reddit.com/r/eyetriage/comments/bcwudv/what_is_visual_reserve/")</f>
        <v/>
      </c>
      <c r="G293" t="inlineStr">
        <is>
          <t>2019-04-13 16:44:53</t>
        </is>
      </c>
      <c r="H293" t="inlineStr"/>
    </row>
    <row r="294">
      <c r="A294" t="inlineStr">
        <is>
          <t>bd2d99</t>
        </is>
      </c>
      <c r="B294" t="inlineStr">
        <is>
          <t>Is my posterior uveitis flaring up?</t>
        </is>
      </c>
      <c r="C294" t="inlineStr">
        <is>
          <t>20F, diagnosed with posterior uveitis with choroidretinitis in both eyes in January. No specific underlying cause but I have positive ANA of 1:1280 and Hashimoto's. So, I was put on prednisone starting at 50 mg and reduced the dose by 5mg a week until I got to 30 mg, which I've been at for 4 weeks now. When I started the pred my really bad flashes/strobe light vision problems stopped within a few days, and my opthomologist said that was a good sign, however at my last appointment the retina scans only showed very minimal improvement although it had not gotten worse. However, this week I noticed some flashing starting up again in the lower left corner of my left eye, which is new becuase before I started the pred i only really saw flashes in my right eye. The flashes in my left eye only have been happening a few times a day so far, when I go from darker environment to brighter (which was how my symptoms started originally). My next appointment is on May 4, but should I be worried that I've started flaring up again and the prednisone has stopped doing an effective job at keeping the immflamation under control? Or can I wait till my appointment to tell her? She is a uveitis specialist btw.</t>
        </is>
      </c>
      <c r="D294" t="n">
        <v>2</v>
      </c>
      <c r="E294" t="n">
        <v>4</v>
      </c>
      <c r="F294">
        <f>HYPERLINK("https://www.reddit.com/r/eyetriage/comments/bd2d99/is_my_posterior_uveitis_flaring_up/")</f>
        <v/>
      </c>
      <c r="G294" t="inlineStr">
        <is>
          <t>2019-04-14 05:42:39</t>
        </is>
      </c>
      <c r="H294" t="inlineStr"/>
    </row>
    <row r="295">
      <c r="A295" t="inlineStr">
        <is>
          <t>bd6e7o</t>
        </is>
      </c>
      <c r="B295" t="inlineStr">
        <is>
          <t>Ajax dish soap? Please help</t>
        </is>
      </c>
      <c r="C295" t="inlineStr">
        <is>
          <t>I was doing dishes and somehow some of the water splashed up and onto my face. I think I might have closed my eye before it had time to get in it. I wiped off my face, then put some eye drops in my eye then rinsed off my eye. I'm freaking out because I'm scared that some got in my eye and it will hurt my eyesight. Would it have burned right away if it did get in my eye? Will my eyesight be ok or should I seek further care?</t>
        </is>
      </c>
      <c r="D295" t="n">
        <v>1</v>
      </c>
      <c r="E295" t="n">
        <v>2</v>
      </c>
      <c r="F295">
        <f>HYPERLINK("https://www.reddit.com/r/eyetriage/comments/bd6e7o/ajax_dish_soap_please_help/")</f>
        <v/>
      </c>
      <c r="G295" t="inlineStr">
        <is>
          <t>2019-04-14 12:17:49</t>
        </is>
      </c>
      <c r="H295" t="inlineStr"/>
    </row>
    <row r="296">
      <c r="A296" t="inlineStr">
        <is>
          <t>bdauxk</t>
        </is>
      </c>
      <c r="B296" t="inlineStr">
        <is>
          <t>Can Oral Affect my Scleral Buckle?</t>
        </is>
      </c>
      <c r="C296" t="inlineStr">
        <is>
          <t>Yup. You read that right. 
24 days ago I had a scleral buckle to fix a retinal tear. I wasn’t given many restrictions, only that i couldn’t run (I had been training for a half marathon). 
I was just wondering if I give my fiancé oral sex (I’m female, he’s male) if it could negatively affect my scleral buckle?</t>
        </is>
      </c>
      <c r="D296" t="n">
        <v>0</v>
      </c>
      <c r="E296" t="n">
        <v>4</v>
      </c>
      <c r="F296">
        <f>HYPERLINK("https://www.reddit.com/r/eyetriage/comments/bdauxk/can_oral_affect_my_scleral_buckle/")</f>
        <v/>
      </c>
      <c r="G296" t="inlineStr">
        <is>
          <t>2019-04-14 19:27:26</t>
        </is>
      </c>
      <c r="H296" t="inlineStr"/>
    </row>
    <row r="297">
      <c r="A297" t="inlineStr">
        <is>
          <t>bdavo8</t>
        </is>
      </c>
      <c r="B297" t="inlineStr">
        <is>
          <t>Is this normal after antibiotics?</t>
        </is>
      </c>
      <c r="C297" t="inlineStr">
        <is>
          <t>I'll try to keep this short. 
Had really bad infection on right eye. Redness, swollen eye, itchiness, tons of yellow mucus.
First optometrist diagnosed allergies. Prescribed me antihistamine eyedrops. Didn't get better.
Primary doctor diagnosed blepharitis, prescribed me erythromycin ointment for 5 days. Used for more than 5 days, I believe 10 days.. Didnt get better. 
Opthalmologist diagnoses acute conjunctivitis, prescribed me neo-poly-dex eyedrops. No more mucus and eye feels so much better.
However, when I sleep and wake up, my eyes are so dry my eyes feel like they're stuck to my eyelid until I continue to blink and then it goes back to normal. Still has a groggy feeling during the day though. Skin around my eye is also super dry and flaky (maybe good to mention I also have eczema but I've never had it around my eye before). My left eye is fine. 
Is this an effect of all the medication I put in my eye? Or is there still an issue? It's been a few nights of my eye being "stuck".  
My cousin told me it was allergies and eczema. Is this true? Or should I go to the opthalmologist again? I don't have insurance, so I really can't afford to go again unless I absolutely have to...</t>
        </is>
      </c>
      <c r="D297" t="n">
        <v>1</v>
      </c>
      <c r="E297" t="n">
        <v>4</v>
      </c>
      <c r="F297">
        <f>HYPERLINK("https://www.reddit.com/r/eyetriage/comments/bdavo8/is_this_normal_after_antibiotics/")</f>
        <v/>
      </c>
      <c r="G297" t="inlineStr">
        <is>
          <t>2019-04-14 19:29:14</t>
        </is>
      </c>
      <c r="H297" t="inlineStr"/>
    </row>
    <row r="298">
      <c r="A298" t="inlineStr">
        <is>
          <t>bdb7y3</t>
        </is>
      </c>
      <c r="B298" t="inlineStr">
        <is>
          <t>I'm legally blind and I might be losing my right eye due to some strange blur/membrane that doctors here can't see or figure out - it's not cataracts or damage to the retina - please read and give advice if possible.</t>
        </is>
      </c>
      <c r="C298" t="inlineStr">
        <is>
          <t>I'd like to apologize up front because I don't think it's even remotely possible to narrow this down in a few sentences so this is bound to be a long and probably difficult to read post.
I'm about 90% legally blind though I work as a professional illustrator, play video games and generally what little sight I have is of utmost importance to me in life. I have a whole slew of issues with my eyes, was born fully blind with a severe case of congenital cataracts in both eyes, around 8 months I underwent a surgery or two, I also have microphtalmia and the anatomy of my eyes is supposedly atypical or some such. I'm no medical professional and that's the best I am able to summarize my issues with.
Surgery on both my eyes is STRICTLY forbidden by all doctors Iv'e went to because any and all surgical intervention could result in total blindness and severe damage.
&amp;amp;#x200B;
I war +11 glasses, though I'm not necessarily nearsighted or farsighted  
&amp;amp;#x200B;
\- I use my left eye for pretty much everything, my sight on that ain't good but it's much better than what I got on my right eye. I was diagnosed with high eye pressure in 2015 or 2016 on my left/main eye, but that's been under control with Xalatan and Azopt eyedrops. In fact I had my eye pressure checked on Thursday and it was only 12 in that eye which is awesome.
&amp;amp;#x200B;
\-  My right eye's pupil is closed up due to all the surgeries, but there is a small opening. Even so, the image I get from it is nice and clear, just very dark and small, with or without glasses. If enough light shines through it and if I bring up whatever I want to see or read real close to it I can read it with effort even without glasses, such as my Phone or handheld game console screens. With my +14 "reading" glasses I can even draw on paper with that eye if the lighting is good, however those glasses are too strong and I do tend to avoid using them as they make my eyes hurt and aren't good for reading on their own anyways.
&amp;amp;#x200B;
Still, I use my left eye for everything. again I wear +11 glasses tho in order to draw, play video games, watch something or read something I have a technique of "zooming in" by propping the glasses up on my nose, stronger glasses do not produce this effect but that's a whole other topic. For those of you guys who can see here's a short documentary about me so you might be able to see the way I position my glasses to see:
[https://youtu.be/Z2siWfBKucA](https://youtu.be/Z2siWfBKucA) 
This was filmed over 2 years ago, but my condition is still the same and always has been, zooming in with my glasses has helped me a ton through life.
&amp;amp;#x200B;
**NOW finally we're getting to the topic at hand.**
Starting July of 2018 or so I noticed that I had a hard time seeing text on my phone whenever I'd bring it up close to my right eye (left one is fine with zooming in with my glasses.) Around September or so I also noticed my vision blurring on my right eye and noticed some floaters, it got so bad that lights and stuff looked broken up and distorted BUT ONLY if I had my upper eyelid in its normal position, if I'd open up my eye wide open the blur would go up with the eyelid, granted I can't focus my eye like that but the blur wouldn't be there. I went to my doctor, one of the best in the country, he brushed it off as nothing, laughed in my face for panicking even tho i was fairly collected and didn't even prescribe anything.
My doctor did examine my eye of course, did an echo on it, not sure of what the English term for this is, found nothing and told me not to worry and started messing with me.
&amp;amp;#x200B;
This was back in September.
My right eye is still completely useless, I still have that film/membrane like blur whenever my eyelid is in its normal state/position and I still can't see squat through it, everything looks like I'm seeing it through a photoshop Gaussian Blur filter set to pretty high.
As soon as I open my eyelid or movie it up with my finger the blur moves up with it.
&amp;amp;#x200B;
**Over the past months I did the following with varying results:**
&amp;amp;#x200B;
1. **I used artificial tears, someone suggested it might be dry eye, those solved nothing.**
2. **Used eye drops called Proculin/Prokulin - these cleared the blur up 100% within 2 days or so, my eye was fully functional and blur free for 3 days when it slowly started coming back and the Prokulin eyedrops started being ineffective**
3. **Had my eye tested for bacterial infections - those turned up nothing**
4. **Used some antibiotic eye drops, the name escapes me and those once again cleared the blur up within 2-3 days, eye was fully functional and blur free for about 3 days again just for the blur to start coming back and the eye drops to stop being effective once again.**
5. **Tried several other types of eye drops to no avail**
&amp;amp;#x200B;
I also noticed that the blur SEVERELY increases when I try to focus my eye(I also have mustangs), when I'm in a bright area or if I look at a light source, the more I focus my vision the blurrier it becomes and stays that way until I've gone to a darker envirionment for a bit, granted this blur doesn't always lessen but still. Of course even in dim lighting or darkness the blur never fully goes away, unlike with the eyedrops i mentioned above.
The blur is so thick I can't even see the clock on my iPhone 6s and that's a big clock.
&amp;amp;#x200B;
Thursday, April 11th 2019 - few days before i made this post -  I went to see my eye doctor again.
I explained my problem and he once again saw nothing, had no idea what it was and was EXCEPTIONALLY rude, right down to sarcastically suggesting that we should just go see a psychic or that he does see a ton of bad stuff but won't tell us. He also rudely told me to shut up when I was trying to shed some more light on the situation and give him more details. Since I live in Macedonia and everyone in any kind of position here has massive massive political connections and what not, they're not afraid of being sued or nothing. He did examine the eye but couldn't see anything and had no idea what was up nor did he have any suggestions about what we should do.
&amp;amp;#x200B;
One thing my doctor kept ignoring is the fact that the device that normally checks your glasses prescription/what type of glasses you need couldn't even get a reading on that eye, because I couldn't see anything through it where as in the past it would immediately detect whatever it detects no problem. So even the device couldn't read my eye.
&amp;amp;#x200B;
We had no other option but to leave, he prescribed some eyedrops that don't seem to do much of anything and I'm still at a loss as to what is going on. Getting around is difficult for me as is due to being legally blind, now it's even more difficult that all I see is blur on my right eye unless I keep it wide open which is kind of not really an option plus the eye can't focus properly like that.</t>
        </is>
      </c>
      <c r="D298" t="n">
        <v>6</v>
      </c>
      <c r="E298" t="n">
        <v>0</v>
      </c>
      <c r="F298">
        <f>HYPERLINK("https://www.reddit.com/r/eyetriage/comments/bdb7y3/im_legally_blind_and_i_might_be_losing_my_right/")</f>
        <v/>
      </c>
      <c r="G298" t="inlineStr">
        <is>
          <t>2019-04-14 20:01:47</t>
        </is>
      </c>
      <c r="H298" t="inlineStr"/>
    </row>
    <row r="299">
      <c r="A299" t="inlineStr">
        <is>
          <t>bdd6rd</t>
        </is>
      </c>
      <c r="B299" t="inlineStr">
        <is>
          <t>One eye "feels" blurry but actually isn't</t>
        </is>
      </c>
      <c r="C299" t="inlineStr">
        <is>
          <t>I'm a 23 year old woman. No current medical issues and not taking any medications.
This is going to sound very strange, but my right eye "feels" like it's blurry but it's actually not (at least as far as I can tell). I'm not experiencing any pain or other physical symptoms. When I close one eye and test out my vision, my right eye is not blurry, but just looking around with both eyes open it feels like the bottom of my right eye is blurry.
Not sure if it's relevant but I've been seeing a few floaters for a few months now from both eyes, but nothing unusual I think. I also wear contacts, and switching out for new contacts doesn't help.
Sorry if this doesn't make any sense! Could it be anxiety, as I suffer from that? Or the beginnings of a cataract developing? I have an appointment in a few days to get it checked out but wanted to see if anyone has encountered something like this.</t>
        </is>
      </c>
      <c r="D299" t="n">
        <v>1</v>
      </c>
      <c r="E299" t="n">
        <v>2</v>
      </c>
      <c r="F299">
        <f>HYPERLINK("https://www.reddit.com/r/eyetriage/comments/bdd6rd/one_eye_feels_blurry_but_actually_isnt/")</f>
        <v/>
      </c>
      <c r="G299" t="inlineStr">
        <is>
          <t>2019-04-15 00:23:09</t>
        </is>
      </c>
      <c r="H299" t="inlineStr"/>
    </row>
    <row r="300">
      <c r="A300" t="inlineStr">
        <is>
          <t>bdj9fe</t>
        </is>
      </c>
      <c r="B300" t="inlineStr">
        <is>
          <t>Red, irritated eyes from nocturnal lagophthalmos? Help!</t>
        </is>
      </c>
      <c r="C300" t="inlineStr">
        <is>
          <t>I've been struggling with red, irritated eyes lately, especially in the past few months since I've started my first full-time job as an accountant. My eyes always turn red and feel very dry starting within the first hour of work. I have various brands of lubricant eye drops: Refresh Optive Gel Drops, Thera Tears, Systane Gel Drops, Lumify, Refresh Liquigel, etc. I usually apply a drop to each eye when I first get to work, and then a few times throughout the day (3-5 times) as my eyes start to get irritated. I have also downloaded flux and dimmed my screen along with adjusting the hue to decrease blue-light. I even wear blue-light glasses. However, I honestly look either high or unbelievably tired by 9AM no matter what. 
I went to the eye doctor recently and he said he did notice a lot of dryness along my lower lash line due to my eyes being slightly open when I sleep. He diagnosed me with nocturnal lagopthalmos and told me to use gel drops before bed and put on a sleeping mask. I apply a heat compress 3-5 times a week for about 5 minutes before bed followed with gel drops. I've also been using my new Eco Eyes Eyeseals 4.0 for the past week, but the redness still persists. 
Has anyone experienced this? What would be the next step in trying to alleviate this constant redness? It's really causing my confidence to plummet as I don't want people to see me with bloodshot eyes all the time. Any advice is appreciated. Thanks in advance!</t>
        </is>
      </c>
      <c r="D300" t="n">
        <v>1</v>
      </c>
      <c r="E300" t="n">
        <v>3</v>
      </c>
      <c r="F300">
        <f>HYPERLINK("https://www.reddit.com/r/eyetriage/comments/bdj9fe/red_irritated_eyes_from_nocturnal_lagophthalmos/")</f>
        <v/>
      </c>
      <c r="G300" t="inlineStr">
        <is>
          <t>2019-04-15 11:07:08</t>
        </is>
      </c>
      <c r="H300" t="inlineStr"/>
    </row>
    <row r="301">
      <c r="A301" t="inlineStr">
        <is>
          <t>bdk07t</t>
        </is>
      </c>
      <c r="B301" t="inlineStr">
        <is>
          <t>Asking all Optometrist, ophthalmologist and eye doctors in general: A Few days after an eye exam, I see a new visual disturbance when I blink</t>
        </is>
      </c>
      <c r="C301" t="inlineStr">
        <is>
          <t>Sex: female
Age: late teens
Symptoms:
- floaters (had them since I was like 13, and since then, they have been very slowly getting worse so it doesnt bother too much)
- theres some thinning in my detina but the specialist its nothing to worry about right now
- I am myopic and my prescription is about -3.00 in both eyes
- have a mild case of visual snow, as long as I keep myself busy I don't notice\care for it
- also have BFEP
Had two eye exams: within the span of 4 weeks. Both noticed thinning but said its nothing to worry about and other than that my eyes look healthy. The first one with my optometrist was the first time I had my eyes dilated, other than light sensitivity and tingling sensation of eye it was ok. Second one was with retina specialist, the eye drop dilation bruned and an hour after the exam my peripheral vision seemed shaky\shifty like a spasm when I was in an area that was bright, that went away the next day.
After initial eye exam I started using a warm compress as i was told my eyes a dry. I did that for a couple days and when I stopped, I noticed a new visual disturbance. Had the shape of a bent tube. Looks transparent, looks kinda glassy, has a sheen look to it. It does not "float" around like my floaters and only moves along with my vision.
It also seems to be in my left eye.
After the second dilation, it became a bit more vivid. And slowly i started noticing more shapes attached to it. 
I pretty much see it now whenever i blink or am in bright lighting. I can only notice a small portion of it in low lighting when i blink.
Should I be worried I really dont wanna go back, Im scared that the dilation is what caused it so i dont wanna have my eyes dilated again. Plus these appointments were recent and both docs said that other than the stretched retina, my eyes look healthy.
Note: it now kinda looks like a spider if you were to draw one as lines. It takes on a shape thats kinda like this: 来 (just remove the top horizontal line and that almost pretty much the shape i see) 
At first it looked more like this: ر but then slowly progressed into this 来
I was thinking maybe I was seeing my retina because i was it while the doc was checking my eyes with light and that this was some sorta after image but now im scared its a floater thats just getting bigger but the thing is it doesnt act like my other floaters and now im stressed that i have yet another visual disturbance. Doc said i should go back if i notice like a lot of floaters in my view but im not even sure if this is a floater and even if it is its like only tho of a size that it is kinda annoying. The only thing im tryna be positive about if im gonna have to live this now too is that it generally disappears once i focus on an object but its just annoying cuz it whenever i blink.
Anways this was a whole rant, sorry. Any reply would be appreciated, sorry for the long post.</t>
        </is>
      </c>
      <c r="D301" t="n">
        <v>3</v>
      </c>
      <c r="E301" t="n">
        <v>6</v>
      </c>
      <c r="F301">
        <f>HYPERLINK("https://www.reddit.com/r/eyetriage/comments/bdk07t/asking_all_optometrist_ophthalmologist_and_eye/")</f>
        <v/>
      </c>
      <c r="G301" t="inlineStr">
        <is>
          <t>2019-04-15 12:05:15</t>
        </is>
      </c>
      <c r="H301" t="inlineStr"/>
    </row>
    <row r="302">
      <c r="A302" t="inlineStr">
        <is>
          <t>bdl5uw</t>
        </is>
      </c>
      <c r="B302" t="inlineStr">
        <is>
          <t>Q about LASIK - get one eye or both eyes done at the same time?</t>
        </is>
      </c>
      <c r="C302" t="inlineStr">
        <is>
          <t>As a doctor looking at screens all day, I am a little concerned about getting both eyes done at the same time in the event there is some lingering side effect. Was going to have one done and if good, the second eye in a few months.
My doctor mentioned he has a bladeless femtosecond laser machine by alcon with bladelight. In my readings the bladeless laser seem to have even less side effects than with knife. So I am tempted to get both eyes done at the same time as this machine seems state of the art. Any recommendations on getting one eye or both eyes done at one sitting?
Of note, I am in my 40's and probably will get mini monovision in the non dominant eye to try to keep some nearsightedness. I was not going to do the surgery if offered the PRK option as the recovery time and complications seem more of a problem i.e. risk of corneal haze with my prescription.
Thanks for any help/input!</t>
        </is>
      </c>
      <c r="D302" t="n">
        <v>2</v>
      </c>
      <c r="E302" t="n">
        <v>4</v>
      </c>
      <c r="F302">
        <f>HYPERLINK("https://www.reddit.com/r/eyetriage/comments/bdl5uw/q_about_lasik_get_one_eye_or_both_eyes_done_at/")</f>
        <v/>
      </c>
      <c r="G302" t="inlineStr">
        <is>
          <t>2019-04-15 13:39:34</t>
        </is>
      </c>
      <c r="H302" t="inlineStr"/>
    </row>
    <row r="303">
      <c r="A303" t="inlineStr">
        <is>
          <t>bdnw1a</t>
        </is>
      </c>
      <c r="B303" t="inlineStr">
        <is>
          <t>Delivery time for amniotic fluid eye drops</t>
        </is>
      </c>
      <c r="C303" t="inlineStr">
        <is>
          <t>My doctor prescribed Regener-Eyes for my ridiculously dry post PRK eyes. (It's so much fun feeling my epithelium slough off!) However, I'm a smidgen miffed that it'll be a little over a week between the script going in and the drops getting to me. Is the delay normal for these types of drops? And uh, anyone want to explain how the amniotic fluid is sourced?</t>
        </is>
      </c>
      <c r="D303" t="n">
        <v>1</v>
      </c>
      <c r="E303" t="n">
        <v>0</v>
      </c>
      <c r="F303">
        <f>HYPERLINK("https://www.reddit.com/r/eyetriage/comments/bdnw1a/delivery_time_for_amniotic_fluid_eye_drops/")</f>
        <v/>
      </c>
      <c r="G303" t="inlineStr">
        <is>
          <t>2019-04-15 18:11:17</t>
        </is>
      </c>
      <c r="H303" t="inlineStr"/>
    </row>
    <row r="304">
      <c r="A304" t="inlineStr">
        <is>
          <t>bdrg9q</t>
        </is>
      </c>
      <c r="B304" t="inlineStr">
        <is>
          <t>Are corneal infiltrates reversible?</t>
        </is>
      </c>
      <c r="C304" t="inlineStr">
        <is>
          <t>24/F. I wear contacts and I am honestly pretty bad about taking them out every night. Usually I’ll go a week or two straight with the same pair in, only taking them out when my left lens becomes too “blurry” to handle. This happens every time. I can see a small fuzzy patch on the lens that doesn’t wash away.
My optometrist said I have an infiltrate on the left eye which is caused by oxygen starvation due to my bad habit of never taking my contacts out. I’ve always felt it there so that wasn’t a surprise. I’m just wondering if it can ever go away, and what I can do to prevent any further damage besides following proper lens hygiene?</t>
        </is>
      </c>
      <c r="D304" t="n">
        <v>1</v>
      </c>
      <c r="E304" t="n">
        <v>2</v>
      </c>
      <c r="F304">
        <f>HYPERLINK("https://www.reddit.com/r/eyetriage/comments/bdrg9q/are_corneal_infiltrates_reversible/")</f>
        <v/>
      </c>
      <c r="G304" t="inlineStr">
        <is>
          <t>2019-04-16 01:24:23</t>
        </is>
      </c>
      <c r="H304" t="inlineStr"/>
    </row>
    <row r="305">
      <c r="A305" t="inlineStr">
        <is>
          <t>bds235</t>
        </is>
      </c>
      <c r="B305" t="inlineStr">
        <is>
          <t>Arcus Juvenilis since birth</t>
        </is>
      </c>
      <c r="C305" t="inlineStr">
        <is>
          <t xml:space="preserve"> I have arcus juvenilis since birth. I heard it's rare to get on infants but I can't find out the reason why it occurs on infants. Does anyone know why? I can't seem to find any answers</t>
        </is>
      </c>
      <c r="D305" t="n">
        <v>1</v>
      </c>
      <c r="E305" t="n">
        <v>5</v>
      </c>
      <c r="F305">
        <f>HYPERLINK("https://www.reddit.com/r/eyetriage/comments/bds235/arcus_juvenilis_since_birth/")</f>
        <v/>
      </c>
      <c r="G305" t="inlineStr">
        <is>
          <t>2019-04-16 02:53:06</t>
        </is>
      </c>
      <c r="H305" t="inlineStr"/>
    </row>
    <row r="306">
      <c r="A306" t="inlineStr">
        <is>
          <t>bdy9d3</t>
        </is>
      </c>
      <c r="B306" t="inlineStr">
        <is>
          <t>Is it possible to have temporary floaters?</t>
        </is>
      </c>
      <c r="C306" t="inlineStr">
        <is>
          <t>I currently have an eye infection. Been noticing new floaters. Any hope that the infection is causing temporary floaters? Or is this nothing to hope for?</t>
        </is>
      </c>
      <c r="D306" t="n">
        <v>1</v>
      </c>
      <c r="E306" t="n">
        <v>10</v>
      </c>
      <c r="F306">
        <f>HYPERLINK("https://www.reddit.com/r/eyetriage/comments/bdy9d3/is_it_possible_to_have_temporary_floaters/")</f>
        <v/>
      </c>
      <c r="G306" t="inlineStr">
        <is>
          <t>2019-04-16 12:44:01</t>
        </is>
      </c>
      <c r="H306" t="inlineStr"/>
    </row>
    <row r="307">
      <c r="A307" t="inlineStr">
        <is>
          <t>be85cn</t>
        </is>
      </c>
      <c r="B307" t="inlineStr">
        <is>
          <t>Cataract surgery with irregular astigmatism</t>
        </is>
      </c>
      <c r="C307" t="inlineStr">
        <is>
          <t>I am currently wearing scleral lenses that correct my LASIK induced HOA and dry eyes.
Can multifocal IOLs change my irregular astigmatism? Can I continue wearing the same scleral lenses after non-toric IOL and have the same vision (minus the cataract)?</t>
        </is>
      </c>
      <c r="D307" t="n">
        <v>1</v>
      </c>
      <c r="E307" t="n">
        <v>1</v>
      </c>
      <c r="F307">
        <f>HYPERLINK("https://www.reddit.com/r/eyetriage/comments/be85cn/cataract_surgery_with_irregular_astigmatism/")</f>
        <v/>
      </c>
      <c r="G307" t="inlineStr">
        <is>
          <t>2019-04-17 07:00:55</t>
        </is>
      </c>
      <c r="H307" t="inlineStr"/>
    </row>
    <row r="308">
      <c r="A308" t="inlineStr">
        <is>
          <t>bec9ys</t>
        </is>
      </c>
      <c r="B308" t="inlineStr">
        <is>
          <t>Was just switched to dailies and have a couple questions</t>
        </is>
      </c>
      <c r="C308" t="inlineStr">
        <is>
          <t>I had my eye exam today and was switched to daily’s after wearing monthly contacts for the past 15 years. I’m not overly thrilled at the additional cost but had a feeling it was coming as my doctor has been pushing it the past couple of years. He said something about inflammation around my cornea that is either from sleeping in contacts, wearing them over a month (both of which I do not do), or the contact being too steep. He said my cornea was flat and he said it would help with my struggling to read road signs as I didn’t have a change in my prescription. He put me in one-day acuvue moist because of the base curve. But I have a couple of questions I’m hoping someone on here can answer.
Will just changing base curve (I assume this is the shape?) really help my vision?
Will the inflammation heal or will this just prevent it from getting worse?
And looking online it looks like these come in 30 or 90 pack options which only adds up to 360 days and that’s assuming you never lose a lens. What do people do for the other days?
They only gave me 2 pair of trials as that is all they had, said they would get a couple more and call me to pick up hopefully tomorrow. I have some unused monthly lenses am I ok to wear those while I wait for my order to come in?
Thank you!</t>
        </is>
      </c>
      <c r="D308" t="n">
        <v>2</v>
      </c>
      <c r="E308" t="n">
        <v>1</v>
      </c>
      <c r="F308">
        <f>HYPERLINK("https://www.reddit.com/r/eyetriage/comments/bec9ys/was_just_switched_to_dailies_and_have_a_couple/")</f>
        <v/>
      </c>
      <c r="G308" t="inlineStr">
        <is>
          <t>2019-04-17 12:57:35</t>
        </is>
      </c>
      <c r="H308" t="inlineStr"/>
    </row>
    <row r="309">
      <c r="A309" t="inlineStr">
        <is>
          <t>bemm02</t>
        </is>
      </c>
      <c r="B309" t="inlineStr">
        <is>
          <t>Young person with eye floaters. What can I do?</t>
        </is>
      </c>
      <c r="C309" t="inlineStr">
        <is>
          <t>I am a 30yo male who has had floaters my whole life. I didn't realize that they were abnormal until this year when they started getting much worse. I have consulted with a doctor who basically told me I should learn just to live with it because the surgery is so risky. However, I'm a photographer and it is seriously impacting my life. Does anyone have experience with this or have any input into what can be done. So far I do not have a good answer for why I have floaters at such a young age in the first place.</t>
        </is>
      </c>
      <c r="D309" t="n">
        <v>2</v>
      </c>
      <c r="E309" t="n">
        <v>13</v>
      </c>
      <c r="F309">
        <f>HYPERLINK("https://www.reddit.com/r/eyetriage/comments/bemm02/young_person_with_eye_floaters_what_can_i_do/")</f>
        <v/>
      </c>
      <c r="G309" t="inlineStr">
        <is>
          <t>2019-04-18 08:04:45</t>
        </is>
      </c>
      <c r="H309" t="inlineStr"/>
    </row>
    <row r="310">
      <c r="A310" t="inlineStr">
        <is>
          <t>bemufo</t>
        </is>
      </c>
      <c r="B310" t="inlineStr">
        <is>
          <t>Are these normal blood vessels in my eye?</t>
        </is>
      </c>
      <c r="C310" t="inlineStr">
        <is>
          <t>My left eye has been chronically irritated for about a year now, with dilated blood vessels that only get worse as the day goes on. One blood vessel in particular appears to be deeper within the eye and is corkscrewed with a slightly blue appearance. I've been to a couple of ophthalmologists, none of whom were able to offer me an explanation. My sight is unaffected and the pressure in my eye is normal. Any thoughts?
https://i.redd.it/uresx2imi1t21.jpg</t>
        </is>
      </c>
      <c r="D310" t="n">
        <v>1</v>
      </c>
      <c r="E310" t="n">
        <v>4</v>
      </c>
      <c r="F310">
        <f>HYPERLINK("https://www.reddit.com/r/eyetriage/comments/bemufo/are_these_normal_blood_vessels_in_my_eye/")</f>
        <v/>
      </c>
      <c r="G310" t="inlineStr">
        <is>
          <t>2019-04-18 08:24:45</t>
        </is>
      </c>
      <c r="H310" t="inlineStr"/>
    </row>
    <row r="311">
      <c r="A311" t="inlineStr">
        <is>
          <t>benwv1</t>
        </is>
      </c>
      <c r="B311" t="inlineStr">
        <is>
          <t>Persisting Vision Issues</t>
        </is>
      </c>
      <c r="C311" t="inlineStr">
        <is>
          <t>Gender: Male
Age: 32
Blue Eyes, 20/20 vision both eyes, mild astigmatism in both eyes
Looking for some advise or thoughts on the recent vision issues I have been experiencing. 
About 2.5 months ago I quit heavy cannabis use cold turkey (12+ years everyday). Shortly after quitting I began to have eye irritation and noticed a few floaters. I immediately saw an optometrist who performed a dilated eye exam and ruled out any retinal detachment. She diagnosed me with allergic conjunctivitis and prescribed some allergy eye drops. I tried these for few weeks and the irritation went away. 
I began to notice some monocular double vision in both eyes and other floaters (most likely due to my anxiety from withdrawals, I was noticing everything)
I made an appointment with an opthalmologist to get a second opinion, he then diagnosed me with Blepharitis/dry eye. Gave me a treatment plan of eye lid washes, warm compresses, artificial tears and Omega 3's. I followed the plan religiously for 4 more weeks and saw little Improvement. 
My double vision is pretty constant, both eyes will fluctuate throughout the day and are definitely worse at night. I spend a lot of time in front a computer so that wasn't helping either. 
I basically see an overlapping image of text and objects usually vertically. Top and bottom. Sometimes it was 10% overlap to almost 90%. I see it with both eyes open  when both eyes are acting up, but generally it happens when I close either eye. 
I am also experiencing starburst with both eyes at night with bright lights. The starburst are shorter all around the light with several long streaks that point directly down, if I turn my head those streaks rotate, and when I force my eye lids open more, they go away but it's hard to keep them wide open and usually makes my vision blurry. 
I do have dry eye symptoms, irritated eyes, slight dull pain in my eye socket , dry gritty feeling but even when I don't feel any of these my vision problems are noticable.
I did 3 weeks of steroid eye drops, and now on a 3 week (once a week) 1mg azrithomycin antibiotic treatment to assist with inflammation.
I'm still not noticing much improvement at week two. The next step is punctual plugs. Before I continue this treatment and stuff plastic in my tear ducts, anyone else have any ideas on what's going on? Maybe some options I can ask my opthalmologist about? Corneal topography or something. 
I have had perfect sharp binocular type vision  my entire life with no eye issues. I quit weed and my eyes just go out of whack. 
If you read this all thanks, I appreciate any thoughts.</t>
        </is>
      </c>
      <c r="D311" t="n">
        <v>1</v>
      </c>
      <c r="E311" t="n">
        <v>15</v>
      </c>
      <c r="F311">
        <f>HYPERLINK("https://www.reddit.com/r/eyetriage/comments/benwv1/persisting_vision_issues/")</f>
        <v/>
      </c>
      <c r="G311" t="inlineStr">
        <is>
          <t>2019-04-18 09:56:20</t>
        </is>
      </c>
      <c r="H311" t="inlineStr"/>
    </row>
    <row r="312">
      <c r="A312" t="inlineStr">
        <is>
          <t>beumtx</t>
        </is>
      </c>
      <c r="B312" t="inlineStr">
        <is>
          <t>Double vision since October 2018</t>
        </is>
      </c>
      <c r="C312" t="inlineStr">
        <is>
          <t>Hello everybody.  My dad has had double vision since last October.  I've been concerned so I thought I might try to ask you all.  I think it is binocular based on the tests he's had to do, but I'm not 100% on that.
He's been in and out of the doctor for a while now and they can't find anything wrong with him.  They did an ultrasound, blood work, looked at his eye, and all of those came back fine.  They recommended a "wait and see" approach to it, or to try for a MRI.  I don't think it's gotten worse, but he's struggling a lot with driving, and complaining that he can't read on his phone or watch TV.  He also says that when he grins, the double vision seems to go away.  I hope this helps.  I'm really concerned. Thank you.
He's 68 by the way</t>
        </is>
      </c>
      <c r="D312" t="n">
        <v>1</v>
      </c>
      <c r="E312" t="n">
        <v>8</v>
      </c>
      <c r="F312">
        <f>HYPERLINK("https://www.reddit.com/r/eyetriage/comments/beumtx/double_vision_since_october_2018/")</f>
        <v/>
      </c>
      <c r="G312" t="inlineStr">
        <is>
          <t>2019-04-18 20:30:37</t>
        </is>
      </c>
      <c r="H312" t="inlineStr"/>
    </row>
    <row r="313">
      <c r="A313" t="inlineStr">
        <is>
          <t>bewak2</t>
        </is>
      </c>
      <c r="B313" t="inlineStr">
        <is>
          <t>Unstable right eye - 2.5 weeks until ophthalmologist appointment</t>
        </is>
      </c>
      <c r="C313" t="inlineStr">
        <is>
          <t>I'm a 30 year old male currently living in Germany. I have no pre existing conditions except for some allergies. I had LASIK 3 years ago and since the surgery, my right eye was always weaker in terms of sharpness but it was never noticeable until recently. 
At the beginning of the month, I started dealing with an issue in my right eye with the following symptoms:
Blurry vision that fluctuates during the day, sometimes it's sharp, sometimes it's not - but 85% during the sunny day when I'm outside my vision is at 100%. However, during the night, my eyes feel tired and my right eye is blurry. Blurry in the sense that I'm nearsighted again and items that are far away are not sharp. 
I also noticed that my right eye does not let in as much light as my left eye. This is noticeable indoors and at night. Lastly, my right eye feels heavier. Not sure how to explain it but it feels tired.
A weeks ago, I went to an ophthalmologist for a drop in appointment and she looked at my eye for a few minutes with her machine. She said it looks like allergies, gave me some eye drops and let me go. Due to how the industry here is in Germany, many places do not accept new patients and appointments have to be set weeks in advance. She did not do a thorough check up.
My appointment with another clinic is in 2.5 weeks where they will perform a full check up. Right now, I'm a little worried and wondering if I should go back to an ophthalmologist as soon as possible. Or even an optometrist for a quick eye check-up - not sure how helpful they will be though. 
I've been doing constant research online and it could be anything from cataracts, glaucoma, MS, blood sugar due to diabetes etc. Hoping it will go away on its own though. 
One thing I did not mention above is that this issue started occurring right when I switched to a new diet and started training for a marathon. I went from exercising a few times a month to 6x a week. Could this be related? Possibly due to my new diet and routine? I was thinking that but it's been nearly 3 weeks with this same issue. Luckily the problem has not gotten worse. 
Would like to apologize for the long text but since it's Easter weekend, I won't be able to call a doctor until Tuesday next week. Hoping I can get some peace of mind here. Thank you.</t>
        </is>
      </c>
      <c r="D313" t="n">
        <v>1</v>
      </c>
      <c r="E313" t="n">
        <v>8</v>
      </c>
      <c r="F313">
        <f>HYPERLINK("https://www.reddit.com/r/eyetriage/comments/bewak2/unstable_right_eye_25_weeks_until_ophthalmologist/")</f>
        <v/>
      </c>
      <c r="G313" t="inlineStr">
        <is>
          <t>2019-04-19 00:09:04</t>
        </is>
      </c>
      <c r="H313" t="inlineStr"/>
    </row>
    <row r="314">
      <c r="A314" t="inlineStr">
        <is>
          <t>bf0zmr</t>
        </is>
      </c>
      <c r="B314" t="inlineStr">
        <is>
          <t>Complicated eye problems. Need insight</t>
        </is>
      </c>
      <c r="C314" t="inlineStr">
        <is>
          <t>Before I start,  I want to say i have a myriad of eye problems in my left eye. 
1. I was born 3 months premature and as I've been told "part of my eye didn't develop" which as a result I was born blind in my left eye,  a lazy eye,  and it is more sunken in/ snake than my right. 
2. My right eye has decent vision,  is bigger,  and not lazy eye. 
3. In 2011/2012 I developed a cataract in my left eye (mid twenties) it was left untreated as I did not have an eye doctor and I can't see out of that eye anyway so I left it be. 
4. Turned into hyper mature cataract so it's very noticeable,  on top of my lazy eye.
5. Saw eye doctors in 2018-now. About 6-7 years later,  they said I have glaucoma.  My eye pressure is 54. In the right eye my pressure is 14.
6. Did B Scan, said my cornea is flatter and eye is smaller and different than right eye.  
7. I want to have cataract surgery as I strongly feel the cataract caused the glaucoma,  because I saw eye doctors growing up and they never diagnosed the left eye with anything apart from optic nerve damage as a baby and to just wear glasses. 
8. First opthamologist in 2018 said I have such a unique case,  plus my IOL lens is 54 and they don't make lenses that high.  He said cataract surgery is too risky and wouldn't recommend it but referred me to Johns Hopkins for my unusual case.
9. Just went to Johns Hopkins.  They want to do laser surgery for eye pressure and wouldn't recommend cataract surgery because of the risk of complications with my particular eye and the vision more than likely won't be restored. 
10. I feel removing the cataract will solve the glaucoma because that's what brought it on.  Treating the symptom by reducing pressure and keeping the cataract in the pressure will always be high and I'll have to continue eye drops and possibly another laser surgery to control the pressure. 
So what do I do?
Continue the drops and try to manage without risking my eye. 
Do laser surgery in hopes it'll help the pressure yet risk my eye. 
Do cataract surgery in hopes to control the pressure and eye damage yet risk damage to my eye short or long term. 
I don't have a normal eye so I'm scared even the laser treatment that's less invasive could be damaging.  I mean if they don't want to remove the cataract anyway why not just do the drops.  
My sight will never return but will this cataract cause severe damage if it stays in my eye the rest of my Life?</t>
        </is>
      </c>
      <c r="D314" t="n">
        <v>1</v>
      </c>
      <c r="E314" t="n">
        <v>8</v>
      </c>
      <c r="F314">
        <f>HYPERLINK("https://www.reddit.com/r/eyetriage/comments/bf0zmr/complicated_eye_problems_need_insight/")</f>
        <v/>
      </c>
      <c r="G314" t="inlineStr">
        <is>
          <t>2019-04-19 09:17:37</t>
        </is>
      </c>
      <c r="H314" t="inlineStr"/>
    </row>
    <row r="315">
      <c r="A315" t="inlineStr">
        <is>
          <t>bf1a31</t>
        </is>
      </c>
      <c r="B315" t="inlineStr">
        <is>
          <t>Cataract surgery</t>
        </is>
      </c>
      <c r="C315" t="inlineStr">
        <is>
          <t>I was born blind in my left eye as well as a lazy eye.  I'm now 30. 
I developed a cataract about 6 or 7 years ago which turned into a hypermature cataract.  I also have glaucoma in that eye.  The eye pressure is 54 and it is 14 in the seeing eye.
I know cataract surgery probably won't restore the vision,  but I strongly feel it causes the glaucoma the eye pressure because I never had it until I saw ophthalmologists after my cataract. I've spoken with two opthamologist and one retina specialist.  All three say because of the unique case of my eye,  it's too risky to do the cataract surgery and the alternative is trying to manage the eye pressure
 Well, if the cataract is causing the eye pressure,  wouldn't the obvious thing to do would be to take it out. 
If the doctors are correct and it's too risky because of the way my eye is (cornea being flat,  small eye,  pupil not dilating, hypermature cataract, caused a lot of damage already).... what happens if I leave the cataract for the rest of my life? Will it do more damage? And what damage will it do?</t>
        </is>
      </c>
      <c r="D315" t="n">
        <v>1</v>
      </c>
      <c r="E315" t="n">
        <v>0</v>
      </c>
      <c r="F315">
        <f>HYPERLINK("https://www.reddit.com/r/eyetriage/comments/bf1a31/cataract_surgery/")</f>
        <v/>
      </c>
      <c r="G315" t="inlineStr">
        <is>
          <t>2019-04-19 09:42:20</t>
        </is>
      </c>
      <c r="H315" t="inlineStr"/>
    </row>
    <row r="316">
      <c r="A316" t="inlineStr">
        <is>
          <t>bf1wqk</t>
        </is>
      </c>
      <c r="B316" t="inlineStr">
        <is>
          <t>Cataract sugery</t>
        </is>
      </c>
      <c r="C316" t="inlineStr">
        <is>
          <t xml:space="preserve">
Said i wasnt going to do this but here I go anyways. I"m a 33 year old male, about 10 years ago I had cataract sugery on my right eye. The surgery was chill, however after the 1 day follow up I noticed blackness in the right corner of my eye (I know now that it was the "curtain" warning sign) but my surgeon dismissed it. After that all went smooth no signs, symptoms at all despite the black spot. Then came my one month, got immediately called in and was told my retina was detaching. Long story short i underwent 2 more surgeries with no success. Money ran out, was on the verge of being evicted, so sadly i watched my vision go and endured the oh so fun headaches. Now my left eye is clouding and I'm scheduled for a sugery, (obviously different facility) was checked out by an ophthalmologist referred to a specialist, asked to see a retina specialist who did an extensive check and cleared me. Staff were taken aback (it's super routine for them) by my concern but have been awesome. Have money saved up (actually have a good career now) family willing to chip in but I'm still a little terrified, not of the sugery but after. Any words of advice, reassurance?
Also regarding my right eye, the cataract was mature so was the retina specialists opinion that they couldn't see it prior (why after he couldn't figure) and that the detachment was most likely there already
Thanks for reading the wall of text and any comments</t>
        </is>
      </c>
      <c r="D316" t="n">
        <v>1</v>
      </c>
      <c r="E316" t="n">
        <v>3</v>
      </c>
      <c r="F316">
        <f>HYPERLINK("https://www.reddit.com/r/eyetriage/comments/bf1wqk/cataract_sugery/")</f>
        <v/>
      </c>
      <c r="G316" t="inlineStr">
        <is>
          <t>2019-04-19 10:34:59</t>
        </is>
      </c>
      <c r="H316" t="inlineStr"/>
    </row>
    <row r="317">
      <c r="A317" t="inlineStr">
        <is>
          <t>bf4pc1</t>
        </is>
      </c>
      <c r="B317" t="inlineStr">
        <is>
          <t>Infrared light</t>
        </is>
      </c>
      <c r="C317" t="inlineStr">
        <is>
          <t>Are the infrared patron counters mounted in libraries dangerous to the eyes?</t>
        </is>
      </c>
      <c r="D317" t="n">
        <v>1</v>
      </c>
      <c r="E317" t="n">
        <v>1</v>
      </c>
      <c r="F317">
        <f>HYPERLINK("https://www.reddit.com/r/eyetriage/comments/bf4pc1/infrared_light/")</f>
        <v/>
      </c>
      <c r="G317" t="inlineStr">
        <is>
          <t>2019-04-19 14:41:25</t>
        </is>
      </c>
      <c r="H317" t="inlineStr"/>
    </row>
    <row r="318">
      <c r="A318" t="inlineStr">
        <is>
          <t>bf94na</t>
        </is>
      </c>
      <c r="B318" t="inlineStr">
        <is>
          <t>My left eye twitches almost constantly and has for years. It’s getting to the point where it is affecting my life.</t>
        </is>
      </c>
      <c r="C318" t="inlineStr">
        <is>
          <t>My lower left eyelid twitches all the time. I can sometimes make it stop but I’m not sure what I’m doing besides telling my self to tell my eye to stop. It also gets so bad that the twitch is pulling the top eyelid down with it when I have a spell. I’ve been told years ago that the only thing to fix this would be a shot of Botox? Does anyone else suffer with something similar? What works for you ? I should also mention that it goes nuts when I look to the left. But straight ahead, down, up and to the right is pretty calm compared when I look to the left. If this is the wrong sub reddit I apologize but please direct me to the right one if one exist.</t>
        </is>
      </c>
      <c r="D318" t="n">
        <v>4</v>
      </c>
      <c r="E318" t="n">
        <v>2</v>
      </c>
      <c r="F318">
        <f>HYPERLINK("https://www.reddit.com/r/eyetriage/comments/bf94na/my_left_eye_twitches_almost_constantly_and_has/")</f>
        <v/>
      </c>
      <c r="G318" t="inlineStr">
        <is>
          <t>2019-04-19 22:58:43</t>
        </is>
      </c>
      <c r="H318" t="inlineStr"/>
    </row>
    <row r="319">
      <c r="A319" t="inlineStr">
        <is>
          <t>bf9yn8</t>
        </is>
      </c>
      <c r="B319" t="inlineStr">
        <is>
          <t>Eye Problems and Don’t Have Money For Surgery What Should I Do? Or Just Your Input on my Problem Will Be Helpful</t>
        </is>
      </c>
      <c r="C319" t="inlineStr">
        <is>
          <t>Hello Reddit! I wanted to share the problems I am currently going through with me eye. Sorry if this is the wrong sub reddit to post this to.
**Background Info:**
I have always had shitty vision and problems with my eyes my whole life since I was born but when I was maybe around 15 or so my retina came detached in my left eye out of the blue one day so I went for a surgery to get it fixed but it came detached again so I had another surgery to get it fixed again and I think it happened one more but this time the doctor took the lens out of my eye so this means I can’t focus on stuff it’s just blurry but he did this without my permission because it was “to cloudy” and I still haven’t got it put back in yet and it’s been about 3 years now oh also my retina is partially detached on the bottom so my left eye is pretty much useless.
**Current Day:**
I am correctly 18 and still having problems with my left eye basically the oil they used during surgery to hold the retina in place is breaking apart in my eye so this makes it so my left eye is all bloodshot 24/7 also my eyes are very light sensitive I can’t even look at screens, look around, look at lights, or even look outside without it bothering my eyes also it’s very painful at times depending on what im looking at (lights the worst tho) or if I sit or lay a certain way also it waters a lot too but since im 18 now I am no longer on my parents Medicaid plan which means I can’t get the surgery because my family or I don’t have the money to do it so I tried and went online to apply for Medicaid but no luck I just keep getting a error saying I already have a active case which I don’t so I went and did it in person and it went through but a few months later I get told that im denied and have to do it all again and wait months again.
You guys have no idea the shit I go through on a daily basis trying to deal with my eye and I still go to school and do everything it’s just very difficult and even sometimes I feel like im causing even more damage to my eye doing all this because sometimes I see white flashes which I believe is my retina coming fully detected again and when this happens it’s hurts even when I don’t see the flashes my eye still hurts super badly at time if I don’t get this taking care of soon I will probably be in even more pain and cause permanent damage if it hasn’t already and maybe lose my eye which would suck I haven’t been able to see a doctor in a few months or schedule any surgeries because we just don’t have the money and with all this Medicaid bs I don’t see it being fixed anytime soon which sucks this is affecting my left so much. Sorry if I didn’t explain this to well but what do you guys suggest I do? I know posting this might be pointless just want to get some input.
Thanks for reading!</t>
        </is>
      </c>
      <c r="D319" t="n">
        <v>1</v>
      </c>
      <c r="E319" t="n">
        <v>1</v>
      </c>
      <c r="F319">
        <f>HYPERLINK("https://www.reddit.com/r/eyetriage/comments/bf9yn8/eye_problems_and_dont_have_money_for_surgery_what/")</f>
        <v/>
      </c>
      <c r="G319" t="inlineStr">
        <is>
          <t>2019-04-20 01:04:33</t>
        </is>
      </c>
      <c r="H319" t="inlineStr"/>
    </row>
    <row r="320">
      <c r="A320" t="inlineStr">
        <is>
          <t>bfhz2a</t>
        </is>
      </c>
      <c r="B320" t="inlineStr">
        <is>
          <t>I can see the Phosphenes move when I have only one eye closed</t>
        </is>
      </c>
      <c r="C320" t="inlineStr">
        <is>
          <t>Hello
&amp;amp;#x200B;
I'm currently writing this with a blindfold just over my right eye. As I type this post i can see both the computer and the dancing purple shapes that my right eye sees while it is completely covered. I have asked my father and he shares this problem but my mother does not. I've noticed that only one of my eyes is sensitive to light, that is i can look dead at the sun with my left eye and not even blink while my right eye is hypersensitive to the light. 
&amp;amp;#x200B;
I have 20/20 vision so it's not as if there's an issue with the eyes themselves. 
&amp;amp;#x200B;
I would appreciate any information on this problem or any direction on professionals I can see for what seems to be a neuro-ophthalmology issue.</t>
        </is>
      </c>
      <c r="D320" t="n">
        <v>1</v>
      </c>
      <c r="E320" t="n">
        <v>1</v>
      </c>
      <c r="F320">
        <f>HYPERLINK("https://www.reddit.com/r/eyetriage/comments/bfhz2a/i_can_see_the_phosphenes_move_when_i_have_only/")</f>
        <v/>
      </c>
      <c r="G320" t="inlineStr">
        <is>
          <t>2019-04-20 15:33:43</t>
        </is>
      </c>
      <c r="H320" t="inlineStr"/>
    </row>
    <row r="321">
      <c r="A321" t="inlineStr">
        <is>
          <t>bfn0mn</t>
        </is>
      </c>
      <c r="B321" t="inlineStr">
        <is>
          <t>Left eye gets double vision seemingly randomly.</t>
        </is>
      </c>
      <c r="C321" t="inlineStr">
        <is>
          <t>To start, I had lasik eye surgery in 2017. Ever since the surgery, my vision has been not so good, which my doctor seems to think is from large pupils. I am now taking Xiidra for dry eye and Bromonidine to keep the pupil from dilating. However, with or without these eye drops, my left eye keeps getting double vision randomly. It isn't as noticeable if I allow my left eye to "go lazy" or droop. My lasik doctor found no astigmatism whatsoever and my eyes are not misaligned and otherwise perfectly healthy. 
It is mainly my left eye. My right eye vision is not very good but I do not experience total double vision in text, etc.
Any ideas would be appreciated. Thanks</t>
        </is>
      </c>
      <c r="D321" t="n">
        <v>1</v>
      </c>
      <c r="E321" t="n">
        <v>0</v>
      </c>
      <c r="F321">
        <f>HYPERLINK("https://www.reddit.com/r/eyetriage/comments/bfn0mn/left_eye_gets_double_vision_seemingly_randomly/")</f>
        <v/>
      </c>
      <c r="G321" t="inlineStr">
        <is>
          <t>2019-04-21 02:09:55</t>
        </is>
      </c>
      <c r="H321" t="inlineStr"/>
    </row>
    <row r="322">
      <c r="A322" t="inlineStr">
        <is>
          <t>bfnfzk</t>
        </is>
      </c>
      <c r="B322" t="inlineStr">
        <is>
          <t>Is there a cure for Computer Vision Syndrome ?</t>
        </is>
      </c>
      <c r="C322" t="inlineStr">
        <is>
          <t>I've read some articles saying that you get CVS after using the computer for an extended amount of time. Getting some rest should alleviate the problem. However, I get the symptoms from CVS right after I wake up for classes. The screens in lectures are really bright and the bad lighting just make the symptoms worse. My eyes get really tired, I feel dizzy and it's hard to concentrate on the words. But I only get those symptoms if I look at a bright screen in a dimly lit room. If there is enough sunlight I usually feel fine. It also exclusively happens when I have to read something, I can watch videos or movies just fine.
&amp;amp;#x200B;
I know that CVS causes no long-term damage, but it feels like no matter how much rest I get I'll still get the symptoms. Could it be possible that I permanently damaged an eye muscle that is responsible for high contrasts ? I really am not sure what to do. [This](https://www.vagabondjourney.com/what-is-computer-vision-syndrome-cvs-and-tips-on-how-to-stop-it/) article describes my problems a bit more. Every answer is greatly appreciated since I can't find much info on it.</t>
        </is>
      </c>
      <c r="D322" t="n">
        <v>2</v>
      </c>
      <c r="E322" t="n">
        <v>6</v>
      </c>
      <c r="F322">
        <f>HYPERLINK("https://www.reddit.com/r/eyetriage/comments/bfnfzk/is_there_a_cure_for_computer_vision_syndrome/")</f>
        <v/>
      </c>
      <c r="G322" t="inlineStr">
        <is>
          <t>2019-04-21 03:21:13</t>
        </is>
      </c>
      <c r="H322" t="inlineStr"/>
    </row>
    <row r="323">
      <c r="A323" t="inlineStr">
        <is>
          <t>bfycef</t>
        </is>
      </c>
      <c r="B323" t="inlineStr">
        <is>
          <t>Hard to keep my eyes open in some social situations.</t>
        </is>
      </c>
      <c r="C323" t="inlineStr">
        <is>
          <t>I just cant open my eyes properly.
It happens when anything makes me feel awkward pretty much, getting a haircut, some convos, etc. I can usually stop it if i distract myself but it is really hard to if it feels like they're staring at you.
I think it might be something to do with anxiety but i'm not 100% sure.
Any help would be great.</t>
        </is>
      </c>
      <c r="D323" t="n">
        <v>1</v>
      </c>
      <c r="E323" t="n">
        <v>0</v>
      </c>
      <c r="F323">
        <f>HYPERLINK("https://www.reddit.com/r/eyetriage/comments/bfycef/hard_to_keep_my_eyes_open_in_some_social/")</f>
        <v/>
      </c>
      <c r="G323" t="inlineStr">
        <is>
          <t>2019-04-21 22:21:53</t>
        </is>
      </c>
      <c r="H323" t="inlineStr"/>
    </row>
    <row r="324">
      <c r="A324" t="inlineStr">
        <is>
          <t>bg3gxr</t>
        </is>
      </c>
      <c r="B324" t="inlineStr">
        <is>
          <t>I’m REALLY REALLY scared at the moment. I just need someone to guide me. What should I do and what doctor should i visit? I’ll keep it short for those who dont want to read this so there is a TLDR at the end of this post!</t>
        </is>
      </c>
      <c r="C324" t="inlineStr">
        <is>
          <t>I’m a 22  year old female and my BMI is currently 23. When i was diagnosed it was about 25
2 years ago i felt like i was losing a bit of vision so i went to my ophthalmologist (who specializes in cataracts and cornea) to get new glasses. He noticed that I have papilledema so he referred me to a neurologist.
I had a lumbar puncture. My pressure was only 21 but they still took some of the fluid.
The neurologist diagnosed me with IIH. I had the symptoms at the time like nausea, tinnitus and headaches.
He put me on diamox for a month. After that he put me on BOTH diamox and furosemide for a month. Later i was only on diamox.
My ophthalmologist said the papilledema was getting better. After 4ish months of being on these meds i stopped all of the diuretics. The nausea went away a week or so after stopping the meds.
I felt nauseous 1 month after stopping so i went back to my ophthalmologist without telling him that i have nausea. It was a regular check up and he noticed that the papilledema actually came back so i was put on diamox again. 
The papilledema went away.
Later it came back after stopping the meds. 
i was on diamox again.
Papilledema went away again and i stopped them.
They didnt find a reason for this. But my vision was good again after those diuretics. 
After 1.5 yrs I went to a neuro-ophthalmologist. I had slight papilledema at the time and symptoms but I wasn’t on any meds. He suspected I might have pseudo-papilledema. I told him my ophthalmologist actually suspected this as well but he later find out it wasn’t  pseudo. He was still skeptic
He asked me if i wanted to be on diuretics again or stop them. I told him i wanted to stop them due to side effects so he allowed me to do that if i had regular check ups with him only. I had the visual field test done and it was good.
I visited the neuro-ophthalmologist again after 4ish months. I was symptom-free but i still had the papilledema though and it was the same. It didn’t improve or become worse. He says it’s mild anyway
I had a bright scan done and he told me there are some calcium deposits. He says they’re called Drusen.
He claimed that they‘re probably there since birth and told me not to worry about them since they’re not causing me any symptoms. 
He eventually concluded i might have pseudo-papilledema along with papilledema.
Now im scared of the drusen I have honestly. I don’t want to lose vision because of it. Does it even cause vision loss? 
So my main question is what kind of ophthalmologist should I visit for these issues? And should i worry about the drusen? 
If it matters, im visiting the US soon. Is there a specific doctor or hospital i should visit?
*TLDR:*
After thinking i need new glasses i was diagnosed with papilledema and IIH. I was on diuretics and the papilledema improved.
It came back later and i was on meds again.
I stopped meds and another ophthalmologist found out i have drusen which might cause pseudo-papilledema. My other ophthalmologist suspected that initially but he confirmed I actually DO have papilledema. 
So the new optha said it might be papilledema along with pseudo.
So my main question is what kind of ophthalmologist should I visit for these issues? And should i worry about the drusen? I’m scared honestly. 
If it matters, im visiting the US soon. Is there a specific doctor or hospital i should visit?</t>
        </is>
      </c>
      <c r="D324" t="n">
        <v>1</v>
      </c>
      <c r="E324" t="n">
        <v>1</v>
      </c>
      <c r="F324">
        <f>HYPERLINK("https://www.reddit.com/r/eyetriage/comments/bg3gxr/im_really_really_scared_at_the_moment_i_just_need/")</f>
        <v/>
      </c>
      <c r="G324" t="inlineStr">
        <is>
          <t>2019-04-22 08:34:03</t>
        </is>
      </c>
      <c r="H324" t="inlineStr"/>
    </row>
    <row r="325">
      <c r="A325" t="inlineStr">
        <is>
          <t>bg4xkj</t>
        </is>
      </c>
      <c r="B325" t="inlineStr">
        <is>
          <t>Opthamologist or neurologist? Brain zaps/electric shocks</t>
        </is>
      </c>
      <c r="C325" t="inlineStr">
        <is>
          <t>I'm here to describe a symptom I've been having for 2.5 years--I'm not sure it's related to my eyes. In October 2016, I noticed that when I'd turn my head to the left or right, I'd get an electric shock sensation in my head and down my spine. In the past year, the shocks have started to run down to my toes, my fingers, or the end of my tongue. I can't isolate if this is because of my head movement (my original thought) or my eye movement. I have neurological symptoms and have seen a neurologist. I thought this zap symptom was Lhermitte's sign, but she doesn't think so. 
&amp;amp;#x200B;
Does anyone know if this feeling is related to my eye movements? I don't think I have any other eye issues (other than dryness, which is normal for me, and blurry vision sometimes). Thank you.</t>
        </is>
      </c>
      <c r="D325" t="n">
        <v>2</v>
      </c>
      <c r="E325" t="n">
        <v>4</v>
      </c>
      <c r="F325">
        <f>HYPERLINK("https://www.reddit.com/r/eyetriage/comments/bg4xkj/opthamologist_or_neurologist_brain_zapselectric/")</f>
        <v/>
      </c>
      <c r="G325" t="inlineStr">
        <is>
          <t>2019-04-22 10:37:34</t>
        </is>
      </c>
      <c r="H325" t="inlineStr"/>
    </row>
    <row r="326">
      <c r="A326" t="inlineStr">
        <is>
          <t>bg53oj</t>
        </is>
      </c>
      <c r="B326" t="inlineStr">
        <is>
          <t>Eyelid thicker than the other? Normal?</t>
        </is>
      </c>
      <c r="C326" t="inlineStr">
        <is>
          <t>Hello, just a fellow worry wart here. I am wondering if this is a common finding or if it is bizarre/worrisome. As you can clearly see in this photo, my eye on the right in the photo, the eye margin area is way thicker than the other eye. My eye isn't bothering me, I don't have a stye, it doesnt itch or hurt at all..there are no symptoms lol..i just noticed that in the photo. My eye looked a bit ptosis like the other day but my husband said it looked normal, he didnt see a difference (he's been with me for 4 years) and from some of my photos 3ish years ago, I see it was there too so maybe it looked like that for a while and I am just now noticing it. But then I saw the thickened margin today in this photo and got freaked.
I of course tried to look it up and Diffuse Sebaceaous Cell Carcinoma popped up (joy joy) so I am a little eh ..but am curious if this is some normal anomaly people get or if this looks sus...
&amp;lt;img&amp;gt;https://ibb.co/5G2PD2D&amp;lt;\img&amp;gt;</t>
        </is>
      </c>
      <c r="D326" t="n">
        <v>1</v>
      </c>
      <c r="E326" t="n">
        <v>0</v>
      </c>
      <c r="F326">
        <f>HYPERLINK("https://www.reddit.com/r/eyetriage/comments/bg53oj/eyelid_thicker_than_the_other_normal/")</f>
        <v/>
      </c>
      <c r="G326" t="inlineStr">
        <is>
          <t>2019-04-22 10:51:46</t>
        </is>
      </c>
      <c r="H326" t="inlineStr"/>
    </row>
    <row r="327">
      <c r="A327" t="inlineStr">
        <is>
          <t>bgamwv</t>
        </is>
      </c>
      <c r="B327" t="inlineStr">
        <is>
          <t>I got some bleach in my eye so I washed it out in the shower for about 10-15 minutes. But my eye/vision feels not right. Am I SOL?</t>
        </is>
      </c>
      <c r="C327" t="inlineStr">
        <is>
          <t>I was filling up a bathroom cleaning thing with a crushed bleach tablet and it was mixed with water and it sort of burst right near my left eye and got in it. I got in the shower, washed it out for 10 minutes, got out, googled, it said to wash it out for a minimum of 15 minutes, so I went back in and washed it out for 5 more minutes.
My vision was cloudy for a bit and it felt like I scratched my eye and it burned. I put some drops in and took ibuprofen and it seemed like the cloudiness went away. I called the ophthalmologist next day and they were booked but they gave me an emergency medical appointment with the optometrist the next morning.
The optometrist told me all my eye structures looked fine and to just use some eye drops that she gave me and I would be fine. They did a quick eye test and she said my vision is 20/20 in the left eye. However, something feels off. It sort of hurt/hurts but it isn't in pain too much anymore unless I strain it and focus on it a lot.
Anywho, it seems like my left eye isn't as sharp as my right eye anymore. I could swear it was never a problem but now when I look at my phone with my glasses on or off (esp. off) with my left eye it sort of seems like the eye gets confused and words are sort of blurry. The right eye is perfectly fine.
Everything just seems a bit blurrier, especially smaller stuff. Also, it seems like white text on a black background really bothers me. Really bright stuff like digital clocks or lights seem like it makes me see double sort of (like the light is floating above the light source). 
Its been like 4-5 days and its still not better. Will it ever get better? Am I just imagining things? I would ask to make an appointment with the ophthalmologist but I've got there so much due to other things this year I'm kind of embarrassed. Also the optometrist told me everything looks great and didn't tell me to come back or anything. 
Thanks for any info.</t>
        </is>
      </c>
      <c r="D327" t="n">
        <v>2</v>
      </c>
      <c r="E327" t="n">
        <v>2</v>
      </c>
      <c r="F327">
        <f>HYPERLINK("https://www.reddit.com/r/eyetriage/comments/bgamwv/i_got_some_bleach_in_my_eye_so_i_washed_it_out_in/")</f>
        <v/>
      </c>
      <c r="G327" t="inlineStr">
        <is>
          <t>2019-04-22 19:05:24</t>
        </is>
      </c>
      <c r="H327" t="inlineStr"/>
    </row>
    <row r="328">
      <c r="A328" t="inlineStr">
        <is>
          <t>bghmbs</t>
        </is>
      </c>
      <c r="B328" t="inlineStr">
        <is>
          <t>"Flickering" vision when blinking?</t>
        </is>
      </c>
      <c r="C328" t="inlineStr">
        <is>
          <t>This is probably just me being a hypochondriac again, but what the hell... So, when I close my eyelids and open them, my vision gets a bit flickery. I know it sounds weird, and it's hard to explain, but that's what happens. The flickering lasts for a couple of seconds, and it's basically only noticeable in places with low light. 
It's no flashing or anything, no "light bolts", and I don't see it in bright or pitch-black areas. So I doubt it's retinal detachment or anything like that. Maybe it's just my eyes adjusting, or something?</t>
        </is>
      </c>
      <c r="D328" t="n">
        <v>3</v>
      </c>
      <c r="E328" t="n">
        <v>1</v>
      </c>
      <c r="F328">
        <f>HYPERLINK("https://www.reddit.com/r/eyetriage/comments/bghmbs/flickering_vision_when_blinking/")</f>
        <v/>
      </c>
      <c r="G328" t="inlineStr">
        <is>
          <t>2019-04-23 08:20:49</t>
        </is>
      </c>
      <c r="H328" t="inlineStr"/>
    </row>
    <row r="329">
      <c r="A329" t="inlineStr">
        <is>
          <t>bgkq49</t>
        </is>
      </c>
      <c r="B329" t="inlineStr">
        <is>
          <t>The Dr. Is planning 1 lens implants for my 5 yr old daughter.</t>
        </is>
      </c>
      <c r="C329" t="inlineStr">
        <is>
          <t>So backstory..... My father in law, and my wife had cataracts, 4 of 5 kids have cataracts. 
My wife had lenses removed at 5 and implants in at 10, this meant she wore incredibly thick glasses for five years. Our oldest (17) had surgery at 9 and now has issues with the left lens. We were told this is due to being done to early. He has infections around once year in that eye, and states it feels like something is in his eye on occasion.
The 14 year old had lenses removed at 12 and implants 2 weeks later. Vision has improved greatly it seems. The 12 year old has "spider web" like cataracts and doesn't even need glasses, yet. No plans for surgery with him in the near future. The 7 months old has no cataracts yet! Yippeee! 
My 5 year, Loo, old was in to see our Dr in December, and again today. She has always told us it is best to wait until older for surgery, due to the eyes maturing. Today she expressed concern with Loo's eyes and booked us in for another 2 months. She discussed surgery and the possibility of having to do it soon. I am fine with that. It's best for Loo, and that's what we want.
She discussed putting in lenses that would change her from near to far sighted, but over correcting so she would be very far sighted. This would allow Loo to, grow into them?, and slowly become less far sighted.
My wife wants to discuss removing the lenses and waiting for a few years, as she did. I am fine with this as well.
Could anyone tell me pros and cons of either of these plans? I am not looking to have my mind set before the next appointment, but it would be nice to have some advice, wisdom, sage gems of knowledge, instead of stressing for the next few months.
We would have asked today, but Loo was in the room with us and once she heard about surgery kind of panicked.
Also, are there now better lenses for glasses so she wouldn't have to have bottle bottoms for lenses, as my wife did?
TLDR: 5 yr old will have cataract surgery sooner rather than later, tell me things to inform me about surgery at this age.
Thank you</t>
        </is>
      </c>
      <c r="D329" t="n">
        <v>3</v>
      </c>
      <c r="E329" t="n">
        <v>3</v>
      </c>
      <c r="F329">
        <f>HYPERLINK("https://www.reddit.com/r/eyetriage/comments/bgkq49/the_dr_is_planning_1_lens_implants_for_my_5_yr/")</f>
        <v/>
      </c>
      <c r="G329" t="inlineStr">
        <is>
          <t>2019-04-23 12:42:30</t>
        </is>
      </c>
      <c r="H329" t="inlineStr"/>
    </row>
    <row r="330">
      <c r="A330" t="inlineStr">
        <is>
          <t>bgnqjp</t>
        </is>
      </c>
      <c r="B330" t="inlineStr">
        <is>
          <t>Had strabismus surgery about two months ago to fix my diplopia. It's now come back and even worse. What do I do?</t>
        </is>
      </c>
      <c r="C330" t="inlineStr">
        <is>
          <t>Hi all. About two months ago I went through strabismus surgery to fix my double vision that has been making my life extremely inconvenient and miserable at times for years. Prior to the surgery, I wore prism glasses for about two years, but decided to go for the surgery because I wanted to be done with the problem once and for all. The surgery fixed both my strabismus and double vision for a few weeks, but as I am writing this the double vision has reappeared and is now even worse than before. From looking at myself in the mirror I can tell that the strabismus has come back too, and it also seems worse than before. I went to my doctor's, who recommended me for a month-long treatment of looking at shit on a computer screen with 3D glasses, and honestly I feel like it's making the problem worse. (I am currently in a country where the doctor-patient ratio is much worse than the western world, and getting an appointment with an ophthalmologist is a living fucking nightmare.) 
This is a long shot, but I feel more and more desperate and cheated out of my money every day since the problems have come back. I already have to stare at screens for many hours a day to stay productive, but I force myself to take eye breaks every half an hour or so. What should I do? I frankly don't know shit about ophthalmology except for how to spell the word, and my doctor has pretty much ghosted me. Thanks for your time if you've read this far</t>
        </is>
      </c>
      <c r="D330" t="n">
        <v>6</v>
      </c>
      <c r="E330" t="n">
        <v>6</v>
      </c>
      <c r="F330">
        <f>HYPERLINK("https://www.reddit.com/r/eyetriage/comments/bgnqjp/had_strabismus_surgery_about_two_months_ago_to/")</f>
        <v/>
      </c>
      <c r="G330" t="inlineStr">
        <is>
          <t>2019-04-23 17:10:06</t>
        </is>
      </c>
      <c r="H330" t="inlineStr"/>
    </row>
    <row r="331">
      <c r="A331" t="inlineStr">
        <is>
          <t>bgq3fn</t>
        </is>
      </c>
      <c r="B331" t="inlineStr">
        <is>
          <t>Extreme Light sensitivity</t>
        </is>
      </c>
      <c r="C331" t="inlineStr">
        <is>
          <t>Is being very light sensitive to the point of headaches, a common side effect for new prescription glasses. I’ve been wearing glasses since I was 5. I’m 19 and this is the first time this is happening. I received these new glasses maybe three weeks ago and I’ve been getting headaches from almost all sources of light. I’m wondering if this has to do with my retina. In March 2019 I went to the ophthalmologist and was told I have to come back in 8 months to check if I’m showing more signs of retina degeneration and if the number of floaters increased. He didn’t give much other insight. In conclusion should I be worried and have a talk with my ophthalmologist or is this possibly a consequence of my prescription being too high and I have to get it readjusted? Thank you for any advice.</t>
        </is>
      </c>
      <c r="D331" t="n">
        <v>1</v>
      </c>
      <c r="E331" t="n">
        <v>1</v>
      </c>
      <c r="F331">
        <f>HYPERLINK("https://www.reddit.com/r/eyetriage/comments/bgq3fn/extreme_light_sensitivity/")</f>
        <v/>
      </c>
      <c r="G331" t="inlineStr">
        <is>
          <t>2019-04-23 21:02:59</t>
        </is>
      </c>
      <c r="H331" t="inlineStr"/>
    </row>
    <row r="332">
      <c r="A332" t="inlineStr">
        <is>
          <t>bgqfh7</t>
        </is>
      </c>
      <c r="B332" t="inlineStr">
        <is>
          <t>Please help! Strange eye problem I can’t find answers to is ruining my life</t>
        </is>
      </c>
      <c r="C332" t="inlineStr">
        <is>
          <t>So I have this really strange and frustrating vision problem. I was told I had amblyopia (lazy eye that doesn’t turn in) and eye muscle weakness  back when I was 10. This was fine for awhile after I went to vision therapy, but within the past 3 years it’s gotten worse. 
I would always feel like I saw through some type of dark see through shadow through my right eye if I closed the left one. However, the left eye was always good. It seems to have gotten worse over the past 3 years. It’s very important to note I had a neck fracture that was left untreated for 2 years and ended up having c1-c2 fusion neck surgery in July 2017. This neck surgery is supposedly successful as the bones have fused and I’m not in pain. However this seems to be getting worse.
I have seen 3 eye doctors including a neuroopthamologist to examine my eyes. My optic nerve was healthy, my retina was examined, every test was done but I still feel like this weird sensation is affecting my vision. It’s very hard to describe but it literally feels like pressure mostly in the left eye and feeling like I’m looking through a see through screen where things feel farther away. Nothing is blurry or double. 
My surgeon says vision isn’t connected to where my injury was but I did have years of micro damage to the area. I would think maybe this issue is from my neck issues but it seems so strange that it seems similar to things I’ve had as a child that I just don’t know what this could be. I can’t find anything on good except maybe amblyopia. I can still read 20/20 but I feel like my vision gets darker when I close one eye and depth perception / low light vision is worth. 
I had a brain MRI and it was thankfully clear. Could it have been wrong? What else could this be? Am I just fixating on something that might be minor or so I have some apparently bizarre eye issue?</t>
        </is>
      </c>
      <c r="D332" t="n">
        <v>1</v>
      </c>
      <c r="E332" t="n">
        <v>4</v>
      </c>
      <c r="F332">
        <f>HYPERLINK("https://www.reddit.com/r/eyetriage/comments/bgqfh7/please_help_strange_eye_problem_i_cant_find/")</f>
        <v/>
      </c>
      <c r="G332" t="inlineStr">
        <is>
          <t>2019-04-23 21:40:56</t>
        </is>
      </c>
      <c r="H332" t="inlineStr"/>
    </row>
    <row r="333">
      <c r="A333" t="inlineStr">
        <is>
          <t>bgsb5h</t>
        </is>
      </c>
      <c r="B333" t="inlineStr">
        <is>
          <t>What is this condition that I have with my eyes?</t>
        </is>
      </c>
      <c r="C333" t="inlineStr">
        <is>
          <t>Hello, I have this condition where I basically see a faint line on top of another line. Now, it doesn't only happen to lines, that is just an example. If I see headlights at night, I would basically see another pair of headlights on top of them (assuming I am 10 car lengths away). If I am at the lecture and I look at my professor's hair, I see a very faint duplicate of his hair on top. If I look at the moon, I see an another faint moon on top of it.
&amp;amp;#x200B;
So, I basically have some weird condition where I see a faint duplicate vertically on top of the original image. What is this called?
&amp;amp;#x200B;
Thanks.</t>
        </is>
      </c>
      <c r="D333" t="n">
        <v>2</v>
      </c>
      <c r="E333" t="n">
        <v>3</v>
      </c>
      <c r="F333">
        <f>HYPERLINK("https://www.reddit.com/r/eyetriage/comments/bgsb5h/what_is_this_condition_that_i_have_with_my_eyes/")</f>
        <v/>
      </c>
      <c r="G333" t="inlineStr">
        <is>
          <t>2019-04-24 01:56:13</t>
        </is>
      </c>
      <c r="H333" t="inlineStr"/>
    </row>
    <row r="334">
      <c r="A334" t="inlineStr">
        <is>
          <t>bgv9iz</t>
        </is>
      </c>
      <c r="B334" t="inlineStr">
        <is>
          <t>Foreign body sensation</t>
        </is>
      </c>
      <c r="C334" t="inlineStr">
        <is>
          <t>I'm feeling something scratching my right eye while blinking. My right eye has turned red and small. I'm using ocupol d ointment 2-3 times a day, still no improvement. I'm so worried. I'm having my exam in a week. How to get rid of it?</t>
        </is>
      </c>
      <c r="D334" t="n">
        <v>1</v>
      </c>
      <c r="E334" t="n">
        <v>3</v>
      </c>
      <c r="F334">
        <f>HYPERLINK("https://www.reddit.com/r/eyetriage/comments/bgv9iz/foreign_body_sensation/")</f>
        <v/>
      </c>
      <c r="G334" t="inlineStr">
        <is>
          <t>2019-04-24 07:26:59</t>
        </is>
      </c>
      <c r="H334" t="inlineStr"/>
    </row>
    <row r="335">
      <c r="A335" t="inlineStr">
        <is>
          <t>bgzqus</t>
        </is>
      </c>
      <c r="B335" t="inlineStr">
        <is>
          <t>Need help with vertical strabism</t>
        </is>
      </c>
      <c r="C335" t="inlineStr">
        <is>
          <t>I'm 15, when I was 12 I went to the ophthalmologist and the doctor said my eyes were a little bit vertically misaligned, I had to wear glasses and according to him that would fix it but I didn't, last month I went back and got contacts and soon will be getting glasses too.
I have myopia and astigmatism. My eyes are misaligned but not too much, some people don't even notice it and it gets a little bit more noticeable when I look up.
Only this year it started to bother me, is it too late to fix it without surgery?
If needed I can get some pics to help you guys picture the situation better
I don't remember what the last doctor I went to said or if he even mentioned it, I don't think he did.</t>
        </is>
      </c>
      <c r="D335" t="n">
        <v>1</v>
      </c>
      <c r="E335" t="n">
        <v>4</v>
      </c>
      <c r="F335">
        <f>HYPERLINK("https://www.reddit.com/r/eyetriage/comments/bgzqus/need_help_with_vertical_strabism/")</f>
        <v/>
      </c>
      <c r="G335" t="inlineStr">
        <is>
          <t>2019-04-24 13:43:35</t>
        </is>
      </c>
      <c r="H335" t="inlineStr"/>
    </row>
    <row r="336">
      <c r="A336" t="inlineStr">
        <is>
          <t>bh35ju</t>
        </is>
      </c>
      <c r="B336" t="inlineStr">
        <is>
          <t>What color is the palpebral conjunctiva supposed to be?</t>
        </is>
      </c>
      <c r="C336" t="inlineStr">
        <is>
          <t>What color is the palpebral conjunctiva (that lines the eyelids) supposed to be? Im sorry if I'm using incorrect terminology, but I'm trying to ask about the inside of the eyelids and specifically the inside of the lower eyelid. Should it be uniformly pink or are white patches normal too? My Google images search shows a wide variety of results so I thought I might ask on here. 
My eyes for the past 4 months have gotten increasingly uncomfortable: they feel tight like I've been crying all day, they feel slightly dry, and hurt like an achey pressure. No redness or obviously swelling, and no itching or discharge. It is becoming increasingly worse. My opthomologist says it's allergic conjunctivitis due to my contacts, and she prescribed me ketorolac drops and I use artificial tears a few times a day, which have barely helped. She just keeps telling me that my eyelids aren't dry, they're inflamed. I stopped wearing contacts 4 months ago as well. I will add that I have posterior uveitis and retinal vasculitis as well as Hashimoto's disease and I am currently on oral prednisone. Is there some autoimmune related disease that attacks the conjunctiva like this? OCP? I know it's very rare, especially for my age (20, F) but I already have 2 autoimmune diseases and one is a rare eye disease. I have attached a picture of my lower eyelid. This is becoming increasingly unbearable and my next appointment with my uveitis specialist isn't for 2 weeks.
http://imgur.com/gallery/aC5qOgW</t>
        </is>
      </c>
      <c r="D336" t="n">
        <v>2</v>
      </c>
      <c r="E336" t="n">
        <v>5</v>
      </c>
      <c r="F336">
        <f>HYPERLINK("https://www.reddit.com/r/eyetriage/comments/bh35ju/what_color_is_the_palpebral_conjunctiva_supposed/")</f>
        <v/>
      </c>
      <c r="G336" t="inlineStr">
        <is>
          <t>2019-04-24 19:07:54</t>
        </is>
      </c>
      <c r="H336" t="inlineStr"/>
    </row>
    <row r="337">
      <c r="A337" t="inlineStr">
        <is>
          <t>bh62wt</t>
        </is>
      </c>
      <c r="B337" t="inlineStr">
        <is>
          <t>Sudden but temporary cloudiness bottom left eye?</t>
        </is>
      </c>
      <c r="C337" t="inlineStr">
        <is>
          <t>Thanks to whoever responds. I searched the internet before coming here, and found lots of material on "blurry" vision, but not regarding "cloudy" vision.
Several minutes ago, the bottom third of my left eye field of vision suddenly went gray -- not impervious to light, but, I think, obscuring my vision. A few minutes later, it went away; but this has never happened before.
I used to be diabetic, but haven't been for years. I am a transgender female taking estrogen, which does marginally increase my risk for blood clots, so I suppose it's theoretically possible I've had a stroke? But it wouldn't be my first thought.
Anyway, any suggestions or links would be appreciated. Thanks again.</t>
        </is>
      </c>
      <c r="D337" t="n">
        <v>1</v>
      </c>
      <c r="E337" t="n">
        <v>4</v>
      </c>
      <c r="F337">
        <f>HYPERLINK("https://www.reddit.com/r/eyetriage/comments/bh62wt/sudden_but_temporary_cloudiness_bottom_left_eye/")</f>
        <v/>
      </c>
      <c r="G337" t="inlineStr">
        <is>
          <t>2019-04-25 01:10:37</t>
        </is>
      </c>
      <c r="H337" t="inlineStr"/>
    </row>
    <row r="338">
      <c r="A338" t="inlineStr">
        <is>
          <t>bhc3t1</t>
        </is>
      </c>
      <c r="B338" t="inlineStr">
        <is>
          <t>Run Post Scleral Buckle</t>
        </is>
      </c>
      <c r="C338" t="inlineStr">
        <is>
          <t>I’m now 5 weeks post op for a scleral buckle (no gas, no vitrectomy). I was training for a half marathon right before this happened with a fall marathon on deck. 
Today my doctor cleared me to “go at 75%” with running, said it was him being cautious and that it was a matter of opinion. His reasoning being concern that the bouncing would cause my cryo not to hold (even though it looks good today at appointment). 
My fiancé thinks o should wait a week or two more for a little healing. What would you advise your 26 y/o, F patient?</t>
        </is>
      </c>
      <c r="D338" t="n">
        <v>1</v>
      </c>
      <c r="E338" t="n">
        <v>4</v>
      </c>
      <c r="F338">
        <f>HYPERLINK("https://www.reddit.com/r/eyetriage/comments/bhc3t1/run_post_scleral_buckle/")</f>
        <v/>
      </c>
      <c r="G338" t="inlineStr">
        <is>
          <t>2019-04-25 11:31:11</t>
        </is>
      </c>
      <c r="H338" t="inlineStr"/>
    </row>
    <row r="339">
      <c r="A339" t="inlineStr">
        <is>
          <t>bhcw0x</t>
        </is>
      </c>
      <c r="B339" t="inlineStr">
        <is>
          <t>Spectracide Bug Stop in eyes</t>
        </is>
      </c>
      <c r="C339" t="inlineStr">
        <is>
          <t xml:space="preserve"> 
I  was spraying some plants on a ladder, get off ladder too fast and I  actually caught the spray as it was falling down. I can feel the spray  on my face and some got into my eyes (was wearing glasses). Took a  shower and rinsed my eyes 15 min later, (so didn't rinse right away)   It's been 5,6 hours now and the whole time I didn't feel any pain,  so..should be ok? Eyes aren't red or anything weird.Also the spray is  1,2 years old, so maybe isn't as strong as when it was new (,    R 1400  400 25 L 1500 300 165)   this is the spray  [http://www.spectracide.com/products/insect-killers/home-insect-killers/spectracide-bug-stop-home-barrier-ready-to-use.aspx](http://www.spectracide.com/products/insect-killers/home-insect-killers/spectracide-bug-stop-home-barrier-ready-to-use.aspx)
Some other  general questions I am so nearsighted when I get older will my eyes run  into a lot of problems? Or does it depends on my health at that time and  varies from person to person? Any food or vitamin to help the eyes out?  Also it's been 2 years since I got my eyes checked out, I think I am  supposed to have them checked out every year! But so far so good no  problem. (additional info My work involves pc so all day long I am  staring at monitors, other than that I watch tv a lot)  thanks for your  help!</t>
        </is>
      </c>
      <c r="D339" t="n">
        <v>1</v>
      </c>
      <c r="E339" t="n">
        <v>0</v>
      </c>
      <c r="F339">
        <f>HYPERLINK("https://www.reddit.com/r/eyetriage/comments/bhcw0x/spectracide_bug_stop_in_eyes/")</f>
        <v/>
      </c>
      <c r="G339" t="inlineStr">
        <is>
          <t>2019-04-25 12:39:20</t>
        </is>
      </c>
      <c r="H339" t="inlineStr"/>
    </row>
    <row r="340">
      <c r="A340" t="inlineStr">
        <is>
          <t>bhe6x5</t>
        </is>
      </c>
      <c r="B340" t="inlineStr">
        <is>
          <t>Bluelight filter with electroretinogram</t>
        </is>
      </c>
      <c r="C340" t="inlineStr">
        <is>
          <t>Hello, I know this may sound like a dumb question. But I was wondering how severely would an electroretinogram test be affected while wearing bluelight filter glasses. It should be really affected right? The scotopic and photopic a-waves and b- waves are low. I did not get the results by a doctor yet. Just had it done recently and looked at the paper I received regarding this test.</t>
        </is>
      </c>
      <c r="D340" t="n">
        <v>1</v>
      </c>
      <c r="E340" t="n">
        <v>4</v>
      </c>
      <c r="F340">
        <f>HYPERLINK("https://www.reddit.com/r/eyetriage/comments/bhe6x5/bluelight_filter_with_electroretinogram/")</f>
        <v/>
      </c>
      <c r="G340" t="inlineStr">
        <is>
          <t>2019-04-25 14:32:36</t>
        </is>
      </c>
      <c r="H340" t="inlineStr"/>
    </row>
    <row r="341">
      <c r="A341" t="inlineStr">
        <is>
          <t>bhkirx</t>
        </is>
      </c>
      <c r="B341" t="inlineStr">
        <is>
          <t>Hard chalazion on my lower eye lid for 9 months, getting desperate.</t>
        </is>
      </c>
      <c r="C341" t="inlineStr">
        <is>
          <t>I live in the UK and I went to an optician about this and they viewed it and tried to burst it but it was too hard. They referred me for surgery but it’s been a very long time and I still haven’t gone to the actual surgery as there is a long queue apparently. How can I burst this with a needle I’m getting desperate.</t>
        </is>
      </c>
      <c r="D341" t="n">
        <v>2</v>
      </c>
      <c r="E341" t="n">
        <v>4</v>
      </c>
      <c r="F341">
        <f>HYPERLINK("https://www.reddit.com/r/eyetriage/comments/bhkirx/hard_chalazion_on_my_lower_eye_lid_for_9_months/")</f>
        <v/>
      </c>
      <c r="G341" t="inlineStr">
        <is>
          <t>2019-04-26 02:53:25</t>
        </is>
      </c>
      <c r="H341" t="inlineStr"/>
    </row>
    <row r="342">
      <c r="A342" t="inlineStr">
        <is>
          <t>bhoshn</t>
        </is>
      </c>
      <c r="B342" t="inlineStr">
        <is>
          <t>Dry eye MGD</t>
        </is>
      </c>
      <c r="C342" t="inlineStr">
        <is>
          <t>Hey guys, I was pretty recently diagnosed with dry eye and I have a couple questions. I am 23F, and my optometrist says I have dry eye syndrome because of MGD.
1) I have been using the Refresh Optive preservative free eye drops with the Omega 3 for about a month now, and I always taste it after I put them in. Recently my throat has been getting kinda sore and I think it is the eye drops (this did not happen for the first 2 weeks of using them though) Has anyone seen this or have any tips about how to avoid this kind of problem? I have tried some things to avoid the drainage of the drops into my throat (keeping my eyes closed for a few minutes, pinching my nose near the corner of my eyes) but nothing is really helping and I'm scared I'm going to damage my throat(is that even possible with these eye drops?).
2) I was told to do warm compresses with a Bruder mask, but is there really a difference between using one of these heat masks vs using a hot wet towel or rice in a wet handkerchief/sock? Should I buy the mask?
Thanks for any input!</t>
        </is>
      </c>
      <c r="D342" t="n">
        <v>1</v>
      </c>
      <c r="E342" t="n">
        <v>5</v>
      </c>
      <c r="F342">
        <f>HYPERLINK("https://www.reddit.com/r/eyetriage/comments/bhoshn/dry_eye_mgd/")</f>
        <v/>
      </c>
      <c r="G342" t="inlineStr">
        <is>
          <t>2019-04-26 10:10:28</t>
        </is>
      </c>
      <c r="H342" t="inlineStr"/>
    </row>
    <row r="343">
      <c r="A343" t="inlineStr">
        <is>
          <t>bhtvxq</t>
        </is>
      </c>
      <c r="B343" t="inlineStr">
        <is>
          <t>Superior Limbic Keratoconjunctivitis</t>
        </is>
      </c>
      <c r="C343" t="inlineStr">
        <is>
          <t>I made a post yesterday or the day before about my chronic papilary conjunctivitis that was causing me increasing discomfort despite months of no contact wearing, ketorolac drops, and artificial tears.
I was doing research and I found something that I think (not knowing much because obviously im not a doctor) sounds like what I have! Superior Limbic Keratoconjunctivitis literally fits my symptoms and medical history so well. According to my research it can cause papillary on the conjunctiva, dryness, irritation, and is found in patients with thyroid problems! It seems like most types of conjunctivitis cause more discharge, and this is one of the few I saw that causes increased dryness. I was diagnosed with Hashimoto's and  I also have autoimmune issues (posterior uveits and ANA of 1:1280) Thoughts?? Should I bring this up with my opthomologist?</t>
        </is>
      </c>
      <c r="D343" t="n">
        <v>1</v>
      </c>
      <c r="E343" t="n">
        <v>3</v>
      </c>
      <c r="F343">
        <f>HYPERLINK("https://www.reddit.com/r/eyetriage/comments/bhtvxq/superior_limbic_keratoconjunctivitis/")</f>
        <v/>
      </c>
      <c r="G343" t="inlineStr">
        <is>
          <t>2019-04-26 18:10:08</t>
        </is>
      </c>
      <c r="H343" t="inlineStr"/>
    </row>
    <row r="344">
      <c r="A344" t="inlineStr">
        <is>
          <t>bhvsjv</t>
        </is>
      </c>
      <c r="B344" t="inlineStr">
        <is>
          <t>Constantly worrying about my eyes</t>
        </is>
      </c>
      <c r="C344" t="inlineStr">
        <is>
          <t>Hi all, I’m constantly stressed and worrying about my eye sight, my eye specialist said he doesn’t need to see me for a year but I feel like that’s too long. Am I being a hypochondriac?</t>
        </is>
      </c>
      <c r="D344" t="n">
        <v>1</v>
      </c>
      <c r="E344" t="n">
        <v>1</v>
      </c>
      <c r="F344">
        <f>HYPERLINK("https://www.reddit.com/r/eyetriage/comments/bhvsjv/constantly_worrying_about_my_eyes/")</f>
        <v/>
      </c>
      <c r="G344" t="inlineStr">
        <is>
          <t>2019-04-26 22:04:59</t>
        </is>
      </c>
      <c r="H344" t="inlineStr"/>
    </row>
    <row r="345">
      <c r="A345" t="inlineStr">
        <is>
          <t>bi6ry8</t>
        </is>
      </c>
      <c r="B345" t="inlineStr">
        <is>
          <t>A different kind of blue light</t>
        </is>
      </c>
      <c r="C345" t="inlineStr">
        <is>
          <t>Ok so I've read all the talk about how blue light isn't great for your eyes, but what about blue light in the most literal sense? I have a bunch of small light strips hanging above my loft desk that I leave blue most of the time since I heard a long time ago that blue lights were good for your eyes. Are literal blue lightbulbs as bad for your eyes as UV and computer monitors? Thanks!</t>
        </is>
      </c>
      <c r="D345" t="n">
        <v>1</v>
      </c>
      <c r="E345" t="n">
        <v>2</v>
      </c>
      <c r="F345">
        <f>HYPERLINK("https://www.reddit.com/r/eyetriage/comments/bi6ry8/a_different_kind_of_blue_light/")</f>
        <v/>
      </c>
      <c r="G345" t="inlineStr">
        <is>
          <t>2019-04-27 19:47:41</t>
        </is>
      </c>
      <c r="H345" t="inlineStr"/>
    </row>
    <row r="346">
      <c r="A346" t="inlineStr">
        <is>
          <t>bichc6</t>
        </is>
      </c>
      <c r="B346" t="inlineStr">
        <is>
          <t>Could/should my acute retinal detachment have been caught sooner?</t>
        </is>
      </c>
      <c r="C346" t="inlineStr">
        <is>
          <t>I (39M, writing from the UK) am very short sighted (-7) and have therefore been warned frequently that I am at high risk of retinal detachment. When I started seeing flashing lights and blurriness at the edge of my vision I went straight to A&amp;amp;E. By the time I was seen, the flashing lights had subsided, but there was still something wrong with my vision, though I was struggling to say exactly what. I was also experiencing some non typical sensations - not exactly pain but something clearly out of the ordinary. My eyes were examined, but with inconclusive results. I was advised to report to the local eye emergency centre as soon as it opened the next day, which I did.
During this second examination I was told that I had a "chronic retinal detachment" which had been ongoing for some time, and was unlikely to be the cause of the symptoms I had experienced, which were most likely migraine related (though I have never suffered migraines previously) . This was based on the location of the flashing lights in my field of vision, and the pictures of them I picked out from a line-up. Once I knew where to look in my field of vision, I was able to see a small shadow on that edge of my vision which wasn't there on the other side.
Reassured that my condition was not urgent, I went home with the understanding that a follow up appointment would be arranged for me with a retina specialist. However, before that happened, on the third day after my previous appointment, I woke up with a black curtain across more than half of my field of vision in the same eye. Obviously I returned to the emergency eye centre, where I was diagnosed by a different doctor with an acute retinal detachment. I was warned that, because my macula was detached, I would likely suffer permanent impairment to my vision. The next day I had a vitrectomy and gas tamponade surgery, from which I am now recovering.
The reason I am posting here is that, I have some concerns over whether the correct decision was made when I was first diagnosed with a chronic retinal detachment, and I am not clear how to resolve these concerns one way or the other. During that meeting, there was a long silence during which the doctor seemed deep in thought. I prompted him and he said that he was wondering whether to send me to see a retina specialist that day. Obviously he decided against it. It seems like that moment  was possibly pivotal, and a different decision might have resulted in the surgery happening before my macula was impacted, leading to a much better outcome. Note that I don't dispute that I had a CRD. I'm just not convinced that that was the only thing going on that day. 
I've tried to raise this with the doctors who saw me prior to surgery. The story that I am getting is that the ARD happened after the pivotal meeting with the emergency eye doctor. I find that a little bit difficult to square with the quite profound symptoms I was experiencing - even if they don't totally match what is expected in my case, it's hard to accept they were an unrelated coincidence.
What I am trying to figure out is, whether  more could have been done earlier. Obviously I don't have the expertise to figure that out myself, and the specialists I now have access to all know the doctor in the pivotal meeting. I have no reason to doubt their honesty, but obviously it's hard to view their opinion of their colleague's decision as totally unbiased.
Here are some concrete questions that I have, which I realise you probably can't give concrete answers to. I really haven't prejudged the answers. 
Is it plausible that I had an ARD so shortly after being told I did not have one?
If its likely that my initial symptoms were caused by or a prelude to the ARD, should this have been caught during my first examination, or is this a case where the diagnostics are just too difficult to do accurately?
What if anything should I do next? I'm reluctant to involve a solicitor, partly because I'm worried that it is in their interest to encourage me to take legal action, regardless of whether that is the correct route for me. Is there some way that I can speak to an independent medical person? How would I go about this? Given that it's after the event, are they likely to be able to give me any further clarity?
FWIW I have no desire to make this doctors life difficult. I'm just scared that, if this were to happen to my other eye the repercussions would be devastating to me and my family, who are highly dependent on my income. If that happens then, the decisions that were made in my recent past may turn out to be life changing.
Thanks for reading!</t>
        </is>
      </c>
      <c r="D346" t="n">
        <v>1</v>
      </c>
      <c r="E346" t="n">
        <v>3</v>
      </c>
      <c r="F346">
        <f>HYPERLINK("https://www.reddit.com/r/eyetriage/comments/bichc6/couldshould_my_acute_retinal_detachment_have_been/")</f>
        <v/>
      </c>
      <c r="G346" t="inlineStr">
        <is>
          <t>2019-04-28 08:38:34</t>
        </is>
      </c>
      <c r="H346" t="inlineStr"/>
    </row>
    <row r="347">
      <c r="A347" t="inlineStr">
        <is>
          <t>bip13o</t>
        </is>
      </c>
      <c r="B347" t="inlineStr">
        <is>
          <t>Possible causes of PVD in 28F?</t>
        </is>
      </c>
      <c r="C347" t="inlineStr">
        <is>
          <t>Age: 28. Sex: female. Height: 5’8”. Weight: a lot. Race: white/Hispanic/native. Duration: 2 weeks. Medical issues: sinus tachycardia, fibromyalgia, lower back/sacroiliac pain, migraines, bilateral monocular polyopia. Prescription medications: propranolol, duloxetine, amitriptyline, topamax, aimovig, methocarbamol, magnesium oxide. 
TL;DR: what are possible causes of symptomatic vitreous detachment in a 28 year old female, no trauma, -1.25 and -1.5 diopters?
For a couple years I’ve known I have lattice degeneration and small holes in both retinas. 2 weeks ago I began experiencing falling flashes of light in the peripheral vision of my right eye. I was finally able to get in to see a retina specialist last Friday, and he says I have PVD in my right eye and maybe a couple other acronyms I didn’t catch.
I have an appointment in 2 weeks for laser repair. He’s going to put in a request to my insurance to repair both eyes? since the other one doesn’t look great.
I’ve been reading about this a lot since I’m a naturally curious person. I see it tends to happen to people after their 50s (or 80s), people who’ve had trauma to the eye, or people with diopters over 6... but I am none of these things. I can’t find any information about it happening to people who are in their 20s or 30s. So my question is what are some factors that could have led to my bad retinas?</t>
        </is>
      </c>
      <c r="D347" t="n">
        <v>1</v>
      </c>
      <c r="E347" t="n">
        <v>1</v>
      </c>
      <c r="F347">
        <f>HYPERLINK("https://www.reddit.com/r/eyetriage/comments/bip13o/possible_causes_of_pvd_in_28f/")</f>
        <v/>
      </c>
      <c r="G347" t="inlineStr">
        <is>
          <t>2019-04-29 05:41:45</t>
        </is>
      </c>
      <c r="H347" t="inlineStr"/>
    </row>
    <row r="348">
      <c r="A348" t="inlineStr">
        <is>
          <t>biuxtc</t>
        </is>
      </c>
      <c r="B348" t="inlineStr">
        <is>
          <t>Blurry/double Vision</t>
        </is>
      </c>
      <c r="C348" t="inlineStr">
        <is>
          <t>Hi guys I had my yearly vision exam in January and I went back in March for the same issue. I need to know if I need to get another opinion . My last rx was Jan D.V/ OD -100, OS -50, PD63 My concern is; My eyes are very dry when I wake up almost to the point it hurts to open them. I do artificial tears before I go to bed and the second I wake up. Some days when I wake up in the morning my vision is very blurry, almost cloudy and I have doubled vision in both eyes. I literally feel like my eyeballs have been coated in vaseline. Eye drops do not help and it will last until I get up the next day. It is so blurry and double vision my prescription glasses do not help, I might as well not be wearing them. I brought it up to my optometrist during both visits and it was brushed off "just put some drops in when you wake up". I am getting concerned because it seems to be happening more frequently, from once or twice a month to 2 to 3 times a week. Reading, time in the sun, computertime,  being out in the wind do not seem to be triggers.</t>
        </is>
      </c>
      <c r="D348" t="n">
        <v>3</v>
      </c>
      <c r="E348" t="n">
        <v>4</v>
      </c>
      <c r="F348">
        <f>HYPERLINK("https://www.reddit.com/r/eyetriage/comments/biuxtc/blurrydouble_vision/")</f>
        <v/>
      </c>
      <c r="G348" t="inlineStr">
        <is>
          <t>2019-04-29 14:21:48</t>
        </is>
      </c>
      <c r="H348" t="inlineStr"/>
    </row>
    <row r="349">
      <c r="A349" t="inlineStr">
        <is>
          <t>bivngt</t>
        </is>
      </c>
      <c r="B349" t="inlineStr">
        <is>
          <t>Eye problems going on 5 years now.</t>
        </is>
      </c>
      <c r="C349" t="inlineStr">
        <is>
          <t xml:space="preserve"> 
So for the last 5 years I've always struggled conforming to my eyeglass prescription... OD - Right(SPH) -1.0(CYL) -0.5Axis 120.0OS - Left(SPH) -0.75(CYL) -0.25Axis 35.0NV-ADDNone.
Basically my eyes have always felt heavy and tired, even though i'm getting enough sleep and not drinking a lot of caffeine. I've noticed that when its especially bad my eyeballs feel harder to the touch and seem stiffer? I know that sounds kind of bizarre but something just doesn't seem right. It is this way with no contacts/glasses or contacts on. With glasses they help a bit, but feels uncomfortable. I've dealt with this for a while now and it seems like it is getting worse. I've mentioned this to doctors, but because i've always had allergy issues, they always blame that. I am on medication for them and have had no allergy symptoms for quite some time. If anyone has any information that can help me get to the bottom of whats going on, I would be extremely appreciative. Have a great day!
[https://imgur.com/a/uRyD5pN](https://imgur.com/a/uRyD5pN)</t>
        </is>
      </c>
      <c r="D349" t="n">
        <v>2</v>
      </c>
      <c r="E349" t="n">
        <v>7</v>
      </c>
      <c r="F349">
        <f>HYPERLINK("https://www.reddit.com/r/eyetriage/comments/bivngt/eye_problems_going_on_5_years_now/")</f>
        <v/>
      </c>
      <c r="G349" t="inlineStr">
        <is>
          <t>2019-04-29 15:26:11</t>
        </is>
      </c>
      <c r="H349" t="inlineStr"/>
    </row>
    <row r="350">
      <c r="A350" t="inlineStr">
        <is>
          <t>biz0wx</t>
        </is>
      </c>
      <c r="B350" t="inlineStr">
        <is>
          <t>Do ophthalmologists typically read MRIs or only the report?</t>
        </is>
      </c>
      <c r="C350" t="inlineStr">
        <is>
          <t>I have an ophthalmologist who I will be seeing soon. My PCP (internist) has ordered an MRI of brain and orbits for reasons partly related to changes in vision which my ophthalmologist is aware of (we're on a wait-and-watch plan as his past examinations have been normal, but he has suggested the problem may be neurological). I intend to share the results of the MRI with his office prior to our appointment but don't know whether he would benefit from receiving a disk containing the images or only the report.
I can call the office to ask but am interested in how common it is for ophthalmologists to review MRIs themselves vs strictly read reports provided by radiologists. I've seen a lot of variation in other fields regarding how much the physician trusts the radiologist's word vs wants to form their own opinion and as a curious person with a variety of medical issues, I find it very helpful and interesting to learn more about the different medical specializations.
Thanks in advance for your input.</t>
        </is>
      </c>
      <c r="D350" t="n">
        <v>1</v>
      </c>
      <c r="E350" t="n">
        <v>7</v>
      </c>
      <c r="F350">
        <f>HYPERLINK("https://www.reddit.com/r/eyetriage/comments/biz0wx/do_ophthalmologists_typically_read_mris_or_only/")</f>
        <v/>
      </c>
      <c r="G350" t="inlineStr">
        <is>
          <t>2019-04-29 21:12:27</t>
        </is>
      </c>
      <c r="H350" t="inlineStr"/>
    </row>
    <row r="351">
      <c r="A351" t="inlineStr">
        <is>
          <t>bj45xa</t>
        </is>
      </c>
      <c r="B351" t="inlineStr">
        <is>
          <t>What eye discharges are normal?</t>
        </is>
      </c>
      <c r="C351" t="inlineStr">
        <is>
          <t>Hey everyone, this morning I woke up with a couple different things around my eyes and I just wanted to check if they're normal because sometimes I get prematurely stressed about these things.
I had some dried whitish flaky stuff on my eyelashes (I have been diagnosed with dry eye so that's not to surprising, it's probably blepharitis?)
There was dried hard stuff by the inner corner of my eye (sleep sand?)
The one that is worrying me a bit is that I had some wet mucous on near the inner corner of one eye, it was whitish colored and sorta sticky so when I pulled it away it was a bit stringy. Could this be an infection or should I not worry about it?
Thanks!</t>
        </is>
      </c>
      <c r="D351" t="n">
        <v>1</v>
      </c>
      <c r="E351" t="n">
        <v>3</v>
      </c>
      <c r="F351">
        <f>HYPERLINK("https://www.reddit.com/r/eyetriage/comments/bj45xa/what_eye_discharges_are_normal/")</f>
        <v/>
      </c>
      <c r="G351" t="inlineStr">
        <is>
          <t>2019-04-30 07:47:34</t>
        </is>
      </c>
      <c r="H351" t="inlineStr"/>
    </row>
    <row r="352">
      <c r="A352" t="inlineStr">
        <is>
          <t>bjau1n</t>
        </is>
      </c>
      <c r="B352" t="inlineStr">
        <is>
          <t>Do I need another Refraction Test?</t>
        </is>
      </c>
      <c r="C352" t="inlineStr">
        <is>
          <t>The nurse/assistant took me into a room and had me look into a machine and I think that I was looking at a picture of a desert. I can't remember. After that was done, she took me to the ophthalmologist. He did the pinhole test and next, he put the thing that has all of the lenses on it in front of my face. The Phoropter. It had a rubber tube on it to rest your forehead against. While I was looking through the lenses on my left eye, it was a breeze. I gently pressed the tube against my head the whole time, but on my right eye, my vision is worse. He wouldn't change the lenses and kept saying, "Try really hard! Keep trying! Don't forget to blink" and without thinking about it, I smashed the rubber tube flat with my forehead so that I could get my right eye closer to the lens. I'm now worried that if I buy glasses with the prescription that he gave to me, for it to be correct, I would have to uncomfortably twist my new glasses on my face so that my right lens is way closer to my eye than my left one. What do you think? I was also complaining of double vision this time which I've never had before so at the end of the test, he projected a black dot on the wall and asked if I saw one dot or two while I was looking through the Phoropter. I closed my eyes, opened them, and very quickly the two dots became one so I said one but maybe I should've said two. What do you think? I just don't want to buy expensive glasses that I can't use because my prescription isn't accurate. I'm 31 years old.</t>
        </is>
      </c>
      <c r="D352" t="n">
        <v>2</v>
      </c>
      <c r="E352" t="n">
        <v>1</v>
      </c>
      <c r="F352">
        <f>HYPERLINK("https://www.reddit.com/r/eyetriage/comments/bjau1n/do_i_need_another_refraction_test/")</f>
        <v/>
      </c>
      <c r="G352" t="inlineStr">
        <is>
          <t>2019-04-30 17:22:07</t>
        </is>
      </c>
      <c r="H352" t="inlineStr"/>
    </row>
    <row r="353">
      <c r="A353" t="inlineStr">
        <is>
          <t>bjclyx</t>
        </is>
      </c>
      <c r="B353" t="inlineStr">
        <is>
          <t>Can someone help me figure out how to get the correct lens prescription with dry eye?</t>
        </is>
      </c>
      <c r="C353" t="inlineStr">
        <is>
          <t>&amp;amp;#x200B;
I  have had massive dry eyes for years. Short background I have Sjogrens  Syndrome co-morbid to Rheumatism. My eyes I have paving stones and an  astigmatism in both eyes. When a test is done to test my tears there are  none. I have duct plugs that I got just today. My question is this.  Each time I go in to try to get glasses my prescription is not right. I  can be shown one lens and it looks fin the other looks horrible I blink  the one that looked fine looks horrible and vice versa. It is never  accurate. What is a way to get an accurate reading on someones  prescription needs if it changes so much? In three days I have gone to  two different optometrists and one ophthalmologist and they all came up  with wildly varying results in prescription (the first optometrist was  rude so I went to see a better one also did the test but referred me to  an ophthalmologist for interoccular eye pressure who did the test as  well just to be sure). I am getting very stressed. the reason I believe I  need new glasses is that my right eye does not seem to want to focus on  lettering it is like it is trying to look "through" things. Imagine one  of those pictures in the mall where you look at the lines and then  suddenly, you see something else. It is like that. I am afraid that I  will drop 500-700 on glasses that only work if I have eye drops in or  only work if I am blinking like crazy or may be too strong or too weak.  How do you get around this?
1 comment</t>
        </is>
      </c>
      <c r="D353" t="n">
        <v>1</v>
      </c>
      <c r="E353" t="n">
        <v>4</v>
      </c>
      <c r="F353">
        <f>HYPERLINK("https://www.reddit.com/r/eyetriage/comments/bjclyx/can_someone_help_me_figure_out_how_to_get_the/")</f>
        <v/>
      </c>
      <c r="G353" t="inlineStr">
        <is>
          <t>2019-04-30 20:26:53</t>
        </is>
      </c>
      <c r="H353" t="inlineStr"/>
    </row>
    <row r="354">
      <c r="A354" t="inlineStr">
        <is>
          <t>bjme3t</t>
        </is>
      </c>
      <c r="B354" t="inlineStr">
        <is>
          <t>Transient visual disturbances</t>
        </is>
      </c>
      <c r="C354" t="inlineStr">
        <is>
          <t>* Pertinent History:  
* 25yr old female
* Severely impaired vision in R eye, normal vision in L eye (uncorrected is 20/40, worsening with age)
   * Impairment present at birth and went untreated, now considered legally blind in R eye but can see large objects, bright, dark, etc
      * Of note, vision in R eye seems to be getting better over time, unsure if actually true as I only ever get told it's blind and that testing cannot tell acuity of this eye.
   * R eye impairment means I'm L eye dominant and as such generally don't receive much visual input from R eye
      * HOWEVER, I have a 15yr history of double vision caused by r/L eyes not working together. Double generally only bothersome when fatigued or following concussion/s
* No other known eye disorders
* No personal history of neurological, endocrine disorders with the exception of hypothyroidism
   * I have gotten a concussion before, possibly multiple. A few years back I hit my head pretty hard and had all the classic symptoms of concussion and was diagnosed with a mild concussion. Since then I have hit my head a few other times (fast paced work, lots of hazards, and impaired peripheral vision will do that to you) and have had two additional instances of long standing persistent double vision following smacking my head on something. 
&amp;amp;#x200B;
Current issue:  
* In August of last year I experienced a loss of central vision. Onset was slow and it wasn't noticed until I realized I was unable to read. I was at work at the time and took a break and my vision was restored within about 30-40minutes. No other symptoms noted. I took my BP at the time and it was normal.
   * Best way to describe it is it's as if I have a black disk floating in the center of my vision.
* I have now had about 6-7 similar episodes with most lasting about 40 minutes until full resolution. 
   * During the worst episode I had total loss of vision on right side.
* I saw my eye doctor and primary care practitioner, they believed it to be caused by ocular migraines and suggested I get off hormonal contraception due to increased risk of stroke. I have gotten off my birth control since then and have noticed that the episodes aren't as frequent and are not as severe.
* Now, **this is the biggie**, I have noticed that I will seemingly randomly get a dark cloud over the central portion of my right eye, if that makes sense. The 'migraines' were complete black disk blocking out all central visual input while this is kind of like a black shade dulling/dimming central visual input primarily in my right eye. These episodes are random and are unlike the 'migraines' as I cannot exactly say when they start or stop and they do not impair me really.
&amp;amp;#x200B;
Any ideas what could cause this? I'm at a loss and have been having trouble finding a reasonable answer. I do intend to see an eye doctor again however am wondering if I should first see my primary care doctor or an eye doctor or what even to do.</t>
        </is>
      </c>
      <c r="D354" t="n">
        <v>1</v>
      </c>
      <c r="E354" t="n">
        <v>4</v>
      </c>
      <c r="F354">
        <f>HYPERLINK("https://www.reddit.com/r/eyetriage/comments/bjme3t/transient_visual_disturbances/")</f>
        <v/>
      </c>
      <c r="G354" t="inlineStr">
        <is>
          <t>2019-05-01 13:58:49</t>
        </is>
      </c>
      <c r="H354" t="inlineStr"/>
    </row>
    <row r="355">
      <c r="A355" t="inlineStr">
        <is>
          <t>bjojri</t>
        </is>
      </c>
      <c r="B355" t="inlineStr">
        <is>
          <t>Unilateral eye pain with brief episodes of blurred vision, evolving into 4 day long headache</t>
        </is>
      </c>
      <c r="C355" t="inlineStr">
        <is>
          <t xml:space="preserve">
-Right eyelid constantly puffy (more like edema than infection)
-Severe headaches and pressure in and behind the right eye for the last four days, not relieved by Advil
~20 second episodes of suddenly vaguely blurred  vision in my right eye (have been happening periodically for the past six weeks or so)
-pain/pressure when looking left or right 
Please let me know if there is anything else I should be checking for, or if you have an idea of what it might possibly be! Thanks so much!!</t>
        </is>
      </c>
      <c r="D355" t="n">
        <v>1</v>
      </c>
      <c r="E355" t="n">
        <v>7</v>
      </c>
      <c r="F355">
        <f>HYPERLINK("https://www.reddit.com/r/eyetriage/comments/bjojri/unilateral_eye_pain_with_brief_episodes_of/")</f>
        <v/>
      </c>
      <c r="G355" t="inlineStr">
        <is>
          <t>2019-05-01 17:18:57</t>
        </is>
      </c>
      <c r="H355" t="inlineStr"/>
    </row>
    <row r="356">
      <c r="A356" t="inlineStr">
        <is>
          <t>bjowap</t>
        </is>
      </c>
      <c r="B356" t="inlineStr">
        <is>
          <t>Need help finding the name for an eye disorder</t>
        </is>
      </c>
      <c r="C356" t="inlineStr">
        <is>
          <t>Hello,
Last year I had to go see an opthalmologist because I was seeing some floaters/flash/small black dots in my left eye. I experienced no pain or discomfort. My opthalmologist did the usual exam and found nothing out of the ordinary. He then injected some dye into me and took some pictures. In those pictures, I could see my veins and these little dots that had been blocking my vision.
He told me what I had was a rare eye disorder that usually happens to healthy, young female. It's something to do with the immune system fighting something in the eyes. It has a rather long name, if I recall correctly. There is no treatment for this, it just goes away by itself; however, it takes a long time (weeks to months). In my case, I gained back my vision 100% after around 3-4months.
Everything was good until now. I think I'm having it again.
I would like to read up more about it, but I just can't remember what the name of this disorder.
Does anyone know what this disorder is called? 
Thank you in advance for your help.</t>
        </is>
      </c>
      <c r="D356" t="n">
        <v>3</v>
      </c>
      <c r="E356" t="n">
        <v>11</v>
      </c>
      <c r="F356">
        <f>HYPERLINK("https://www.reddit.com/r/eyetriage/comments/bjowap/need_help_finding_the_name_for_an_eye_disorder/")</f>
        <v/>
      </c>
      <c r="G356" t="inlineStr">
        <is>
          <t>2019-05-01 17:55:00</t>
        </is>
      </c>
      <c r="H356" t="inlineStr"/>
    </row>
    <row r="357">
      <c r="A357" t="inlineStr">
        <is>
          <t>bjyy3a</t>
        </is>
      </c>
      <c r="B357" t="inlineStr">
        <is>
          <t>Adie's Syndrome 44F</t>
        </is>
      </c>
      <c r="C357" t="inlineStr">
        <is>
          <t>I have posted before about my visual disturbances (blurry vision, flashes, after images, extreme light sensitivity, etc.) following my first migraine with aura 6 months ago. I have seen several specialists and have had a battery of tests...all negative. Since I had never heard of a migraine aura, the experience was terrifying. I have since developed a bit of anxiety related to all things vision related (i.e. eye drops that change the size of your pupil). 
Today, at the neuro-ophthalmologist, I thought I was having a three month checkup since being prescribed glasses. She walked in the door, asked about my vision and then told me I needed to have, "Adie's drops." I said I could not have anything like that done to my eyes because I had to go to work right after. She assured me there were no side effects, but also said it would take 60 minutes after the drops. I said, I couldn't do that because I had to work. She then got annoyed and said she could not exam me. And, walked out of the room. At no point was I ever told during my first appointment that my pupils were uneven or that I would have to have a 60 minute wait in addition to the exam time. 
Apparently, at my last visit she noticed that my pupils were uneven. So, I scoured the Internet looking for information. Can someone tell me about side effects from the drops (experience not Internet), should I be concerned about having Adie's Syndrome, and can this all be related to the migraine aura, which was the beginning of this whole scary situation. 
tldr: I might have Adie's Syndrome and I am a nervous Nellie.</t>
        </is>
      </c>
      <c r="D357" t="n">
        <v>1</v>
      </c>
      <c r="E357" t="n">
        <v>6</v>
      </c>
      <c r="F357">
        <f>HYPERLINK("https://www.reddit.com/r/eyetriage/comments/bjyy3a/adies_syndrome_44f/")</f>
        <v/>
      </c>
      <c r="G357" t="inlineStr">
        <is>
          <t>2019-05-02 12:21:09</t>
        </is>
      </c>
      <c r="H357" t="inlineStr"/>
    </row>
    <row r="358">
      <c r="A358" t="inlineStr">
        <is>
          <t>bk5si8</t>
        </is>
      </c>
      <c r="B358" t="inlineStr">
        <is>
          <t>Good Eye, Bad Eye--Need Help...</t>
        </is>
      </c>
      <c r="C358" t="inlineStr">
        <is>
          <t>My left eye is 20/20, &amp;amp; works perfectly. My right eye has a lot of trouble reading letters and numbers, it isn't able to clearly make them out unless the font is big. 
How can I improve my right eye's reading ability? 20 yr old male</t>
        </is>
      </c>
      <c r="D358" t="n">
        <v>1</v>
      </c>
      <c r="E358" t="n">
        <v>7</v>
      </c>
      <c r="F358">
        <f>HYPERLINK("https://www.reddit.com/r/eyetriage/comments/bk5si8/good_eye_bad_eyeneed_help/")</f>
        <v/>
      </c>
      <c r="G358" t="inlineStr">
        <is>
          <t>2019-05-03 00:43:44</t>
        </is>
      </c>
      <c r="H358" t="inlineStr"/>
    </row>
    <row r="359">
      <c r="A359" t="inlineStr">
        <is>
          <t>bkay7k</t>
        </is>
      </c>
      <c r="B359" t="inlineStr">
        <is>
          <t>Seeing veins in one eye when I blink</t>
        </is>
      </c>
      <c r="C359" t="inlineStr">
        <is>
          <t>In the mornings when I blink, or when I look at my bright cell phone in a dark room, I briefly see a pattern of veins in my right eye only. I'm 39 and haven't ever noticed this before. No other symptoms, flashes, etc, and once my eyes adjust to the light, during the day I don't see these again until my eyes are dilated from being in a dark room and I look at something bright and blink.</t>
        </is>
      </c>
      <c r="D359" t="n">
        <v>0</v>
      </c>
      <c r="E359" t="n">
        <v>13</v>
      </c>
      <c r="F359">
        <f>HYPERLINK("https://www.reddit.com/r/eyetriage/comments/bkay7k/seeing_veins_in_one_eye_when_i_blink/")</f>
        <v/>
      </c>
      <c r="G359" t="inlineStr">
        <is>
          <t>2019-05-03 10:16:01</t>
        </is>
      </c>
      <c r="H359" t="inlineStr"/>
    </row>
    <row r="360">
      <c r="A360" t="inlineStr">
        <is>
          <t>bkf7x3</t>
        </is>
      </c>
      <c r="B360" t="inlineStr">
        <is>
          <t>Erg inconclusive redo?</t>
        </is>
      </c>
      <c r="C360" t="inlineStr">
        <is>
          <t>My erg was inconclusive. Retina doc was not surprised and just moved on to genetic testing. Should I ask for it to be redone. Or if it was inconclusive once will it be inconclusive again? What causes every aspect to be inconclusive? 
Thanks</t>
        </is>
      </c>
      <c r="D360" t="n">
        <v>1</v>
      </c>
      <c r="E360" t="n">
        <v>0</v>
      </c>
      <c r="F360">
        <f>HYPERLINK("https://www.reddit.com/r/eyetriage/comments/bkf7x3/erg_inconclusive_redo/")</f>
        <v/>
      </c>
      <c r="G360" t="inlineStr">
        <is>
          <t>2019-05-03 16:56:49</t>
        </is>
      </c>
      <c r="H360" t="inlineStr"/>
    </row>
    <row r="361">
      <c r="A361" t="inlineStr">
        <is>
          <t>bksk1r</t>
        </is>
      </c>
      <c r="B361" t="inlineStr">
        <is>
          <t>Worried about my ENT and now eye symptoms</t>
        </is>
      </c>
      <c r="C361" t="inlineStr">
        <is>
          <t>I'm at the tail end of a 2-week vacation in Greece, of which I've been feeling sick the past 7 days or so. Initially I thought maybe it was allergies so I bought some Clarityne-D and took ibuprofen for sinus pressure/headache. No fever, no chills, just an itchy throat and nasal congestion. Fast forward to yesterday, I went to see an MD because I was worried since my sickness had persisted to almost a week, my congestion was getting worse, and I thought maybe my ear was infected. My ear wasn't feeling that sharp pain like from an infection after swimming in questionable water, but the pressure was very uncomfortable. I did not feel like the MD I saw was very though (plus slight language barrier)-- he took my temperature (under my axilla-- is that accurate for adults too?), it was 37.5C. Didn't use a stethoscope (I am now worried about bronchitis). Doctor gave rx for 1) Azithromycin 500mg, 3 tabs, 3 days; some 2) nasal saline solution (that I was already using 2 days prior) and 3) Panadol Cold and Flu per box instructions. 18 hours after I took my first azithromycin pill, I started to feel the beginnings of conjunctivitis. Tearing up, sensation of something stuck in my eye, yellow thick discharge at edges of eyes and lashes. My ear pressure was better. I've now taken the second Azithro pill and just woke up with crusty, yellow gunk consistent with conjunctivitis. I would go back to the MD I saw but I left that island and am now in Athens until Tuesday. I am super uncomfortable, waking up every 1.5 hours, applying warm compresses to de-crust my eyes, blow my nose, hack out thick yellow mucous :(( my nose is super crusty, yellow despite drinking lots of water and following doc's orders. I feel a slight fever too but not too bad.
My questions are:
1) should I assume my illness is not of bacterial origin if my conjunctivitis does not resolve in the next few days?
2) besides resistance, are there contraindications to using a separate antibiotic in drop form for my eyes? If not, what abx drops should I get?
3) just want to survive until I return to the US--any other tips are appreciated. Thank you!</t>
        </is>
      </c>
      <c r="D361" t="n">
        <v>1</v>
      </c>
      <c r="E361" t="n">
        <v>1</v>
      </c>
      <c r="F361">
        <f>HYPERLINK("https://www.reddit.com/r/eyetriage/comments/bksk1r/worried_about_my_ent_and_now_eye_symptoms/")</f>
        <v/>
      </c>
      <c r="G361" t="inlineStr">
        <is>
          <t>2019-05-04 18:58:37</t>
        </is>
      </c>
      <c r="H361" t="inlineStr"/>
    </row>
    <row r="362">
      <c r="A362" t="inlineStr">
        <is>
          <t>bkz590</t>
        </is>
      </c>
      <c r="B362" t="inlineStr">
        <is>
          <t>Light flashes after silicone oil surgery</t>
        </is>
      </c>
      <c r="C362" t="inlineStr">
        <is>
          <t>I had scleral buckle surgery on my left eye early April due to a possible retinal detachment. Prior to surgery, I was not experiencing any symptoms to my knowledge. The hole was only found after a routine eye appointment, apparently it's been there for almost a year.
A week surgery, I started seeing light flashes. I told my optometrist at my two-week post-op because my surgeon is only on island two weeks every couple of months. She didn't think it was a problem but I made an appointment with an ophthalmologist. He referred me to another retinal specialist only on island for the week. I saw the specialist that day. He did a laser treatment the next day then scheduled surgery for the day after.
I had the surgery for silicone oil insertion on the over a week ago. He told me to lay on my right side or face down for a week. I saw the specialist for my post-op the day after surgery and my ophthalmologist 5 days after. They said I was healing well.
Flash forward to today and I started seeing the light flashes again. They are exactly what I saw before the oil surgery. The specialist won't be back until June and I have an appointment for the 17th. My ophthalmologist scheduled me for August.
I apologize for the long post but I don't really know what's going on. I've had two surgeries on the same eye in one month. The specialist who did my scleral buckle advised against the laser due to the risk in creating more tears. I was supposed to see him on June 3rd for another post-op but the specialist who did the laser and oil told me to cancel.</t>
        </is>
      </c>
      <c r="D362" t="n">
        <v>2</v>
      </c>
      <c r="E362" t="n">
        <v>0</v>
      </c>
      <c r="F362">
        <f>HYPERLINK("https://www.reddit.com/r/eyetriage/comments/bkz590/light_flashes_after_silicone_oil_surgery/")</f>
        <v/>
      </c>
      <c r="G362" t="inlineStr">
        <is>
          <t>2019-05-05 08:40:21</t>
        </is>
      </c>
      <c r="H362" t="inlineStr"/>
    </row>
    <row r="363">
      <c r="A363" t="inlineStr">
        <is>
          <t>bkz5yp</t>
        </is>
      </c>
      <c r="B363" t="inlineStr">
        <is>
          <t>Sensation of Something Stuck</t>
        </is>
      </c>
      <c r="C363" t="inlineStr">
        <is>
          <t>Hi r/eyetriage! I'm stoked this sub exists, I've been having some trouble and I'll take any advice at this point. 
&amp;amp;#x200B;
About a year ago, I went to get new contacts. After wearing them for one or two days (following the directions) I noticed pain under my left eyelid as if something was stuck in there. I discontinued use of the contacts, went back to the ophthalmologist who said he saw scratches and irritation but nothing stuck in the eye. He prescribed me gel tears and I used them for a period of about 10 days which minimized the sensation, but never made it fully go away. I went back and saw the ophthalmologist again and they gave me gel tears. I can only feel it when my eye is closed and I move my eye under my eyelid or I blink, so I stopped noticing it for a while and went on about my life. It has been minimized surely, but never gone fully away. A few times it would come back for a few weeks and be more present, but would go away eventually. 
&amp;amp;#x200B;
It started to eventually come back so I went back to a better ophthalmologist who did a more thorough inspection of my eye. She noticed irritation again but this time looked under my eyelids and confirmed there wasn't anything stuck. She mentioned she found a "divot" on the inside of the eyelid, but wasn't sure it was what was causing the sensation. She prescribed me 1% prednisolone suspension eye drops 3x a day and blink gel tears 4x a day for 10 days and mentioned the next step would be to have the divot biopsied if the drops don't work. 
&amp;amp;#x200B;
It's day 3 and there's been absolutely no change thus far. Does anyone have a suggestion for the next step to escalate this issue? What sort of specialist should I see? I have good insurance and I'm not opposed to anything. 
&amp;amp;#x200B;
Quick facts:
* I wear glasses, my previous prescription caused the same eye to ache, but the pain would subside when I took my glasses off and let my eyes relax. I got a new prescription a few days ago, and I believe the ache is gone
* The pain seems to stay in the same place. I only feel it against my eyelid with a closed eye.
* I have read the gel tears and warm compress post, and started warm compresses today in addition to the eyedrops. 
* I am currently not wearing glasses and trying to let my eyes relax (could my glasses be causing this pain?) for at least the entire day today.
&amp;amp;#x200B;
Thanks to anyone that reads my post, I'm desperate and I appreciate any help at all!</t>
        </is>
      </c>
      <c r="D363" t="n">
        <v>1</v>
      </c>
      <c r="E363" t="n">
        <v>2</v>
      </c>
      <c r="F363">
        <f>HYPERLINK("https://www.reddit.com/r/eyetriage/comments/bkz5yp/sensation_of_something_stuck/")</f>
        <v/>
      </c>
      <c r="G363" t="inlineStr">
        <is>
          <t>2019-05-05 08:42:07</t>
        </is>
      </c>
      <c r="H363" t="inlineStr"/>
    </row>
    <row r="364">
      <c r="A364" t="inlineStr">
        <is>
          <t>bl7fzv</t>
        </is>
      </c>
      <c r="B364" t="inlineStr">
        <is>
          <t>Unresolved issue after seeing retina specialist</t>
        </is>
      </c>
      <c r="C364" t="inlineStr">
        <is>
          <t>I never had the worst eye sight, but was squinting a lot in school and got fairly weak prescription. About a year ago (sometime around the eclipse and I got super aware of my vision) I noticed my left eye seemed blurry. I saw multiple optometrists and ophthalmologists who could not get my left eye to 20/20 (sitting at 20/40). My ophthalmologist listed it as a macular pucker and sent me to a retina specialist. They did an OCT and checked the blood flow in my eye, and found zero problems, and attributed the blurry vision to my antidepressants. Its been a year and I got a new script and still notice the blurriness throughout the day. Things seem less bold and a different size when just looking through the left eye. Could there be damage from the eclipse or something else that they are not seeing. Or is something else going on?
Please let me know your insight. Thanks.</t>
        </is>
      </c>
      <c r="D364" t="n">
        <v>1</v>
      </c>
      <c r="E364" t="n">
        <v>7</v>
      </c>
      <c r="F364">
        <f>HYPERLINK("https://www.reddit.com/r/eyetriage/comments/bl7fzv/unresolved_issue_after_seeing_retina_specialist/")</f>
        <v/>
      </c>
      <c r="G364" t="inlineStr">
        <is>
          <t>2019-05-05 21:21:03</t>
        </is>
      </c>
      <c r="H364" t="inlineStr"/>
    </row>
    <row r="365">
      <c r="A365" t="inlineStr">
        <is>
          <t>blfu5u</t>
        </is>
      </c>
      <c r="B365" t="inlineStr">
        <is>
          <t>Hi. I am having another different eye issue.</t>
        </is>
      </c>
      <c r="C365" t="inlineStr">
        <is>
          <t>Hello, I have been having eye issues for newr 6 months now. A lot of the symptoms I was getting have stoppee or gotten somewhat better (I was seeing floaters before and I don't nearly see them as much and my left eye was very blurry). I saw opthamplogists three times who found nothing wrong with my eyes
Anyways I am still having two issues. I am not sure if this was always the case and I just never noticed. 
1. If I cover my right eye, and look facing forward, i can see for a full image for a little bit, but then my eye seems to not focus and  part of my vision in my left eye fades to black, and I can only see like a little hole of what im looking at. (Say I am looking at a word, I will see that and some of the space around it will be black).  If I like refocus I suddenly see everything but then it fades back to black again quickly. Its worse if i cover my eyes without my glasses on. This doesn't seem to happen if i cover my left eye. It sounds weird but its disconcerting to me
2. When watching tv or playing a game as examples. Its hardcto me to focus on multiple things happening at once on the screen. For example, I was watching star trek and 3 characters were on screen. I could focus on one of the characters, but the others I couldn't make out any details. I don't know anymore if this is normal and now that im having eye problems Im only just noticing it, or maybe there is some sort of problem
As a bonus 3. It feels almost as if my left eye is looking more to the left when im staring forward at something. I thought maybe I had a lazy eye or something but according to people I know they don't notice anything and it makes it feel like my glasses frames don't fit me anymore and I keep adjusting them. 
I don't really know what to do and Im at my wits end honestly. If i go back to a opthalmologist they are just gonna tell me there is nothing wrong with my eyes
Do you guys have any advice based on what i said?</t>
        </is>
      </c>
      <c r="D365" t="n">
        <v>1</v>
      </c>
      <c r="E365" t="n">
        <v>4</v>
      </c>
      <c r="F365">
        <f>HYPERLINK("https://www.reddit.com/r/eyetriage/comments/blfu5u/hi_i_am_having_another_different_eye_issue/")</f>
        <v/>
      </c>
      <c r="G365" t="inlineStr">
        <is>
          <t>2019-05-06 11:33:48</t>
        </is>
      </c>
      <c r="H365" t="inlineStr"/>
    </row>
    <row r="366">
      <c r="A366" t="inlineStr">
        <is>
          <t>bljyes</t>
        </is>
      </c>
      <c r="B366" t="inlineStr">
        <is>
          <t>Traumatic Hyphema and Flying</t>
        </is>
      </c>
      <c r="C366" t="inlineStr">
        <is>
          <t>First off I know that this can’t be take as medical advice. So no worries there.
A little over three years ago I was in an accident that caused a severe traumatic hyphema. I was in bed rest for 9 straight days with little movement. My vision is slightly worse in my eye now and I wear glasses daily to prevent another injury that could be life altering. 
For years now, because of this injury I’ve been anxious about flying. I travel frequently for my job and while I’ve had plenty of flights now with zero problems yet there is always this nagging fear in the back of my head that somehow the flights are effecting my eye. Is this completely irrational? Last time I saw my ophthalmologist he said that if anyone were to look at my eye they wouldn’t be able to tell I ever had an injury. 
I guess at the end of the day I’m just looking to have a little extra peace of mind when I travel. Because of this fear of flight affecting my sight I have limited my wife and I’s travel dreams. It’s affecting her now which really bothers me. 
So if anyone can help me clear this up, if there actually is a risk or if it’s all just in my head. Once again I know I can’t take this as professional advice. I really appreciate everyone’s time.</t>
        </is>
      </c>
      <c r="D366" t="n">
        <v>1</v>
      </c>
      <c r="E366" t="n">
        <v>0</v>
      </c>
      <c r="F366">
        <f>HYPERLINK("https://www.reddit.com/r/eyetriage/comments/bljyes/traumatic_hyphema_and_flying/")</f>
        <v/>
      </c>
      <c r="G366" t="inlineStr">
        <is>
          <t>2019-05-06 17:29:03</t>
        </is>
      </c>
      <c r="H366" t="inlineStr"/>
    </row>
    <row r="367">
      <c r="A367" t="inlineStr">
        <is>
          <t>bln96t</t>
        </is>
      </c>
      <c r="B367" t="inlineStr">
        <is>
          <t>Corneal Tattooing for glare relief and PRK - Before or After?</t>
        </is>
      </c>
      <c r="C367" t="inlineStr">
        <is>
          <t>Hi All,
I'm in a bit of a mixed situation here so I was wondering what the consensus here is.
So I plan on getting a corneal tattoo redone. This time I want to discuss the femto-assisted method as I heard it has less risk of touch-ups being required as opposed to the stromal puncturing (which also hurt pretty badly during healing lol).  
So the reason for the tattoo is because I have really signifiant glare from the Visian-ICL procedure which required an iridotomy (mine is at the 12 o'clock position).  The tattooing I did last year basically reduced the glare like 90%ish and I was very happy.  Unfortunately a year later, the glare is slowly getting worse and worse each month - almost back to where we started :(
I want to get PRK done in my other eye if the surgeon agrees it's safe (it has keratoconus).  My left eye (visian-ICL eye) does not have keratoconus but has the residual astigmatism.  
Here is my RX 
OD: SPH = -4.75, Cyl = 3.50 Axis = 165
OS SPH = -2.00 Cyl = +1.75 Axis = 080
So here's where I stand - Overall if I fix the glare Ill be content because my vision isn't too bad aside from the glare.  It was much worse before so I can manage.  
Im wondering though - if it is possible to perform corneal tattooing at the same time as PRK or if that requires a separate procedure.</t>
        </is>
      </c>
      <c r="D367" t="n">
        <v>3</v>
      </c>
      <c r="E367" t="n">
        <v>5</v>
      </c>
      <c r="F367">
        <f>HYPERLINK("https://www.reddit.com/r/eyetriage/comments/bln96t/corneal_tattooing_for_glare_relief_and_prk_before/")</f>
        <v/>
      </c>
      <c r="G367" t="inlineStr">
        <is>
          <t>2019-05-06 23:21:35</t>
        </is>
      </c>
      <c r="H367" t="inlineStr"/>
    </row>
    <row r="368">
      <c r="A368" t="inlineStr">
        <is>
          <t>blnfo4</t>
        </is>
      </c>
      <c r="B368" t="inlineStr">
        <is>
          <t>Bright spots turn into dark ones</t>
        </is>
      </c>
      <c r="C368" t="inlineStr">
        <is>
          <t>Hello, I want to finally visit an eye specialist soon. But before that I wonder if someone can explain me how this symptom is called or what it might could mean.
&amp;amp;#x200B;
Since being a child, I sometimes and totally randomly see very bright dots in different sizes flashing up. Not a lot, but they can differ in brightness and size. The thing is I read a lot about these flashes, but what is different from me, from what I found online so far is, that these dots do change.
&amp;amp;#x200B;
When they appear, they are like when you get blended by a flashlight, but way smaller and super bright, it doesn't matter if I look on bright or dark background. But then they will slowly fade into a pitch black version of it, like literally black-hole black. and then shortly after that it disappears completely. All this maybe does take around 10-20 seconds, some are shorter some stay longer. I have it kinda rarely, maybe once a week or smth (as a child it was more frequent, but became less).
&amp;amp;#x200B;
As a background info, as a kid I burned my eyes (kinda) because I looked for to long into a reflection of sunlight. I saw some orangish cloud for a while and went to a doctor. Which said it was harmless and will go away. Which it did. But now I fear that these dots could be related to this?
&amp;amp;#x200B;
Anyone a idea how this is called or what it could be?</t>
        </is>
      </c>
      <c r="D368" t="n">
        <v>1</v>
      </c>
      <c r="E368" t="n">
        <v>2</v>
      </c>
      <c r="F368">
        <f>HYPERLINK("https://www.reddit.com/r/eyetriage/comments/blnfo4/bright_spots_turn_into_dark_ones/")</f>
        <v/>
      </c>
      <c r="G368" t="inlineStr">
        <is>
          <t>2019-05-06 23:45:29</t>
        </is>
      </c>
      <c r="H368" t="inlineStr"/>
    </row>
    <row r="369">
      <c r="A369" t="inlineStr">
        <is>
          <t>blumik</t>
        </is>
      </c>
      <c r="B369" t="inlineStr">
        <is>
          <t>Floaters that don’t float</t>
        </is>
      </c>
      <c r="C369" t="inlineStr">
        <is>
          <t>Is there such a thing as stationary floaters? I mean, can floaters be in a fixed position relative to your central vision?</t>
        </is>
      </c>
      <c r="D369" t="n">
        <v>2</v>
      </c>
      <c r="E369" t="n">
        <v>4</v>
      </c>
      <c r="F369">
        <f>HYPERLINK("https://www.reddit.com/r/eyetriage/comments/blumik/floaters_that_dont_float/")</f>
        <v/>
      </c>
      <c r="G369" t="inlineStr">
        <is>
          <t>2019-05-07 11:57:49</t>
        </is>
      </c>
      <c r="H369" t="inlineStr"/>
    </row>
    <row r="370">
      <c r="A370" t="inlineStr">
        <is>
          <t>blv9bc</t>
        </is>
      </c>
      <c r="B370" t="inlineStr">
        <is>
          <t>lens choice cataract operation - 10 days left until operation, please help!</t>
        </is>
      </c>
      <c r="C370" t="inlineStr">
        <is>
          <t>Hello. I am a patient. I am really lost and looking for some help here.
I did not have trauma, diabetes, did not take steroids and I undergone all autoimmune and genetic tests and everything came back clear. 
I was diagnosed with cataract only in my right eye. 
In February-March 2019 I was diagnosed with right subcapsular opacity (cataract) and uveitis. I had no symptoms other than blurred vision which i noticed sometime in February. Topical steroids did not work. On 26 April I had an Ozurdex implant to treat uveitis and was told that it is working.
Now on 17 May I am due to undergo cataract removal operation. I am 32 y/o and always had perfect vision. Never needed glasses or anything. This week I was shocked as I was told by my ophthalmologist that I will need glasses for short distance after the op. This is because he is implanting a monofocal lens focussed for long distance. I was not told this prior to my treatment. For some reason I believed that my vision after the op would be the same as prior to cataract and my doctor did not tell me otherwise. I really need my short distance vision as I work with the computer and documents, so a lot of reading. I would do anything not to have to wear glasses, especially for another 10-20 years. I enquired about multofocal lens and my doctor said that he does trifocals and would not recommend it to me. My operation is in 10 days and I still have time to change my mind/demand multifocal but have no idea what is best for me. All I know I do not wear glasses and would prefer to stay this way.
Now due to the cataract i have some double vision (right eye only) and glare around the lights and it does not bother me too much.
I would be very grateful for any advise what lens if most suited in my situation.
Thank you in advance.</t>
        </is>
      </c>
      <c r="D370" t="n">
        <v>1</v>
      </c>
      <c r="E370" t="n">
        <v>14</v>
      </c>
      <c r="F370">
        <f>HYPERLINK("https://www.reddit.com/r/eyetriage/comments/blv9bc/lens_choice_cataract_operation_10_days_left_until/")</f>
        <v/>
      </c>
      <c r="G370" t="inlineStr">
        <is>
          <t>2019-05-07 12:49:06</t>
        </is>
      </c>
      <c r="H370" t="inlineStr"/>
    </row>
    <row r="371">
      <c r="A371" t="inlineStr">
        <is>
          <t>blwban</t>
        </is>
      </c>
      <c r="B371" t="inlineStr">
        <is>
          <t>Recurrent erosion</t>
        </is>
      </c>
      <c r="C371" t="inlineStr">
        <is>
          <t xml:space="preserve"> 
I’ve been dealing with recurrent corneal erosions on my right eye for almost a year, my first erosion was in July 2018, I’ve had recurrences every 2-3 weeks on average, all of them have been upon waking up. 
The largest erosion I've had was 6mm in diameter (Picture), every time I’ve had an episode it is accompanied by blurry vision, increased vascularity under the eyelid, slight palpebral pain and chalazions (more common in the lower eyelid than the upper 80%/20%). 
Recovery from large erosions have always involved a therapeutic contact lens and Tobramycin 0.3% / Dexamethasone 0.1% drops for 2 weeks. On smaller ones after a few hours the pain is gone and no treatment other than lubricant drops was necessary.
To date I’ve had 3 stromal punctures and every time after recovery the thickness and pressure of the cornea have returned to the levels of my left eye and the epithelium has regained its stability (no problems on left eye, just a little dry on the mornings).
I wake up every morning with extremely dry eyes. I need to wake with my eyes shut and loosen my eyelid with Thealoz drops as it is sometimes completely adhered to the eyeball. The times I’ve suddenly waked up or when I didn’t loosen the eyelid properly is when I get an erosion. 
In between erosions my treatment has been and currently is: Eyelid hygiene with belphaclean wipes on the mornings, Thealoz 3% drops every 2 hours, and Muro 128 ointment before going to sleep.
Any suggestions on what the root cause can be?
Any other treatment ideas I can share with my ophthalmologist will be highly appreciated!
&amp;amp;#x200B;
Male, 28 years old.</t>
        </is>
      </c>
      <c r="D371" t="n">
        <v>1</v>
      </c>
      <c r="E371" t="n">
        <v>0</v>
      </c>
      <c r="F371">
        <f>HYPERLINK("https://www.reddit.com/r/eyetriage/comments/blwban/recurrent_erosion/")</f>
        <v/>
      </c>
      <c r="G371" t="inlineStr">
        <is>
          <t>2019-05-07 14:13:59</t>
        </is>
      </c>
      <c r="H371" t="inlineStr"/>
    </row>
    <row r="372">
      <c r="A372" t="inlineStr">
        <is>
          <t>blwkbz</t>
        </is>
      </c>
      <c r="B372" t="inlineStr">
        <is>
          <t>flying 2 days after cataract operation</t>
        </is>
      </c>
      <c r="C372" t="inlineStr">
        <is>
          <t>Hi I am a patient. Can i fly on a quiet lying on a beach holiday 2 days after the cataract operation?</t>
        </is>
      </c>
      <c r="D372" t="n">
        <v>1</v>
      </c>
      <c r="E372" t="n">
        <v>2</v>
      </c>
      <c r="F372">
        <f>HYPERLINK("https://www.reddit.com/r/eyetriage/comments/blwkbz/flying_2_days_after_cataract_operation/")</f>
        <v/>
      </c>
      <c r="G372" t="inlineStr">
        <is>
          <t>2019-05-07 14:34:39</t>
        </is>
      </c>
      <c r="H372" t="inlineStr"/>
    </row>
    <row r="373">
      <c r="A373" t="inlineStr">
        <is>
          <t>bly9jq</t>
        </is>
      </c>
      <c r="B373" t="inlineStr">
        <is>
          <t>30 years old and 3 Weeks Post-Op Cataract Surgery.</t>
        </is>
      </c>
      <c r="C373" t="inlineStr">
        <is>
          <t>Hello all, last year around December 2018 right before my 30th birthday I abruptly started having glare on the left side of my visual field, intense photo-sensitivity  and blurry vision. I mean it was as if I had a glare on the left side of my visual field constantly.  After seeing two ophthalmologists, it was confirmed that I had a cortical cataract in my left eye. It was in a shape of a snowflake right in the middle of the lens in my left eye. I decided to take 4 months to see if I could live with this without surgery but when it progressed to the point where I could barely drive due to glare and really bad light sensitivity to headlights I decided it was time for surgery. The first ophthalmologist that I saw thought he saw a hint of a cataract forming in my good eye and the second one says she can't see anything at all. I am currently 3 weeks post op and is still having a lot of issues with adjusting to my vision. I am having headaches and flickering in my surgery eye when something is too close to my face or when the light catches it a certain way, as well as when I look at a phone and I still feel like I see a glare on that side - I just wanted to see if this was normal and if these symptoms will subside. Also I was wondering if anyone knew whether or not it is possible to only develop cataracts in one eye since I am intensely dreading having to go through this again in my other eye. 
&amp;amp;#x200B;
Thanks everyone for your input.</t>
        </is>
      </c>
      <c r="D373" t="n">
        <v>2</v>
      </c>
      <c r="E373" t="n">
        <v>4</v>
      </c>
      <c r="F373">
        <f>HYPERLINK("https://www.reddit.com/r/eyetriage/comments/bly9jq/30_years_old_and_3_weeks_postop_cataract_surgery/")</f>
        <v/>
      </c>
      <c r="G373" t="inlineStr">
        <is>
          <t>2019-05-07 17:02:52</t>
        </is>
      </c>
      <c r="H373" t="inlineStr"/>
    </row>
    <row r="374">
      <c r="A374" t="inlineStr">
        <is>
          <t>bm4ejm</t>
        </is>
      </c>
      <c r="B374" t="inlineStr">
        <is>
          <t>How likely is myopia to progress in a year</t>
        </is>
      </c>
      <c r="C374" t="inlineStr">
        <is>
          <t xml:space="preserve"> Last  summer I had my eyes checked and found that myopia had increased (and had probably been undercorrected for a while). Due to circumstances I did not get a new pair of glasses made until now.
Should I have them checked again before getting new lenses made, or is it highly unlikely that things have changed in a year?
I have -1.75 in both eyes and astigmatism.</t>
        </is>
      </c>
      <c r="D374" t="n">
        <v>1</v>
      </c>
      <c r="E374" t="n">
        <v>9</v>
      </c>
      <c r="F374">
        <f>HYPERLINK("https://www.reddit.com/r/eyetriage/comments/bm4ejm/how_likely_is_myopia_to_progress_in_a_year/")</f>
        <v/>
      </c>
      <c r="G374" t="inlineStr">
        <is>
          <t>2019-05-08 05:02:54</t>
        </is>
      </c>
      <c r="H374" t="inlineStr"/>
    </row>
    <row r="375">
      <c r="A375" t="inlineStr">
        <is>
          <t>bm59ij</t>
        </is>
      </c>
      <c r="B375" t="inlineStr">
        <is>
          <t>How important is dual PD?</t>
        </is>
      </c>
      <c r="C375" t="inlineStr">
        <is>
          <t>How important is it to have dual PD measured, rather than single? Would the potential error introduced by measuring single PD be very significant at -1,75?
On the paper my eye dr gave me after the exam it says:
Pupillary distance: ....62/.....
So I assume he just measured single DP, unless the fact that the / is there indicates that he would have added the measurement for right after the /, but it was symmetrical, so he juts added it up.</t>
        </is>
      </c>
      <c r="D375" t="n">
        <v>1</v>
      </c>
      <c r="E375" t="n">
        <v>1</v>
      </c>
      <c r="F375">
        <f>HYPERLINK("https://www.reddit.com/r/eyetriage/comments/bm59ij/how_important_is_dual_pd/")</f>
        <v/>
      </c>
      <c r="G375" t="inlineStr">
        <is>
          <t>2019-05-08 06:27:15</t>
        </is>
      </c>
      <c r="H375" t="inlineStr"/>
    </row>
    <row r="376">
      <c r="A376" t="inlineStr">
        <is>
          <t>bm64ue</t>
        </is>
      </c>
      <c r="B376" t="inlineStr">
        <is>
          <t>I got new glasses and I think it is right but not completely.</t>
        </is>
      </c>
      <c r="C376" t="inlineStr">
        <is>
          <t>So , previously my power was -3.5 on my right and -3.25 on left.  
Now , it changed quite a  bit for my right , once i got my new glasses my vision is totally clear , I could read all the text shown in the test. But , the problem is that all objects appear slightly shorter and wider than how they actually look when compared to my vision with naked eye or my old glasses.  
I thought maybe its because I am adjusting to new glasses so i gave it around 10 days even now when i compare the objects are indeed smaller than what they normally look like with my naked vision. So i went to the opthalmologist and she said that it is due to the higher power and the axis, and that its normal. But , I think otherwise , should i just continue wearing my old glasses , though the vision with my new glasses is  a LOT clearer (probably because old one has some scratches) . What do you people suggest? The vision with new is totally clear and i can read everything properly , its just things appear a bit shorter and a slightly bit wider</t>
        </is>
      </c>
      <c r="D376" t="n">
        <v>2</v>
      </c>
      <c r="E376" t="n">
        <v>3</v>
      </c>
      <c r="F376">
        <f>HYPERLINK("https://www.reddit.com/r/eyetriage/comments/bm64ue/i_got_new_glasses_and_i_think_it_is_right_but_not/")</f>
        <v/>
      </c>
      <c r="G376" t="inlineStr">
        <is>
          <t>2019-05-08 07:46:01</t>
        </is>
      </c>
      <c r="H376" t="inlineStr"/>
    </row>
    <row r="377">
      <c r="A377" t="inlineStr">
        <is>
          <t>bmce2l</t>
        </is>
      </c>
      <c r="B377" t="inlineStr">
        <is>
          <t>So, uh, is it normal for myopia to disappear?</t>
        </is>
      </c>
      <c r="C377" t="inlineStr">
        <is>
          <t>Long story short, I am a long term glasses wearer (25+ years). I had an episode a few  weeks ago where my myopia was acutely significantly worse due to undiagnosed high blood sugar. Now that issue has been more or less fixed, my vision returned to normal. However, now in the last 3 days I have noticed that my vision is now suddenly.... Better. As in I don't need to wear glasses anymore. I haven't had normal uncorrected vision since I was a child.
I don't want to look a gift horse in the mouth but wtf? Should I go back to the opthalmologist even though I'm better than better? Has anyone seen this before?</t>
        </is>
      </c>
      <c r="D377" t="n">
        <v>3</v>
      </c>
      <c r="E377" t="n">
        <v>3</v>
      </c>
      <c r="F377">
        <f>HYPERLINK("https://www.reddit.com/r/eyetriage/comments/bmce2l/so_uh_is_it_normal_for_myopia_to_disappear/")</f>
        <v/>
      </c>
      <c r="G377" t="inlineStr">
        <is>
          <t>2019-05-08 16:19:43</t>
        </is>
      </c>
      <c r="H377" t="inlineStr"/>
    </row>
    <row r="378">
      <c r="A378" t="inlineStr">
        <is>
          <t>bmg1k5</t>
        </is>
      </c>
      <c r="B378" t="inlineStr">
        <is>
          <t>Macular degeneration?</t>
        </is>
      </c>
      <c r="C378" t="inlineStr">
        <is>
          <t>Within the last 4 months I've experienced this 3 times total. Like once a month, I guess? 
I've woken up at night, when I look around my room I notice it seems like theres a black circle (void?) in my right eye. Like I can't see anything out of that circle. Looks like [this](https://craftoptics.com/wp-content/uploads/2016/09/8947cfd1-dabc-46fb-a519-ddd0ed567f96-536x330.jpeg) more or less. Never during the day. I'm in my mid 20s. I don't wear glasses. I have really bad chronic dry eye (but I've gotten used to it by now). I also have slight astigmatism in one eye, but I found that out when I was a teen so I'm sure it's worse by now.
Thoughts?</t>
        </is>
      </c>
      <c r="D378" t="n">
        <v>1</v>
      </c>
      <c r="E378" t="n">
        <v>4</v>
      </c>
      <c r="F378">
        <f>HYPERLINK("https://www.reddit.com/r/eyetriage/comments/bmg1k5/macular_degeneration/")</f>
        <v/>
      </c>
      <c r="G378" t="inlineStr">
        <is>
          <t>2019-05-08 23:02:03</t>
        </is>
      </c>
      <c r="H378" t="inlineStr"/>
    </row>
    <row r="379">
      <c r="A379" t="inlineStr">
        <is>
          <t>bmhr4u</t>
        </is>
      </c>
      <c r="B379" t="inlineStr">
        <is>
          <t>Can monocular PD be measured electronically?</t>
        </is>
      </c>
      <c r="C379" t="inlineStr">
        <is>
          <t>I am a patient, about to get a new pair of glasses and I'm looking to have my monocular PD measured. I inquired with a doctor whether they can measure my monocular PD and they told me that they measure binocular PD with a the same device that they use to measure (forgive any terminological errors, I'm translating) refraction, corneal curvature and eye pressure and then if I want my monocular PD measured they do it by hand.
Now, I'm wondering:
1) Isn't PD typically measured with a pupillometer, which is a device specifically for measuring PD and not all that other stuff? Would using the same device that measures corneal curvature etc. give a less accurate result?
2) If they are indeed using a device different than a pupillometer, can they not measure monocular PD with that?</t>
        </is>
      </c>
      <c r="D379" t="n">
        <v>0</v>
      </c>
      <c r="E379" t="n">
        <v>7</v>
      </c>
      <c r="F379">
        <f>HYPERLINK("https://www.reddit.com/r/eyetriage/comments/bmhr4u/can_monocular_pd_be_measured_electronically/")</f>
        <v/>
      </c>
      <c r="G379" t="inlineStr">
        <is>
          <t>2019-05-09 02:49:32</t>
        </is>
      </c>
      <c r="H379" t="inlineStr"/>
    </row>
    <row r="380">
      <c r="A380" t="inlineStr">
        <is>
          <t>bmjn1o</t>
        </is>
      </c>
      <c r="B380" t="inlineStr">
        <is>
          <t>Consequences of wrong PD?</t>
        </is>
      </c>
      <c r="C380" t="inlineStr">
        <is>
          <t>I'm wondering whether having the wrong PD in your glasses can have any permanent consequences.
I've been doing some googling and apparently it can induce prism, which, from what I understand is your pupils moving off center, is that right?</t>
        </is>
      </c>
      <c r="D380" t="n">
        <v>0</v>
      </c>
      <c r="E380" t="n">
        <v>8</v>
      </c>
      <c r="F380">
        <f>HYPERLINK("https://www.reddit.com/r/eyetriage/comments/bmjn1o/consequences_of_wrong_pd/")</f>
        <v/>
      </c>
      <c r="G380" t="inlineStr">
        <is>
          <t>2019-05-09 06:11:46</t>
        </is>
      </c>
      <c r="H380" t="inlineStr"/>
    </row>
    <row r="381">
      <c r="A381" t="inlineStr">
        <is>
          <t>bmlvpf</t>
        </is>
      </c>
      <c r="B381" t="inlineStr">
        <is>
          <t>RNFL Thickness Map - What do the grays mean?</t>
        </is>
      </c>
      <c r="C381" t="inlineStr">
        <is>
          <t>Hello, I would like to know what the gray area in the RNFL Thickness map means. When I compare my results from last year to my results from this week, everything in my left eye looks identical, but the results from my right eye (shown) have clearly changed. Can someone please help me understand what I'm looking at? The results from last May are on the left, compared to this May on the right.
I'd specifically like to know 4 things:
1. the names for the areas in gray in the RNFL Thickness Map
2. what could potentially cause the gray things to change shape
3. the name for the black circled area in the RNFL Deviation Map
4. what could potentially cause a 'flattening' of the trough in the Extracted Vertical Tomogram
Thank you for your time and expertise!</t>
        </is>
      </c>
      <c r="D381" t="n">
        <v>1</v>
      </c>
      <c r="E381" t="n">
        <v>4</v>
      </c>
      <c r="F381">
        <f>HYPERLINK("https://www.reddit.com/r/eyetriage/comments/bmlvpf/rnfl_thickness_map_what_do_the_grays_mean/")</f>
        <v/>
      </c>
      <c r="G381" t="inlineStr">
        <is>
          <t>2019-05-09 09:28:36</t>
        </is>
      </c>
      <c r="H381" t="inlineStr"/>
    </row>
    <row r="382">
      <c r="A382" t="inlineStr">
        <is>
          <t>bmmq18</t>
        </is>
      </c>
      <c r="B382" t="inlineStr">
        <is>
          <t>Upper Eyelid continually twitching, do blue light glasses help?</t>
        </is>
      </c>
      <c r="C382" t="inlineStr">
        <is>
          <t>Hi, I’ve noticed that my upper eyelid started twitching fairly constantly after staring at a screen for a while. It stopped when I took a 30 minute break (but obviously I cannot take breaks like that throughout the day). It also stops when I go home for the evening so it seems the computer is the catalyst. 
Is there anything I can do to minimize the twitching while using the computer? I have a pair of blue light glasses but rarely wear the glasses and never do at work as they’re a super mild script (nearsighted) and am wonder if the blue light blocker would actually help?</t>
        </is>
      </c>
      <c r="D382" t="n">
        <v>1</v>
      </c>
      <c r="E382" t="n">
        <v>6</v>
      </c>
      <c r="F382">
        <f>HYPERLINK("https://www.reddit.com/r/eyetriage/comments/bmmq18/upper_eyelid_continually_twitching_do_blue_light/")</f>
        <v/>
      </c>
      <c r="G382" t="inlineStr">
        <is>
          <t>2019-05-09 10:38:32</t>
        </is>
      </c>
      <c r="H382" t="inlineStr"/>
    </row>
    <row r="383">
      <c r="A383" t="inlineStr">
        <is>
          <t>bmsdj7</t>
        </is>
      </c>
      <c r="B383" t="inlineStr">
        <is>
          <t>Concern about missed diagnosis of solar retinopathy and risk of early-onset macular degeneration</t>
        </is>
      </c>
      <c r="C383" t="inlineStr">
        <is>
          <t>**Story**: About two months ago, after an appointment with an ophthalmologist, I was waiting in the car while my brother was picking up lunch. In a completely absentminded state, I looked out the window and directly at the sun for at least 15 seconds before I realized what I was doing. This is with dilated eyes! I'm not sure how I tolerated looking at the bright light for so long, but somehow I did. To my very limited understanding of how the eyes work, it seems I did the equivalent (maybe worse?) of looking at a solar eclipse. Well, what I did next and have done up to this point is even more stupid. I struggle a lot with obsessiveness (one of my previous therapists suggested I might have OCD), and rather than admit my mistake and let it go, I looked at the sun again multiple times that day, maybe for 10-15 seconds each time, irrationally trying to convince myself it's not a big deal to "glance" at the sun (anytime I can think rationally, I know how undeniably dumb this is). The next day, my vision originally is okay (there doesn't seem to be a change in acuity, no obvious scotomas), but towards the evening, my eyes really hurt and I decide to sleep early. The following day, my eyes no longer hurt. I try to immerse myself in schoolwork to get my mind off this issue, but that only works temporarily. Several times over the next few weeks, that same damn obsessive thought pattern returns, and I end up having instances where I look at the sun for a couple of seconds at least (a lot of the time, it's looking at areas in the sky near the sun but not directly at the sun). My paranoia about developing solar retinopathy keeps growing, worsened by the feeling that my vision was growing duller, so I go visit my dad's ophthalmologist. I'm too embarrassed to bring up my concern about this self-inflicted solar retinopathy, so I say I'm there because I'm seeing more floaters than usual and experiencing more photosensitivity (this was the reason for my previous eye appointment, for which the ophthalmologist found nothing wrong with my retina/cornea). First, the assistant has me read letters off the chart. Right eye seems good, but I definitely struggled to read letters with my left eye. She even tells me, "Your left eye is the weaker one, isn't it?" She doesn't tell me my acuity with my left eye, and it never gets brought up for the remainder of the appointment. Maybe I should have brought that up? Then, I see the ophthalmologist and he looks at my corneas and retina, including the periphery, and says they look healthy.
So, that brings me here. These are the questions I have:
**Is it possible the ophthalmologist could have missed solar retinopathy on the routine exam, especially since I did not bring it up at all in my history? It seems like OCT is the most sensitive machine for capturing damage from solar retinopathy, and I can't say for certain this was performed at my appointment.**
**Is it possible for a scotoma to be so small that I can't even notice it? Or that it would be missed in an eye exam?**
**Based on the association between UV exposure and AMD, is it possible I significantly increased my risk of developing AMD during this time span? Could I even develop it at an earlier age now? My macula might have some small damage from this dumb sungazing, and as I age, the degeneration of my macula may manifest earlier? I couldn't find any research papers that followed a patient with a concern of solar retinopathy long-term to see if they developed macular degeneration.**
**Should I schedule another appointment with an ophthalmologist? It would be my third one in the last 90 days.**
I would really appreciate your insight on this. This has been causing so much anxiety for me, and I'm struggling really hard to think and act logically with this issue. It's getting to the point where I'm honestly fearful of being outside or even near a window when the sun is out. I'm scared of developing early onset AMD. I'm going to be in school for several years before I can start working, and the idea of ending up disabled before I can earn an income and support myself terrifies me. I plan to visit a therapist to discuss this issue soon. I know I desperately need to end this obsessive habit before it causes (further) damage.
Thank you for taking the time to read this. I truly appreciate your input!</t>
        </is>
      </c>
      <c r="D383" t="n">
        <v>2</v>
      </c>
      <c r="E383" t="n">
        <v>4</v>
      </c>
      <c r="F383">
        <f>HYPERLINK("https://www.reddit.com/r/eyetriage/comments/bmsdj7/concern_about_missed_diagnosis_of_solar/")</f>
        <v/>
      </c>
      <c r="G383" t="inlineStr">
        <is>
          <t>2019-05-09 18:48:01</t>
        </is>
      </c>
      <c r="H383" t="inlineStr"/>
    </row>
    <row r="384">
      <c r="A384" t="inlineStr">
        <is>
          <t>bmukbf</t>
        </is>
      </c>
      <c r="B384" t="inlineStr">
        <is>
          <t>asymmetric CD ratio</t>
        </is>
      </c>
      <c r="C384" t="inlineStr">
        <is>
          <t>I am a glaucoma suspect and am on latanoprost nightly. I have asymmetric nerves. My GS says .2 and .4, but other doctors have said .4 and .6 and the OCT says .75, which is frightening. My question is, do asymmetric nerves always end up being glaucoma? My other risk factor are ocular hypertension and very low BP.</t>
        </is>
      </c>
      <c r="D384" t="n">
        <v>1</v>
      </c>
      <c r="E384" t="n">
        <v>15</v>
      </c>
      <c r="F384">
        <f>HYPERLINK("https://www.reddit.com/r/eyetriage/comments/bmukbf/asymmetric_cd_ratio/")</f>
        <v/>
      </c>
      <c r="G384" t="inlineStr">
        <is>
          <t>2019-05-09 22:47:16</t>
        </is>
      </c>
      <c r="H384" t="inlineStr"/>
    </row>
    <row r="385">
      <c r="A385" t="inlineStr">
        <is>
          <t>bmyr79</t>
        </is>
      </c>
      <c r="B385" t="inlineStr">
        <is>
          <t>How accurate is this PD measuring method?</t>
        </is>
      </c>
      <c r="C385" t="inlineStr">
        <is>
          <t xml:space="preserve"> I  am getting a new pair of glasses and I went to a place that  measured my PD by taking three pics of my face from a laptop webcam  while I was holding up a credit card next to my face. There was a  crosshair on the laptop screen and I had to line my eyes up with the  horizontal line.
Is this accurate at all or something far inferior to a PD rule?</t>
        </is>
      </c>
      <c r="D385" t="n">
        <v>1</v>
      </c>
      <c r="E385" t="n">
        <v>7</v>
      </c>
      <c r="F385">
        <f>HYPERLINK("https://www.reddit.com/r/eyetriage/comments/bmyr79/how_accurate_is_this_pd_measuring_method/")</f>
        <v/>
      </c>
      <c r="G385" t="inlineStr">
        <is>
          <t>2019-05-10 07:09:56</t>
        </is>
      </c>
      <c r="H385" t="inlineStr"/>
    </row>
    <row r="386">
      <c r="A386" t="inlineStr">
        <is>
          <t>bmzouh</t>
        </is>
      </c>
      <c r="B386" t="inlineStr">
        <is>
          <t>Please help. Conjunctivitis I'm struggling with for 2 years, reasons unknown</t>
        </is>
      </c>
      <c r="C386" t="inlineStr">
        <is>
          <t>Hello. I've been at doctors dozens of time and it didn't help me AT ALL. I will be very grateful to anyone who can give a piece of advice. Skip to TL;DR if you don't want to read this wall of text.
My medical issues:  
high miopia (had it from 12 years) now my eyesight is -5,5 and -7,0, retinal dystrophies (I had LASIK year ago), sinusitis (I had it until I was 18, now it's gone), seborrheic dermatitis (dandruff), left-sided scoliosis, conjunctivitis of unknown reason,chronic gastroduodenitis, dysbacteriosis (gone, probably?) and reactive pancreatitis, helicobacter pylori ++ (now it's gone), bladder stone + some kind of infection in my urinary system, I still didn't figure this out
It all started 2 years ago, at summer 2017. I've eaten a lot of junk food recently (candies, snacks. chips, soda, you name it). Never had any issues with my stomach. I played a lot of games like spinz.io and recently I started to feel some bluriness in my eyes and some kind of burning. It only get worse- every day I had pus in my eyes that became hard, especially at the morning, sometimes it took time just to open my eyes or help of a wet napkin.  
I am not allergic to dust (greer H1), I am not allergic to my cat (dermatophagoides pter D1, dermatophagoides farinae D2). I have not demodicosis in my eyes, I also checked chlamydia, ureaplazma, mycoplazma, macoplazma, because doctor said so and I have problems with urinary system- all negative. One result I got was st.epidermidis in my left eye (that's weird, because I've got problems with both of my eyes) but when I checked it in different clinic, there was nothing.
I've tried dexamethasone, indomethacin, oftalmoferon. I've discovered retinal dystrophies later in 2017 and I've had LASIK. Yes, they have operated on my eyes with conjitctivitus. I know.
Maybe I am allergic to something but I can spend my whole time searching for the reason. Yes I have dust in my room (because I have a small library) but well, I've got for my entire life. There's also pretty dry air in my room.
I think it somehow connected with my stomach issues (I have chronic gastroduodenitis, dysbacteriosis and reactive pancreatitis, ICD-10 K58.9), I also noticed that my eyes get worse when I eat something I shouldn't. I am trying to eat less junk food, but my eyes are still wet and I have snot from time to time (it's not sinusitis, I have very clean x-ray of my nose).
After I had courses of Nolpaza, De-Nol, Ermital, Alfa Normix, Klacid, Metronidazole (pantoprazole, rifaximin, bismuthate tripotassium dicitrate, amoxicillin, josamycin, clarithromycin) I've got better, I have no more pus in my eyes, but I still have burning in my eyes, tears (it's weird but it often happens when I go outside) and some kind of fog or blurriness in my eyes. Sometimes I wake up with my stomach hurt. I can't watch movies, especially in cinemas, or read books because I feel very uncomfortable. From time to time I've got my knuckles turn red, I don't know.
I am just so tired and want this blurry vision to go away. What could it be? I think it could be 1) Reiter's syndrome or 2) meibomian gland dysfunction.
&amp;amp;#x200B;
TL;DR Can't find the reason for my conjunctivitis. Could be connected to my stomach issues (gastroduodenitis and reactive pancreatitis), I am not sure. Don't think I have an allergy, tried different kinds of eyedrops- didn't help. All analises are clear. My guess is it could be 1) Reiter's syndrome or 2) meibomian gland dysfunction.</t>
        </is>
      </c>
      <c r="D386" t="n">
        <v>1</v>
      </c>
      <c r="E386" t="n">
        <v>3</v>
      </c>
      <c r="F386">
        <f>HYPERLINK("https://www.reddit.com/r/eyetriage/comments/bmzouh/please_help_conjunctivitis_im_struggling_with_for/")</f>
        <v/>
      </c>
      <c r="G386" t="inlineStr">
        <is>
          <t>2019-05-10 08:30:31</t>
        </is>
      </c>
      <c r="H386" t="inlineStr"/>
    </row>
    <row r="387">
      <c r="A387" t="inlineStr">
        <is>
          <t>bn0akh</t>
        </is>
      </c>
      <c r="B387" t="inlineStr">
        <is>
          <t>Transillumination</t>
        </is>
      </c>
      <c r="C387" t="inlineStr">
        <is>
          <t>I have bilateral iris transillumination and have noticed that my visual acuity for details has been diminishing since my diagnosis. I have Pigment Dispersion Syndrome and see a glaucoma specialist regularly, and he told me my optic nerve and retina look fine, although I do have some macular swelling, which I’ve been assured wasn’t affecting my vision. I was wondering if the transillumination would cause these issues.</t>
        </is>
      </c>
      <c r="D387" t="n">
        <v>1</v>
      </c>
      <c r="E387" t="n">
        <v>3</v>
      </c>
      <c r="F387">
        <f>HYPERLINK("https://www.reddit.com/r/eyetriage/comments/bn0akh/transillumination/")</f>
        <v/>
      </c>
      <c r="G387" t="inlineStr">
        <is>
          <t>2019-05-10 09:20:29</t>
        </is>
      </c>
      <c r="H387" t="inlineStr"/>
    </row>
    <row r="388">
      <c r="A388" t="inlineStr">
        <is>
          <t>bn295n</t>
        </is>
      </c>
      <c r="B388" t="inlineStr">
        <is>
          <t>Whats more likely to cause dry eye after retinal detachment... scleral buckle or vitrectomy?</t>
        </is>
      </c>
      <c r="C388" t="inlineStr">
        <is>
          <t>First post here for me. 48yo male. Great health, but high myopia (8+D) since childhood.  Over the decades I've been thru glasses, contacts, RK surgery, and 2 years ago a detached retina with a scleral buckle and a vitrectomy w SF6 gas bubble. (procedures not at the same time, 30 days apart)  As inevitable with these procedures I also had a cataract replacement a year later, but that's another post.
The eye that had the buckle and vitrectomy to fix the retinal detachment now has dry eye syndrome. The other eye is fine. I feel it throughout the day, and I get a decent amount of dryed mucous upon waling in the morning.  My Optho has suggested Restasis, but I'm not on board with that yet. 
But which procedure is more likely to have caused this dry eye syndrome after the detahcment... the scleral buckle, or the vitrectomy?   Thanks.</t>
        </is>
      </c>
      <c r="D388" t="n">
        <v>1</v>
      </c>
      <c r="E388" t="n">
        <v>1</v>
      </c>
      <c r="F388">
        <f>HYPERLINK("https://www.reddit.com/r/eyetriage/comments/bn295n/whats_more_likely_to_cause_dry_eye_after_retinal/")</f>
        <v/>
      </c>
      <c r="G388" t="inlineStr">
        <is>
          <t>2019-05-10 11:59:00</t>
        </is>
      </c>
      <c r="H388" t="inlineStr"/>
    </row>
    <row r="389">
      <c r="A389" t="inlineStr">
        <is>
          <t>bn2iqn</t>
        </is>
      </c>
      <c r="B389" t="inlineStr">
        <is>
          <t>Need to mix and store eye drops at home but want to make sure everything remains sterile</t>
        </is>
      </c>
      <c r="C389" t="inlineStr">
        <is>
          <t>A few months ago I developed really bad floaters in both eyes. Easiest solution I found online is to use very diluted dilating drops so that my eyes will dilated enough to not see the floaters but still allows to see normally. My doctor decided it would be ok to prescribe me the drops and told me to use artificial tears to dilute them with. I kept trying to ask him and the other techs how they recommend I mix them but they basically just told me they don’t know and to ask the pharmacist. Anyways I figured that it wasn’t a big deal then how I did it, but when I got to the pharmacy and asked him what he suggested he said I should not try it at all because I could risk infecting my eyes if I don’t make sure everything is completely sterile. So here’s what I’m thinking: I would store them in a small glass jar. After I wash with soap and boil it, I’d squirt in all of the artificial tears and mix with a few drops of the other dilating drops. I also bought glass droppers which I can boil every time I need to use them. Is there any risk to doing this? I noticed the tears I bought don’t have preservatives but the prescription drops do. How long could this last to use if at all? Thanks in advance!</t>
        </is>
      </c>
      <c r="D389" t="n">
        <v>1</v>
      </c>
      <c r="E389" t="n">
        <v>5</v>
      </c>
      <c r="F389">
        <f>HYPERLINK("https://www.reddit.com/r/eyetriage/comments/bn2iqn/need_to_mix_and_store_eye_drops_at_home_but_want/")</f>
        <v/>
      </c>
      <c r="G389" t="inlineStr">
        <is>
          <t>2019-05-10 12:20:54</t>
        </is>
      </c>
      <c r="H389" t="inlineStr"/>
    </row>
    <row r="390">
      <c r="A390" t="inlineStr">
        <is>
          <t>bn4za0</t>
        </is>
      </c>
      <c r="B390" t="inlineStr">
        <is>
          <t>Concerned this could be more serious (carcinoma)</t>
        </is>
      </c>
      <c r="C390" t="inlineStr">
        <is>
          <t>For the past few weeks the diagnosis was chalazion but now pediatrician thinks might be something else. My brother is a physician and thinks it could be cancer (carcinoma) or a granuloma. I feel very concerned with the fact that hospitals haven’t contacted me for the appointment as it feels this shouldn’t wait. Please, any response is appreciated. Does this look like carcinoma? Should I take her to the emergency? Thank you.
For the past few weeks the diagnosis was chalazion but now pediatrician thinks might be something else. My brother is a physician and thinks it could be cancer (carcinoma) or a granuloma. I feel very concerned with the fact that hospitals haven’t contacted me for the appointment as it feels this shouldn’t wait. Please, any response is appreciated. Does this look like carcinoma? Should I take her to the emergency? Thank you.
https://ibb.co/nkVjYw5
https://ibb.co/PtRCm1D
https://ibb.co/hFKLvj6</t>
        </is>
      </c>
      <c r="D390" t="n">
        <v>4</v>
      </c>
      <c r="E390" t="n">
        <v>4</v>
      </c>
      <c r="F390">
        <f>HYPERLINK("https://www.reddit.com/r/eyetriage/comments/bn4za0/concerned_this_could_be_more_serious_carcinoma/")</f>
        <v/>
      </c>
      <c r="G390" t="inlineStr">
        <is>
          <t>2019-05-10 15:50:48</t>
        </is>
      </c>
      <c r="H390" t="inlineStr"/>
    </row>
    <row r="391">
      <c r="A391" t="inlineStr">
        <is>
          <t>bn6k3j</t>
        </is>
      </c>
      <c r="B391" t="inlineStr">
        <is>
          <t>Astigmatism developed quickly, floaters worsened</t>
        </is>
      </c>
      <c r="C391" t="inlineStr">
        <is>
          <t>For a brief backstory, I had LASIK in 2014 in my late twenties and developed floaters immediately afterwards. They were mild at first, only noticeable against the sky. Otherwise LASIK corrected my vision to 20/20. (my original prescription was around -2.00 -1.75 with regular astigmatism in my left eye)
Fast forward 4 1/2 years later to summer 2018, my floaters suddenly got worse and more noticeable under all light sources. I basically see them all the time during the day now. Since last summer up until now, it's felt like my vision has been \*off\* .. it's been especially bad working on computers with the floaters and feeling eye strain, headaches, etc. The only other thing that happened to me around the same time the floaters worsened was a pretty severe neck pain caused from sleeping wrong. Likely completely unrelated but it was causing a lot of pressure / pain around my neck and head. 
I went to multiple ophthalmologists who checked my eyes for retinal tears, etc. when I first noticed my floaters worsened and they didn't find any problems. In my own research I did some eye tests online etc and noticed a bit of ghosting on an eye chart with one of my eyes. I booked an appointment with my optometrist and did some tests and low and behold I have astigmatism prescription in both eyes, correctable with lenses.
My question is, is it normal for someone in their early thirties to develop astigmatisms in both eyes in a relatively short period of time? I do spend a good amount of time on the computer, but even last year my eyes were tested at 20/20 without the astigmatism. Since it seems to be a regular astigmatism correctable with glasses I'm at peace wearing the glasses now but should I be worried this will progress?</t>
        </is>
      </c>
      <c r="D391" t="n">
        <v>1</v>
      </c>
      <c r="E391" t="n">
        <v>5</v>
      </c>
      <c r="F391">
        <f>HYPERLINK("https://www.reddit.com/r/eyetriage/comments/bn6k3j/astigmatism_developed_quickly_floaters_worsened/")</f>
        <v/>
      </c>
      <c r="G391" t="inlineStr">
        <is>
          <t>2019-05-10 18:34:38</t>
        </is>
      </c>
      <c r="H391" t="inlineStr"/>
    </row>
    <row r="392">
      <c r="A392" t="inlineStr">
        <is>
          <t>bn6u8n</t>
        </is>
      </c>
      <c r="B392" t="inlineStr">
        <is>
          <t>I don't know if I should be worried/doing something to reduce my risk for glaucoma</t>
        </is>
      </c>
      <c r="C392" t="inlineStr">
        <is>
          <t>I had an eye check up around 6 months ago for a new prescription and the optometrist asked me if I had a family history of glaucoma. I don't. Then he showed me this close up scan of my eye and told me my "opening" was bigger than normal and that I should just be mindful of it and that I should get my eyes checked again in a year.
Since then I have been put on two medications (Adderrall and Zoloft), when I read the literature it said that the medications can increase intra-ocular pressure. My psychiatrist doesn't think it a big deal. I don't know if I should accept this or should I do something about this.</t>
        </is>
      </c>
      <c r="D392" t="n">
        <v>1</v>
      </c>
      <c r="E392" t="n">
        <v>4</v>
      </c>
      <c r="F392">
        <f>HYPERLINK("https://www.reddit.com/r/eyetriage/comments/bn6u8n/i_dont_know_if_i_should_be_worrieddoing_something/")</f>
        <v/>
      </c>
      <c r="G392" t="inlineStr">
        <is>
          <t>2019-05-10 19:05:35</t>
        </is>
      </c>
      <c r="H392" t="inlineStr"/>
    </row>
    <row r="393">
      <c r="A393" t="inlineStr">
        <is>
          <t>bnbi4i</t>
        </is>
      </c>
      <c r="B393" t="inlineStr">
        <is>
          <t>Asked Dr. Google, immediately regretted that decision.....</t>
        </is>
      </c>
      <c r="C393" t="inlineStr">
        <is>
          <t>As I was applying my eyeliner yesterday, I noticed a little "dip" in my lower eyelid waterline. It doesn't hurt, no swelling or any visible bump or lesion, just a little notch looking line. Any idea? 
*I know that asking Reddit is not a substitute for seeing a doctor, but I'm a bartender/server, so no health insurance. Thank you for any insight.</t>
        </is>
      </c>
      <c r="D393" t="n">
        <v>1</v>
      </c>
      <c r="E393" t="n">
        <v>2</v>
      </c>
      <c r="F393">
        <f>HYPERLINK("https://www.reddit.com/r/eyetriage/comments/bnbi4i/asked_dr_google_immediately_regretted_that/")</f>
        <v/>
      </c>
      <c r="G393" t="inlineStr">
        <is>
          <t>2019-05-11 05:23:41</t>
        </is>
      </c>
      <c r="H393" t="inlineStr"/>
    </row>
    <row r="394">
      <c r="A394" t="inlineStr">
        <is>
          <t>bnfjx1</t>
        </is>
      </c>
      <c r="B394" t="inlineStr">
        <is>
          <t>Vitreous Detachment and Sports</t>
        </is>
      </c>
      <c r="C394" t="inlineStr">
        <is>
          <t>Hello!
I would like to get some advice from an expert. 
Last August I was diagnosed with PVD on one eye, with time and patience I got used to it and the symptoms almost vanished. On January however, I noticed that I was seeing more floaters and flashes and went to the doctor. He saw my eye and told me that in some spots the retina was starting to detach. He applied the laser and everything went back to normal, so to speak. 
Since then, I haven’t practiced any sport at all. 
One week ago I started playing badminton and now I wonder if this activity could turn my PVD into a retinal detachment. 
I am not particularly worried about getting a blow to the eye since I wear glasses, what concerns me is that I don’t know if this new strenuous hobby could jeopardize my eye. 
I read different opinions and it seems to me that there isn’t a consensus: some people write that one should avoid contact sports and weightlifting, other said that even running could be dangerous with PVD and then I also found one article where all kind of sports and weightlifting were permitted. 
Is there any specialist who could bring some light here?
Thank you all for your time and help.</t>
        </is>
      </c>
      <c r="D394" t="n">
        <v>1</v>
      </c>
      <c r="E394" t="n">
        <v>2</v>
      </c>
      <c r="F394">
        <f>HYPERLINK("https://www.reddit.com/r/eyetriage/comments/bnfjx1/vitreous_detachment_and_sports/")</f>
        <v/>
      </c>
      <c r="G394" t="inlineStr">
        <is>
          <t>2019-05-11 11:52:48</t>
        </is>
      </c>
      <c r="H394" t="inlineStr"/>
    </row>
    <row r="395">
      <c r="A395" t="inlineStr">
        <is>
          <t>bnft1a</t>
        </is>
      </c>
      <c r="B395" t="inlineStr">
        <is>
          <t>Debris in eye post vitrectomy</t>
        </is>
      </c>
      <c r="C395" t="inlineStr">
        <is>
          <t>I had a couple of detachment events last year that culminated in a band being fitted and a vitreectomy performed, followed by silicon oil being left in for 7 months. When the oil was removed the vision was not perfect... there was a bunch of crap floating around in there... dead cells, a certain amount of residue of surfactant and so forth.
It is now 6 months on and the quality of my vision fluctuates from very good to marginal and I can't for the life of me correlate the fluctuations with any particular behaviour, physical activity, diet, water intake or anything else. I do know that when I am bent forward for a bit, the crap settles to the lowest part of my eyeball, thus causing a bit of increased blurriness and various floaters, but straightening up for a few minutes resolves this. The fluctuation I am talking about is the overall quality of the vision going from pretty clear to very foggy, and subject to a lot of blooming if I look into a light. I also get very distinct rainbow haloes from bright lights. The poor quality vision seems to last a day or so and then starts to improve, eventually returning to pretty clear good vision.  I get that the risk of trying to flush my eyeball causing another retinal issue is more than any benefit might be worth, but I am wondering what the longterm prognosis for this might be, and if there is any known correlations between increased cloudiness &amp;amp; other occlusions and behaviour, activity, diet etc.</t>
        </is>
      </c>
      <c r="D395" t="n">
        <v>1</v>
      </c>
      <c r="E395" t="n">
        <v>2</v>
      </c>
      <c r="F395">
        <f>HYPERLINK("https://www.reddit.com/r/eyetriage/comments/bnft1a/debris_in_eye_post_vitrectomy/")</f>
        <v/>
      </c>
      <c r="G395" t="inlineStr">
        <is>
          <t>2019-05-11 12:15:14</t>
        </is>
      </c>
      <c r="H395" t="inlineStr"/>
    </row>
    <row r="396">
      <c r="A396" t="inlineStr">
        <is>
          <t>bnh4p0</t>
        </is>
      </c>
      <c r="B396" t="inlineStr">
        <is>
          <t>How common/concerning are scotomas caused by cotton wool spots?</t>
        </is>
      </c>
      <c r="C396" t="inlineStr">
        <is>
          <t>Note: No diabetes, no vascular disease, no heart conditions, only problem is my blood pressure is a little too high for a 21 year old male. I do suffer from migraines every few months.   
So for some brief background, I got an eye check up after a scare with accutane, and found out that I have major astigmatism in both of my eyes. (Main thing bothering me was double vision.) Settled on a prescription that resolved it, and everything was fine. Set another appointment for two weeks later to see if my eyes would go back to normal after being off of accutane, and they remained the same. (I've since remained off of accutane.) 
Before the next appointment, I developed a strange flashing blue arc in the peripheral vision of my right eye. Similar to a scotoma, except that it was flashing blue in response to bright lights, i.e transitioning from darkness to a lit room, etc. It would even flash in response to loud noises. (Only noticed this with my eyes closed.)   
During my followup appointment, I described my symptoms to the eye doctor there, and he dilated my right eye and discovered a single cotton wool spot. However, he didn't seem to link the two together, and seemed very nonchalant about the whole thing in general. Only through researching for a few days afterward did I find a couple of obscure studies linking cotton wool spots to scotomas, and a reddit post of a woman complaining about something similar. (I got in touch with her and she said that her flashing/scotoma did resolve entirely after a few months.) 
In those studies, it was mostly a toss up on whether or not the scotoma went away for the patient. Some mentioned it resolved within 6 months, and a few of them implied that the symptoms remained for life. My scotoma doesn't flash blue anymore, and it's almost to the point where it's barely noticeable, but I'm not sure if that's because it's actually going away, or my brain is adjusting to the minor loss of vision. 
I've been working on getting my blood pressure down through exercise, and each day the scotoma seems to become less noticeable. So my question is... is there any point in even worrying about it? How common are scotomas associated with cotton wool spots, if at all... and do they usually resolve with time?</t>
        </is>
      </c>
      <c r="D396" t="n">
        <v>2</v>
      </c>
      <c r="E396" t="n">
        <v>3</v>
      </c>
      <c r="F396">
        <f>HYPERLINK("https://www.reddit.com/r/eyetriage/comments/bnh4p0/how_commonconcerning_are_scotomas_caused_by/")</f>
        <v/>
      </c>
      <c r="G396" t="inlineStr">
        <is>
          <t>2019-05-11 14:15:45</t>
        </is>
      </c>
      <c r="H396" t="inlineStr"/>
    </row>
    <row r="397">
      <c r="A397" t="inlineStr">
        <is>
          <t>bnmexp</t>
        </is>
      </c>
      <c r="B397" t="inlineStr">
        <is>
          <t>What the heck is wrong with my eyes?</t>
        </is>
      </c>
      <c r="C397" t="inlineStr">
        <is>
          <t>I've visited a myriad amount eye doctors (both optometrists and ophthalmologists), and because of how exorbitant eye care is,  I am starting to become confounded. What the heck am I paying for? My eye doctors do a fine job with finding me 20/20 vision; however, from my perspective, they do not account for other variables that can affect my visual clarity and I don't understand why they just call it a day after finding me the what they think is the best prescription. They all seem to just dismiss my eye problems. I can see alright because I do have 20/20 vision with glasses, but my problem is that no matter what glass prescription eye doctors give me, I do not have the clarity I want and astigmatism is not entirely corrected. In fact, my vision is constraining and my quality of life has diminished as a result. I can't read as much (which is huge as someone that strives to be an intellectual), I can't play the piano as reading music becomes cumbersome and I have trouble appreciating anything visual (especially artwork or nature or even simply just watching a busy intersection of people walking by). So, I would greatly appreciate help as I did everything that I can, and since all my eye doctors did everything they can, I resort to the internet for any suggestions.
Here is my current prescription which was updated in April: 
 **Right (OD)**\-4.50-2.00+180.00
**Left (OS)**\-5.00-1.50+180.00 
&amp;amp;#x200B;
Here is what I experience (even with my new eye prescription; again, it seems that no eye prescription seem to fix any problems - not even rgp contact lens):
 \- gradual worsening of blurriness over time when eyes are not opened all the way (happens a lot when I squint a lot...it makes me look tired but I'm actually not tired, just trying to use my eyes) 
\- when reading a book or looking at a smartphone at a downward angle, gradual worsening of blurriness
\- when I open my eyes and not squint, vision does not become blurry over time, but it's hard to actually use my eyes
\- when I open my eyes as wide as possible, I start to see double
&amp;amp;#x200B;
Here is what I know from what my eye doctors have told me: 
\- I hold back my vision a lot, and during eye exams, I am often struggling to differentiate between different prescriptions once it gets near to my current prescription 
\- I have Asian eyes and my eyelids apparently hold back astigmatism (questionable if this can actually happen)
\- My right eye is apparently weaker (In fact, an important thing to note is that I used to only use my left eye where I would partially close my right eye because of how much clearer I saw. I still see better with my left eye. Right eye is always a bit of a struggle) 
\- Also, my right eyelid seem to be weaker if that makes any sense....
&amp;amp;#x200B;
My ultimate conjecture: 
\-I think it's because of the discrepancy between my two eyes, both visually and physically, that cause my brain to not be able to create a clear image.  
&amp;amp;#x200B;
TLDR; No eye prescription or eye doctor seem to know what's wrong with my eyes and they all tell me that there's not much we can do. I refuse to believe that. What can I do? Are there an eye doctor that is more specialized that can potentially help?</t>
        </is>
      </c>
      <c r="D397" t="n">
        <v>2</v>
      </c>
      <c r="E397" t="n">
        <v>10</v>
      </c>
      <c r="F397">
        <f>HYPERLINK("https://www.reddit.com/r/eyetriage/comments/bnmexp/what_the_heck_is_wrong_with_my_eyes/")</f>
        <v/>
      </c>
      <c r="G397" t="inlineStr">
        <is>
          <t>2019-05-12 00:23:02</t>
        </is>
      </c>
      <c r="H397" t="inlineStr"/>
    </row>
    <row r="398">
      <c r="A398" t="inlineStr">
        <is>
          <t>bnpuuh</t>
        </is>
      </c>
      <c r="B398" t="inlineStr">
        <is>
          <t>Help me understand my problem</t>
        </is>
      </c>
      <c r="C398" t="inlineStr">
        <is>
          <t>I wear convex lenses (+4.5 in left wye, and +2 in right eye). I have been wearing glasses for about 10 years now. I thought I had long-sightedness as I had been given a convex lens. But I always could see objects farther and also objects near. I still can read quite easily without my glasses through my right eye. What is this problem?
&amp;amp;#x200B;
&amp;amp;#x200B;
I recently learned that I had short-sightedness, not the other way around. Now I started wearing glasses at the age of 8, and I started with (+5 in both eyes). I had been told that I was born with this defect but why couldn't I find it until then, I could see clearly with no difficulty whatsoever.  
&amp;amp;#x200B;
The right eye improved significantly but the left eye seems to be getting worse. Is there anything I can do about this. Anything to improve my condition or any question I could ask my doctors to understand this properly.</t>
        </is>
      </c>
      <c r="D398" t="n">
        <v>1</v>
      </c>
      <c r="E398" t="n">
        <v>3</v>
      </c>
      <c r="F398">
        <f>HYPERLINK("https://www.reddit.com/r/eyetriage/comments/bnpuuh/help_me_understand_my_problem/")</f>
        <v/>
      </c>
      <c r="G398" t="inlineStr">
        <is>
          <t>2019-05-12 08:01:11</t>
        </is>
      </c>
      <c r="H398" t="inlineStr"/>
    </row>
    <row r="399">
      <c r="A399" t="inlineStr">
        <is>
          <t>bns2jl</t>
        </is>
      </c>
      <c r="B399" t="inlineStr">
        <is>
          <t>Floater or something else?</t>
        </is>
      </c>
      <c r="C399" t="inlineStr">
        <is>
          <t>Is this a floater or something else?
Symptoms &amp;amp; behavior:
- Dark c-shapes blob
- Upper right-hand side of vision
- Not always visible depending on background - white and bright backgrounds, its more visible 
- Usually disappears momentarily when looking at a bright background 
- Visible when blinking 
- Gets worse for 1-3 days, fades away into a less visible blob, sometimes whiter or more transparent 
- Usually gets darker and more noticeable every 1-3 weeks. Kind of random. Not sure of triggers, but usually at end of a work week.  Has been happening since September 
- Slight distortion of straight lines in area of floater - just noticed this 3 weeks ago. Have to REALLY be looking for it.
- Blurriness in vision to right of words in area of floater. Peripheral vision. Not sure if this is normal or not!
Medical history:
- Strabismus - both eyes don’t work together
- Have always dealt with double vision, but clear for most part 
- Cross eyed - eyes just don’t work together 
- Anxiety!! Lots of it.
- Dealt with floaters before - but mostly different
- Had flashes of light too - eye doc said it’s VFD
- 29 year old male, little overweight.
- Blood pressure is borderline high 
- No other significant medical history to speak of that’s not mental health related 
- Had this floater checked out in January and was told retina looked great 
- Had an eye exam last week, they didn’t seem concerned</t>
        </is>
      </c>
      <c r="D399" t="n">
        <v>2</v>
      </c>
      <c r="E399" t="n">
        <v>0</v>
      </c>
      <c r="F399">
        <f>HYPERLINK("https://www.reddit.com/r/eyetriage/comments/bns2jl/floater_or_something_else/")</f>
        <v/>
      </c>
      <c r="G399" t="inlineStr">
        <is>
          <t>2019-05-12 11:13:13</t>
        </is>
      </c>
      <c r="H399" t="inlineStr"/>
    </row>
    <row r="400">
      <c r="A400" t="inlineStr">
        <is>
          <t>bo3mzt</t>
        </is>
      </c>
      <c r="B400" t="inlineStr">
        <is>
          <t>Wife's eye is irritated and discolored in one spot</t>
        </is>
      </c>
      <c r="C400" t="inlineStr">
        <is>
          <t>Hi everyone, my wife has been complaining for about two days about a spot on her eye being irritable. does anyone know what this is? i've never seen one before. (The slight discoloration to the left of her pupil)</t>
        </is>
      </c>
      <c r="D400" t="n">
        <v>1</v>
      </c>
      <c r="E400" t="n">
        <v>2</v>
      </c>
      <c r="F400">
        <f>HYPERLINK("https://www.reddit.com/r/eyetriage/comments/bo3mzt/wifes_eye_is_irritated_and_discolored_in_one_spot/")</f>
        <v/>
      </c>
      <c r="G400" t="inlineStr">
        <is>
          <t>2019-05-13 06:42:52</t>
        </is>
      </c>
      <c r="H400" t="inlineStr"/>
    </row>
    <row r="401">
      <c r="A401" t="inlineStr">
        <is>
          <t>bo4jp1</t>
        </is>
      </c>
      <c r="B401" t="inlineStr">
        <is>
          <t>Please help me understand what's happening</t>
        </is>
      </c>
      <c r="C401" t="inlineStr">
        <is>
          <t>So, today I woke up and stayed in bed for a few minutes and took my phone as always. I stayed with only one eye open (the left one), the other was buried in the pillow. And I noticed something like visual snow??
It's not constant but its like there's things moving and they're big things moving, maybe floaters?) not a little static. But it's trippy.
I can only notice it when my right eye is closed and the left one is almost crossed, but I am freaking the fuck out. Also it seems to happen after I slept for a while, like rn the whole "one eye closed almost crossed" technique it's not working.
What is this??
I've had my eyes checked recently, in February I think, I had some nearsightedness which I didn't buy glasses for yet.
 Please help, I have a lot of anxiety.</t>
        </is>
      </c>
      <c r="D401" t="n">
        <v>1</v>
      </c>
      <c r="E401" t="n">
        <v>3</v>
      </c>
      <c r="F401">
        <f>HYPERLINK("https://www.reddit.com/r/eyetriage/comments/bo4jp1/please_help_me_understand_whats_happening/")</f>
        <v/>
      </c>
      <c r="G401" t="inlineStr">
        <is>
          <t>2019-05-13 07:59:56</t>
        </is>
      </c>
      <c r="H401" t="inlineStr"/>
    </row>
    <row r="402">
      <c r="A402" t="inlineStr">
        <is>
          <t>bo9pu2</t>
        </is>
      </c>
      <c r="B402" t="inlineStr">
        <is>
          <t>Does the shape of iris look strange?</t>
        </is>
      </c>
      <c r="C402" t="inlineStr">
        <is>
          <t>Had a tooth infection and I think it caused pink eye. After taking a couple.od photos, I noticed the Iris kind of looks funny, like it has a line that should be circular, but instead is mishapen.
Am I crazy?
Thanks!
https://ibb.co/XDjxskj
https://ibb.co/dW9fKDZ
https://ibb.co/FHQR749
https://ibb.co/ws5XGm2
https://ibb.co/fCh6Bjy
https://ibb.co/kcxYdW2
https://ibb.co/qY4BLyD
https://ibb.co/VNN6sDL
https://ibb.co/V3NJwzN
https://ibb.co/SNxr7CK</t>
        </is>
      </c>
      <c r="D402" t="n">
        <v>2</v>
      </c>
      <c r="E402" t="n">
        <v>6</v>
      </c>
      <c r="F402">
        <f>HYPERLINK("https://www.reddit.com/r/eyetriage/comments/bo9pu2/does_the_shape_of_iris_look_strange/")</f>
        <v/>
      </c>
      <c r="G402" t="inlineStr">
        <is>
          <t>2019-05-13 14:43:11</t>
        </is>
      </c>
      <c r="H402" t="inlineStr"/>
    </row>
    <row r="403">
      <c r="A403" t="inlineStr">
        <is>
          <t>bo9y43</t>
        </is>
      </c>
      <c r="B403" t="inlineStr">
        <is>
          <t>I am scheduled for a endothelial corneal transplant for Fuch’s dystrophy and a cataract removal on July 2nd.</t>
        </is>
      </c>
      <c r="C403" t="inlineStr">
        <is>
          <t>I’m a 58 y/o female who started with blurry vision in my dominant eye (amblyopia in other eye), eye pain/eye feels “weak” or “weird/not right”, large brown/gray floater, poor peripheral vision in same eye Right eye. I am farsighted and my vision changes drastically from year to year. 
Glasses less than a year old. Had a bunch of tests at eye doctor including an OCT and field vision test. Everything was normal. 
Next was neurologist to rule out multiple sclerosis. (I’ve been an RN for 37 years. On disability for last 2 1/2 years. Diagnosed with fibromyalgia). MRI of brain with emphasis on Optic nerve was normal. 
Next to Opthalmologist for second opinion referred by neurologist. After looking at all tests, used yellow drops and diagnosed Fuch’s dystrophy with small cataract on right more prominent in the area of decreased peripheral vision. Was happy someone said I wasn’t crazy. 
I’m pretty nervous about the surgery because it is my dominant eye. My left eye didn’t take over d/t the amblyopia. MD said my vision won’t stabilize for one month. Since I’ve been sick, things take way longer to heal (i.e. root canal, took 8-10 months for gums to heal vs 2 weeks). I’ve read about bad outcomes. 
My rheumatologist freaked out and recommended another opinion even though he really knows and likes this cornea specialist. I’m moving ahead with the procedure. Dr. states that I have very little astigmatism in that eye, even though my glasses have a huge astigmatism correction in my glasses. I have trifocal progressive lenses. 
I have lost 45 pounds in the last year (on purpose). My other eye doctor also said my astigmatism had markedly decreased. (He has prescribed my eye glasses for years). Was told weight loss wouldn’t affect astigmatism. New doctor didn’t say much, but I felt like he wanted to say that my previous doctor didn’t know what he was doing. 
Thoughts? Help? Am I doing the right thing?</t>
        </is>
      </c>
      <c r="D403" t="n">
        <v>2</v>
      </c>
      <c r="E403" t="n">
        <v>2</v>
      </c>
      <c r="F403">
        <f>HYPERLINK("https://www.reddit.com/r/eyetriage/comments/bo9y43/i_am_scheduled_for_a_endothelial_corneal/")</f>
        <v/>
      </c>
      <c r="G403" t="inlineStr">
        <is>
          <t>2019-05-13 15:01:48</t>
        </is>
      </c>
      <c r="H403" t="inlineStr"/>
    </row>
    <row r="404">
      <c r="A404" t="inlineStr">
        <is>
          <t>bolp2h</t>
        </is>
      </c>
      <c r="B404" t="inlineStr">
        <is>
          <t>Did I do this to myself?</t>
        </is>
      </c>
      <c r="C404" t="inlineStr">
        <is>
          <t>So... I had my eyes dilated yesterday for my eye appointment. This was around 12:30 by 5 pm I was home but still a little blurry with light sensitivity.  Took a nap ate dinner and by nighttime I was back to normal. Around 10:00 pm I’m yelling at my kids, I look at my phone and now it’s back to fuzzy. I can’t read text anymore. Did I do that to myself. Was it a combination of the dilated eyes earlier and a raise in blood pressure due to the yelling? And should I be worried. Full disclosure, make, 43, narrow angle glaucoma, macular degeneration cataracts in both eyes.</t>
        </is>
      </c>
      <c r="D404" t="n">
        <v>1</v>
      </c>
      <c r="E404" t="n">
        <v>4</v>
      </c>
      <c r="F404">
        <f>HYPERLINK("https://www.reddit.com/r/eyetriage/comments/bolp2h/did_i_do_this_to_myself/")</f>
        <v/>
      </c>
      <c r="G404" t="inlineStr">
        <is>
          <t>2019-05-14 10:13:43</t>
        </is>
      </c>
      <c r="H404" t="inlineStr"/>
    </row>
    <row r="405">
      <c r="A405" t="inlineStr">
        <is>
          <t>bonu0s</t>
        </is>
      </c>
      <c r="B405" t="inlineStr">
        <is>
          <t>How would I tell the difference between symptoms of migraine aura and retinal detachment?</t>
        </is>
      </c>
      <c r="C405" t="inlineStr">
        <is>
          <t>I have migraines and though they don't currently present with aura with visual disturbance, I think I may have the potential to have one such because I have (once like a decade ago) seen a shower of sparks before, and even now I see one sole brief twinkle once in a blue moon. My migraines are chronic (untreated they were every other day, thankfully treated they're much more rare) so I get a lot of them.
I have been warned by my doctors for the past decade or so to always keep a look out for symptoms of retinal detachment. I've got family history, and, prior to LASIK, I was severely near sighted (like -9ish). But my question is, how would I know the difference? Apart from possibly floaters, the descriptions of visual phenomenon seem pretty much the same.</t>
        </is>
      </c>
      <c r="D405" t="n">
        <v>1</v>
      </c>
      <c r="E405" t="n">
        <v>4</v>
      </c>
      <c r="F405">
        <f>HYPERLINK("https://www.reddit.com/r/eyetriage/comments/bonu0s/how_would_i_tell_the_difference_between_symptoms/")</f>
        <v/>
      </c>
      <c r="G405" t="inlineStr">
        <is>
          <t>2019-05-14 13:06:31</t>
        </is>
      </c>
      <c r="H405" t="inlineStr"/>
    </row>
    <row r="406">
      <c r="A406" t="inlineStr">
        <is>
          <t>bop6pn</t>
        </is>
      </c>
      <c r="B406" t="inlineStr">
        <is>
          <t>Strong pain from blocked tear duct - 23 y/o male - do I need surgery?</t>
        </is>
      </c>
      <c r="C406" t="inlineStr">
        <is>
          <t>Hello -
I am a 23 year old male and I am on day 3 with an incredibly painful blocked tear duct.
It started Sunday morning and has since been getting slowly worse. Ibuprofen doesn't seem to help unless it's in large doses, and I got so fed up with the pain that I took a Tramadol. This is only a temporary solution, as I understand that opioids can be addictive, and it is not something I would've resorted to if the pain wasn't unbearable. On a scale of 1-10, the dull, aching pain is probably a 7-9, constant, and keeping me up at night.
I went to a general doctor yesterday and they suggested it was an infected blocked tear duct; they prescribed me eyedrop antibiotics, which I take every 4 hrs since yesterday.
I have been hot-compressing my left tear duct often, and massaging it often, for the past couple days, and it seems to make it better very temporarily but only for a few minutes, then the pain is back. When I heat compress it, I can feel a little bit of liquid leaking down the back of my throat.
I tried to go to the optometrist, but I can't afford it right now due to my high deductible. Plus, I was thinking that it could heal at any moment, which would make the incredibly expensive visit a waste of money.
Should i even bother with the optometrist at this point? The only thing that makes me want to go is the pain. It's keeping me up at night and I don't want to keep taking Tramadol for it.
Thanks! [Here is a picture of my eye.](https://imgur.com/kjHU8tQ) It's my left eye, which is the one on the right in this pic (phone camera flipped)
P.S. I've had this problem before. It was probably a few months ago, and I was in the same kind of pain that I was in now, but I did a warm compress, felt something leak down the back of my throat, and instantly felt fine. I guess it's back for revenge?</t>
        </is>
      </c>
      <c r="D406" t="n">
        <v>2</v>
      </c>
      <c r="E406" t="n">
        <v>2</v>
      </c>
      <c r="F406">
        <f>HYPERLINK("https://www.reddit.com/r/eyetriage/comments/bop6pn/strong_pain_from_blocked_tear_duct_23_yo_male_do/")</f>
        <v/>
      </c>
      <c r="G406" t="inlineStr">
        <is>
          <t>2019-05-14 14:59:31</t>
        </is>
      </c>
      <c r="H406" t="inlineStr"/>
    </row>
    <row r="407">
      <c r="A407" t="inlineStr">
        <is>
          <t>bormzd</t>
        </is>
      </c>
      <c r="B407" t="inlineStr">
        <is>
          <t>DIY eyedrops</t>
        </is>
      </c>
      <c r="C407" t="inlineStr">
        <is>
          <t>Can you make your own eye-drops safely? And what would you use?</t>
        </is>
      </c>
      <c r="D407" t="n">
        <v>1</v>
      </c>
      <c r="E407" t="n">
        <v>4</v>
      </c>
      <c r="F407">
        <f>HYPERLINK("https://www.reddit.com/r/eyetriage/comments/bormzd/diy_eyedrops/")</f>
        <v/>
      </c>
      <c r="G407" t="inlineStr">
        <is>
          <t>2019-05-14 18:41:22</t>
        </is>
      </c>
      <c r="H407" t="inlineStr"/>
    </row>
    <row r="408">
      <c r="A408" t="inlineStr">
        <is>
          <t>bosgc4</t>
        </is>
      </c>
      <c r="B408" t="inlineStr">
        <is>
          <t>Flashes</t>
        </is>
      </c>
      <c r="C408" t="inlineStr">
        <is>
          <t>Hey guys,
So i went to see my ophthalmologist last week. I got a new floater about a month ago thats much less visible now so i assume its going away. In my right eye i get  flashes at the edge of my vision Mostly when i wake up and move around or im working out and moving my head around a lot. It happens 1-3 times then stops for a while.
He said its the gel in my eye moving around and didnt find any issue with my retina. Im also nearsighted and 25 yo,so he says its normal. Im just curious as to why its not going away or reducing. Also why is the gel doing this now and not before? When can i expect this to go away?
Additionally, i spend a lot of time looking at screens whether my pc, phone, etc. I try to take a lot of breaks, like every couple hours.
Just looking for more info bc my retina is fine but my flashes aren't disappearing and i dont want it to worsen.</t>
        </is>
      </c>
      <c r="D408" t="n">
        <v>1</v>
      </c>
      <c r="E408" t="n">
        <v>1</v>
      </c>
      <c r="F408">
        <f>HYPERLINK("https://www.reddit.com/r/eyetriage/comments/bosgc4/flashes/")</f>
        <v/>
      </c>
      <c r="G408" t="inlineStr">
        <is>
          <t>2019-05-14 19:59:55</t>
        </is>
      </c>
      <c r="H408" t="inlineStr"/>
    </row>
    <row r="409">
      <c r="A409" t="inlineStr">
        <is>
          <t>both9m</t>
        </is>
      </c>
      <c r="B409" t="inlineStr">
        <is>
          <t>Sudden onset of eye flashes</t>
        </is>
      </c>
      <c r="C409" t="inlineStr">
        <is>
          <t>My wife, 32, had a sudden onset of eye flashes in the periphery of her vision earlier tonight. No other eye issues in her past. 
She said it started in right eye, then went to left eye. Flashes out of corner of left eye, and brief blurry vision out of side of eye.
However, within the last half hour, both the blurry vision and flashers have gone away and vision has returned to normal.
She doesn’t have an ophthalmologist as she’s never had eye issues. Should we go to ER? Or try to schedule something with an eye doctor in the next few days? Or just ignore it if it stays like this?</t>
        </is>
      </c>
      <c r="D409" t="n">
        <v>1</v>
      </c>
      <c r="E409" t="n">
        <v>8</v>
      </c>
      <c r="F409">
        <f>HYPERLINK("https://www.reddit.com/r/eyetriage/comments/both9m/sudden_onset_of_eye_flashes/")</f>
        <v/>
      </c>
      <c r="G409" t="inlineStr">
        <is>
          <t>2019-05-14 21:48:29</t>
        </is>
      </c>
      <c r="H409" t="inlineStr"/>
    </row>
    <row r="410">
      <c r="A410" t="inlineStr">
        <is>
          <t>boxaso</t>
        </is>
      </c>
      <c r="B410" t="inlineStr">
        <is>
          <t>Contacts after Scleral Buckle?</t>
        </is>
      </c>
      <c r="C410" t="inlineStr">
        <is>
          <t>Yesterday I was fit for a new prescription of contacts by my optometrist who didn’t seem alarmed that 8 weeks post scleral buckle I was going to be putting in contacts. My Ophtho’s office said as long as I was done using drops I was fine to start contacts. 
However, after putting them in for a few hours last night and this morning what was previously healed and white now seems red and irritated. Do I wait longer or just ease back into contacts a few hours at a time?</t>
        </is>
      </c>
      <c r="D410" t="n">
        <v>1</v>
      </c>
      <c r="E410" t="n">
        <v>11</v>
      </c>
      <c r="F410">
        <f>HYPERLINK("https://www.reddit.com/r/eyetriage/comments/boxaso/contacts_after_scleral_buckle/")</f>
        <v/>
      </c>
      <c r="G410" t="inlineStr">
        <is>
          <t>2019-05-15 05:26:03</t>
        </is>
      </c>
      <c r="H410" t="inlineStr"/>
    </row>
    <row r="411">
      <c r="A411" t="inlineStr">
        <is>
          <t>bp47va</t>
        </is>
      </c>
      <c r="B411" t="inlineStr">
        <is>
          <t>Eye fatigue and other complications</t>
        </is>
      </c>
      <c r="C411" t="inlineStr">
        <is>
          <t>I'm a 20 year old female intern who just started my new job today. I do many tasks but today I did mostly filing, reading, and using spreadsheets on the computer. All day, even when I was not doing the above tasks that require lots of eye focus, my eyes have felt extremely tired and like I have to work so hard to focus. 
Now, this is not your standard case of eye strain and thats why I'm asking for advice. I have posterior uveitis, retinal vasculitis, myopia, astigmatism, and what my opthomologist says is allergic conjunctivitis that won't go away (started with ketorolac, currently using pazeo and preservative free artificial tears with no relief). At my last eye exam 2 weeks ago my VA was fine I think but idk if that has changed since then, and I see flashes and flickering in my eyes occasionally throughout the day. I also have many large floaters. Systematically, I have been diagnosed with Hashimoto's and we are investigating polycythemia. On prednisone and plaquenil. 
Honestly I'm not sure what to do. I'm not sure which of my eye problems is making me so miserable at my new job. But my eyes feel exhausted all day and it gives me a headache. Before I started working my eyes would only feel this bad in the evening but I would be fine until then. 
Where do I go from here? Is it the "allergic conjunctivitis" that is causing the discomfort or could there be a decrease in VA? I would really appreciate some advice or guidance if possible, thank you!</t>
        </is>
      </c>
      <c r="D411" t="n">
        <v>1</v>
      </c>
      <c r="E411" t="n">
        <v>3</v>
      </c>
      <c r="F411">
        <f>HYPERLINK("https://www.reddit.com/r/eyetriage/comments/bp47va/eye_fatigue_and_other_complications/")</f>
        <v/>
      </c>
      <c r="G411" t="inlineStr">
        <is>
          <t>2019-05-15 14:58:29</t>
        </is>
      </c>
      <c r="H411" t="inlineStr"/>
    </row>
    <row r="412">
      <c r="A412" t="inlineStr">
        <is>
          <t>bpgrdu</t>
        </is>
      </c>
      <c r="B412" t="inlineStr">
        <is>
          <t>Symptoms of Anisometropia despite having Glasses on ?</t>
        </is>
      </c>
      <c r="C412" t="inlineStr">
        <is>
          <t>Hi guys, so recently my eyes become really tired super fast. Went  to my doctor, she said that I have to spend less time on the conputer and that I might have CVS. However, the problems persisted even after completely abstaining for 2-3 days from computer usage. After some hours of googling I found out that I might have anisometropia. I don't get double vision but get all the other symptoms, especially when I'm reading something or have to look at multiple things at once.
&amp;amp;#x200B;
My prescription from 2years ago: OD: SPH:-6,5 CYL:-0,75 AX: 170
OS: SPH:-6,25 CYL:-0,5 AX:0
&amp;amp;#x200B;
&amp;amp;#x200B;
My current prescription(got tested pretty recently): OD: SPH:-8,5 CYL:-0,75 AX:170
&amp;amp;#x200B;
OS: SPH:-6,5 CYL:-0,75 AX:27
&amp;amp;#x200B;
&amp;amp;#x200B;
I might have to test for verticular heterophoria, since my optometrist mentioned that one eye is slightly lower than the other. It would still take some time to get an appointment and its pretty pricy too, any help would be appreciated.</t>
        </is>
      </c>
      <c r="D412" t="n">
        <v>1</v>
      </c>
      <c r="E412" t="n">
        <v>3</v>
      </c>
      <c r="F412">
        <f>HYPERLINK("https://www.reddit.com/r/eyetriage/comments/bpgrdu/symptoms_of_anisometropia_despite_having_glasses/")</f>
        <v/>
      </c>
      <c r="G412" t="inlineStr">
        <is>
          <t>2019-05-16 12:15:26</t>
        </is>
      </c>
      <c r="H412" t="inlineStr"/>
    </row>
    <row r="413">
      <c r="A413" t="inlineStr">
        <is>
          <t>bpj4dm</t>
        </is>
      </c>
      <c r="B413" t="inlineStr">
        <is>
          <t>Curvy lines in vision? Exercise makes them more apparent.</t>
        </is>
      </c>
      <c r="C413" t="inlineStr">
        <is>
          <t>Yes I suffer from migraine with aura. I’m 15 and don’t get them often at all, yet my eyes are all screwed up because of them. Anyways I was wondering if it was normal to experience clear yet tiny blurry lines in the shape of an eyelash going across your vision. They move quickly and don’t impact it too much, but I know they’re there, especially when I’m outside, or after I’m done exercising like in gym class. After/during exercise they move more quickly and are more abundant.</t>
        </is>
      </c>
      <c r="D413" t="n">
        <v>1</v>
      </c>
      <c r="E413" t="n">
        <v>2</v>
      </c>
      <c r="F413">
        <f>HYPERLINK("https://www.reddit.com/r/eyetriage/comments/bpj4dm/curvy_lines_in_vision_exercise_makes_them_more/")</f>
        <v/>
      </c>
      <c r="G413" t="inlineStr">
        <is>
          <t>2019-05-16 15:30:21</t>
        </is>
      </c>
      <c r="H413" t="inlineStr"/>
    </row>
    <row r="414">
      <c r="A414" t="inlineStr">
        <is>
          <t>bpv87d</t>
        </is>
      </c>
      <c r="B414" t="inlineStr">
        <is>
          <t>Does having the SLT procedure prevent other future procedures for glaucoma?</t>
        </is>
      </c>
      <c r="C414" t="inlineStr">
        <is>
          <t>I'm 35 and was diagnosed with glaucoma three months ago. I'm on a combo eye drop called DuoTrav (Travoprost and Timolol) and my optometrist is pleased with my pressures since they dropped 50% (from 40 to now around 20). I have to see an ophthalmologist in a couple of weeks and my optometrist mentioned that he may add another drop or maybe the SLT, just to bring pressures down even more (considering I'm going to live to 100 and need to see until then!). It got me thinking about all the new procedures out there to treat glaucoma these days and I was wondering if I were to get the SLT if it would prevent me from getting say the iStent or another MIGS device. Perhaps even canaloplasty?
Also, what I've read says that the SLT could lower pressures by up to 20%. I'm assuming that's 20% of my current pressure (around 20) and not 20% of my highest pressure (40).
Also, just to add. My glaucoma is pre-perimetric and my fields are at 100% if that makes a difference. I was being monitored for the last 10 years with ocular hypertension and my pressures skyrocketed after having my second child. Not sure if the pregnancy did anything to influence that or not, but I am very fortunate that it was caught at this stage.
Thanks!</t>
        </is>
      </c>
      <c r="D414" t="n">
        <v>2</v>
      </c>
      <c r="E414" t="n">
        <v>13</v>
      </c>
      <c r="F414">
        <f>HYPERLINK("https://www.reddit.com/r/eyetriage/comments/bpv87d/does_having_the_slt_procedure_prevent_other/")</f>
        <v/>
      </c>
      <c r="G414" t="inlineStr">
        <is>
          <t>2019-05-17 11:59:08</t>
        </is>
      </c>
      <c r="H414" t="inlineStr"/>
    </row>
    <row r="415">
      <c r="A415" t="inlineStr">
        <is>
          <t>bpvc38</t>
        </is>
      </c>
      <c r="B415" t="inlineStr">
        <is>
          <t>Adopt question</t>
        </is>
      </c>
      <c r="C415" t="inlineStr">
        <is>
          <t>I left my Azopt in my car today and it’s been pretty hot, but it says store from 39-86 degrees. Should I just assume that this bottle is ruined, or should I just continue to use it?</t>
        </is>
      </c>
      <c r="D415" t="n">
        <v>1</v>
      </c>
      <c r="E415" t="n">
        <v>4</v>
      </c>
      <c r="F415">
        <f>HYPERLINK("https://www.reddit.com/r/eyetriage/comments/bpvc38/adopt_question/")</f>
        <v/>
      </c>
      <c r="G415" t="inlineStr">
        <is>
          <t>2019-05-17 12:07:45</t>
        </is>
      </c>
      <c r="H415" t="inlineStr"/>
    </row>
    <row r="416">
      <c r="A416" t="inlineStr">
        <is>
          <t>bq4ob6</t>
        </is>
      </c>
      <c r="B416" t="inlineStr">
        <is>
          <t>Questions about blind spots in the eye</t>
        </is>
      </c>
      <c r="C416" t="inlineStr">
        <is>
          <t>So I know everyone has a blind spot in the eye and you can find it by closing one eye. And im wondering if what im exeriencing is normal because I havent seen anyone mention their blind spot like this. But when I close one
Of my eyes, a small faint/light shadow comes in my open eye and its exactly where my blind spot is. If i put my index finger a full arms length away from me and over my blind spot while looking at a wall/ceiling, I cant about more than half my index finger. Is that normal? Because i heard your blind spot is supposed to be the size of a pixel. Or is it just because im looking at a wide range that it appears a bit bigger. Also is that shadow part normal? I dont see anyone mention that. Due to that shadow i can pretty easily find my blind spot in both eyes without having to do those online tests. Btw i dont have any eye diseases from what my retinal specialist and eye doc has seen but i also havent told them about these blind spots nor have had a visual field test done. I dont see those shadows with both eyes open.</t>
        </is>
      </c>
      <c r="D416" t="n">
        <v>1</v>
      </c>
      <c r="E416" t="n">
        <v>3</v>
      </c>
      <c r="F416">
        <f>HYPERLINK("https://www.reddit.com/r/eyetriage/comments/bq4ob6/questions_about_blind_spots_in_the_eye/")</f>
        <v/>
      </c>
      <c r="G416" t="inlineStr">
        <is>
          <t>2019-05-18 07:39:10</t>
        </is>
      </c>
      <c r="H416" t="inlineStr"/>
    </row>
    <row r="417">
      <c r="A417" t="inlineStr">
        <is>
          <t>bq712h</t>
        </is>
      </c>
      <c r="B417" t="inlineStr">
        <is>
          <t>Too late to wait 4 days to get my eyes checked ?</t>
        </is>
      </c>
      <c r="C417" t="inlineStr">
        <is>
          <t xml:space="preserve"> Hey there, I'm 21 year old male ,I'm healthy, I have been having many floaters and sparkles for a very long period of time and I had the last opthalmic exam about 5 years ago.I started getting these flashes of lights whenever I would blink that would occure when I wake up or change the room lighting. They are small , I guess black , dots that sparks when blinked and then they go away. They vanish or they're not noticeable when I'm in a constant room lighting. Yesterday I noticed that one of them is larger and located near the center of my right eye. If I close my left eye, I can see that there ( on that same spot ) is a gray spot, ovaly shaped. It is blurry and I cannot see through it if my left eye is closed. It's not always gray, actually it tends to pick up the color of the background . So if I'm reading something on the white background and if I close my left eye, the spot is white. I was also looking at the bright sky with my left eye closed and I have noticed that there are tiny wild sparkles on that spot, but I had to really focus my sight in order to see those sparkles. I don't see them, however, when I'm looking at the white background. I have a scheduled an ophtalmic exam in Tuesday, so four days from now.I should mention that I have occular migraines, usually 2-3 times a year (not diagnosed though ). BUT, I had 3 migraines last month which was very uncommon. Usually when I am about to have a migraine , I have visual disturbances in my central vision. Vision disturbances vary afterwards and last only for 30 minutes followed by headache which lasts for maximum of 2-3 hours, I guess. But I'm always prepared and I reduce the pain to its minimum, so I couldn't tell how much it would last if I wouldn't take the pill and close myself into a dark room. These syptoms I'm having at the moment are not the symptoms of ocullar migraine, but I figured there could be a connection, especially since I got 3 migraines last month. I also remember I had somewhat similar problem before with that spot in the center, but it was never this big and it would pass after a week or so.
What could this be and is it too late to wait 4 days ?  
Thanks in advance.</t>
        </is>
      </c>
      <c r="D417" t="n">
        <v>1</v>
      </c>
      <c r="E417" t="n">
        <v>12</v>
      </c>
      <c r="F417">
        <f>HYPERLINK("https://www.reddit.com/r/eyetriage/comments/bq712h/too_late_to_wait_4_days_to_get_my_eyes_checked/")</f>
        <v/>
      </c>
      <c r="G417" t="inlineStr">
        <is>
          <t>2019-05-18 11:18:09</t>
        </is>
      </c>
      <c r="H417" t="inlineStr"/>
    </row>
    <row r="418">
      <c r="A418" t="inlineStr">
        <is>
          <t>bq8r1q</t>
        </is>
      </c>
      <c r="B418" t="inlineStr">
        <is>
          <t>Ghosting and rainbow halos</t>
        </is>
      </c>
      <c r="C418" t="inlineStr">
        <is>
          <t>Hey guys,
2 weeks ago I started noticing some vision problems that worry me.
First I noticed that when I am working on my computer I can see the smaller text with a ghosting effect. I attached 2 good pics I found online that explain what I was seeing.   
https://i.imgur.com/IHWBflS.png  
https://i.imgur.com/eMb9dhj.png (mostly like bottom part)  
I went and got my vision checked on Monday and I got told that I have astigmatism in both eyes of -1,00. This fixed most of my ghosting problem but not all. High contrast text still has a bit of the effect like on the first image above.
Now the second issue I started noticing. When driving on the highway 2 days ago I keep seeing glare/halo around bright lights which is rainbow colored. I also notice that halo around some streetlamps and just saw it on the bedroom ceiling lamp for which I am pretty sure I haven't experienced the effect on before.
I started noticing these effects in the past 2 weeks, not sure if they were there before and I just ignored them or this is new but I would like to make sure I am not missing any important problems.
On the checkup with the ophtamologist, she told me that I had a bit of high eye pressure and should probably keep that in check. I  also take sertraline (anxiety) about 2 months now which has some vision-related side effects listed so I thought I would mention it. I also seem to have a bit of dryness in my eyes for the same period.</t>
        </is>
      </c>
      <c r="D418" t="n">
        <v>2</v>
      </c>
      <c r="E418" t="n">
        <v>3</v>
      </c>
      <c r="F418">
        <f>HYPERLINK("https://www.reddit.com/r/eyetriage/comments/bq8r1q/ghosting_and_rainbow_halos/")</f>
        <v/>
      </c>
      <c r="G418" t="inlineStr">
        <is>
          <t>2019-05-18 13:58:04</t>
        </is>
      </c>
      <c r="H418" t="inlineStr"/>
    </row>
    <row r="419">
      <c r="A419" t="inlineStr">
        <is>
          <t>bqs6ps</t>
        </is>
      </c>
      <c r="B419" t="inlineStr">
        <is>
          <t>Thin optic nerve layer</t>
        </is>
      </c>
      <c r="C419" t="inlineStr">
        <is>
          <t>201 years old, Male. No health conditions. I live in Australia. No family history of any eye or other medical conditions.
&amp;amp;#x200B;
I recently went to a commercial eye check-up and my pressures read 25 in both eyes using a puff-test, so I decided to go to a glaucoma specialist (1 week later). She explained how the puff-test is not accurate and measured my eyes both 16 on  the Goldman, with cornea thickness of 600-610 in each eye. I passed the VF test first go, my optic nerves look ''very good'' and cups are also normal. She turned her chair and said, you do not have glaucoma and said there is a very slight part in my left eye (near the optic nerve?), that is ''thinner than expected for someone my age, etc'' and was in the red zone in the OCT images in this small area. I questioned as much as I could, she explained this is not un-common, some people don't always meet normal criteria in every single aspect, and said come back in 12 months - ''not because she is concerned, but because it's in her best interest to be 100% with everything''. I was pretty calm but insisted I don't fully understand and would like the be told exactly what she is thinking and not leave me sugar-coated, and that I needed to know if I should be ''cautious/worried'' in these 12 months, but she told me no, there is no reason too and I left. Now I know she is the specialist and I'm paranoid and have google, but I'm rather worried still - is this something I should be getting worked up over, what is your opinion? I've read similar situations of people at my age in the same circumstances with no other answer from their doctor, always ending in it's just how you are, it needs to be monitored, it can be other past health events and alot that it can be high myopic people - but I've never been checked and I'd know if I was myopic right?  
Thankyou for reading, anything is helpful.</t>
        </is>
      </c>
      <c r="D419" t="n">
        <v>2</v>
      </c>
      <c r="E419" t="n">
        <v>6</v>
      </c>
      <c r="F419">
        <f>HYPERLINK("https://www.reddit.com/r/eyetriage/comments/bqs6ps/thin_optic_nerve_layer/")</f>
        <v/>
      </c>
      <c r="G419" t="inlineStr">
        <is>
          <t>2019-05-19 23:59:46</t>
        </is>
      </c>
      <c r="H419" t="inlineStr"/>
    </row>
    <row r="420">
      <c r="A420" t="inlineStr">
        <is>
          <t>brc6mh</t>
        </is>
      </c>
      <c r="B420" t="inlineStr">
        <is>
          <t>Lighting Designer's eyes</t>
        </is>
      </c>
      <c r="C420" t="inlineStr">
        <is>
          <t>Hi all, 
I'm a theatrical lighting designer, and I spend a fair amount of time looking at a computer screen(s) and a bright stage in a dark room for 8-10 hours a day for a week or more straight. 
I wear glasses for astygmatism in both eyes. I have eyedrops at my desk, and use them consistantly. My focal distance changes pretty often, different parts of the stage and computer screen, and I get regular eye exams.
Would wearing a pair of blue-blocking glasses be a good preventitive measure? Are there other measures that would be beneficial?</t>
        </is>
      </c>
      <c r="D420" t="n">
        <v>1</v>
      </c>
      <c r="E420" t="n">
        <v>0</v>
      </c>
      <c r="F420">
        <f>HYPERLINK("https://www.reddit.com/r/eyetriage/comments/brc6mh/lighting_designers_eyes/")</f>
        <v/>
      </c>
      <c r="G420" t="inlineStr">
        <is>
          <t>2019-05-21 09:02:11</t>
        </is>
      </c>
      <c r="H420" t="inlineStr"/>
    </row>
    <row r="421">
      <c r="A421" t="inlineStr">
        <is>
          <t>breo1o</t>
        </is>
      </c>
      <c r="B421" t="inlineStr">
        <is>
          <t>Eye pain, sleep.</t>
        </is>
      </c>
      <c r="C421" t="inlineStr">
        <is>
          <t>Hi Reddit.
I hope someone out there has the same issue as me, and has found a way to deal with it, because I have been at the doctor, and I still haven't found a solution.
The deal is: If I sleep 9-10 hours, I am perfectly good, and well functioning.
BUT: If I sleep for 9 hours or less (even 8½) hours, my eyes are red and hurting. I can't focus, and the only thing I can think about is the hurting eyes. I can't walk in the sun either.  It hasn't always been this way. Earlier, I could function even at 7 hours, but still, I used to sleep about 8,
Anyone out there who has a clue on a diagnosis?</t>
        </is>
      </c>
      <c r="D421" t="n">
        <v>2</v>
      </c>
      <c r="E421" t="n">
        <v>3</v>
      </c>
      <c r="F421">
        <f>HYPERLINK("https://www.reddit.com/r/eyetriage/comments/breo1o/eye_pain_sleep/")</f>
        <v/>
      </c>
      <c r="G421" t="inlineStr">
        <is>
          <t>2019-05-21 12:24:01</t>
        </is>
      </c>
      <c r="H421" t="inlineStr"/>
    </row>
    <row r="422">
      <c r="A422" t="inlineStr">
        <is>
          <t>brktw6</t>
        </is>
      </c>
      <c r="B422" t="inlineStr">
        <is>
          <t>Has anyone noticed their eye aches on and off after having a cataract removed</t>
        </is>
      </c>
      <c r="C422" t="inlineStr">
        <is>
          <t>I feel like ever since I got a cataract removed my eye aches some days and others not, is it something in eating? I feel like it’s worse when I take something with evening primrose in it. Could it just be the lense adjusting and causing strain, help!</t>
        </is>
      </c>
      <c r="D422" t="n">
        <v>1</v>
      </c>
      <c r="E422" t="n">
        <v>14</v>
      </c>
      <c r="F422">
        <f>HYPERLINK("https://www.reddit.com/r/eyetriage/comments/brktw6/has_anyone_noticed_their_eye_aches_on_and_off/")</f>
        <v/>
      </c>
      <c r="G422" t="inlineStr">
        <is>
          <t>2019-05-21 22:28:35</t>
        </is>
      </c>
      <c r="H422" t="inlineStr"/>
    </row>
    <row r="423">
      <c r="A423" t="inlineStr">
        <is>
          <t>brpxhc</t>
        </is>
      </c>
      <c r="B423" t="inlineStr">
        <is>
          <t>Eyelid twitch - what I believe are possible causes are listed. Should I see a doc, or can this be treated from home?</t>
        </is>
      </c>
      <c r="C423" t="inlineStr">
        <is>
          <t>(Is this the right subreddit for this?  Seeing as how it's not the eye itself that's the problem, I just didn't know for certain)
&amp;amp;#x200B;
First thing's first, I have googled this stuff, but figured getting an opinion from actual eye professionals would be a better option than just automatically assuming the worst.
So over the last couple of weeks, I've been having mild eyelid twitching.  It feels like a sort of ticklish sensation, never tries to completely close, but just seems to spasm in place.  Usually lasts till I lightly massage it or until I blink a few times.  Annoying, but never really gets in the way.  In almost all cases, it has been the upper lid, though once in a while, I'll get a light twitch of the lower lid as well.  It doesn't happen nearly as often, and never lasts longer than a second.
I did see that some potential causes included poor nutrition and increased caffeine intake, but the thing there is, I've been actively cutting back on caffeine for over a year now in an effort to get more into shape.  It used to be I drank upwards of 60-80 oz. of sugary drinks per day.  Now I'm down to around 40 on a particularly unhealthy day.  I have also been eating better (though not by much, admittedly, as I'm still supremely picky), but I won't rule out both of those being possibilities; I just figured they'd be low-likelihood.
It has also mentioned that stress or fatigue could be causes, and over the last few months, I have been playing ice hockey, and have been increasing the amount of time per week that I play, but this problem appears to be far more recent, so I don't believe it's a cause.
Work isn't something I particularly enjoy, but all things considered, it isn't too stressful or tiring.  I do programming, so screen fatigue could play a part, but it seems to be happening even when I'm AFK (does that change anything?) or haven't been around a computer in some time.
One final possibility.  I haven't suffered any more trouble than usual sleeping lately (the odd early morning or late night aside), but the twitches seem to have coincided with around the time I switched out my bed slats, which I have noticed don't seem to support my weight all that well (they bend and my bed seems to dip down as a result).  Perhaps my sleep has become restless due to this and that's playing a part?
&amp;amp;#x200B;
Any insight you all can provide would be much appreciated.  Like I said, more of a nuisance than a disruption, but something I'd like to get rid of all the same.</t>
        </is>
      </c>
      <c r="D423" t="n">
        <v>1</v>
      </c>
      <c r="E423" t="n">
        <v>3</v>
      </c>
      <c r="F423">
        <f>HYPERLINK("https://www.reddit.com/r/eyetriage/comments/brpxhc/eyelid_twitch_what_i_believe_are_possible_causes/")</f>
        <v/>
      </c>
      <c r="G423" t="inlineStr">
        <is>
          <t>2019-05-22 08:08:46</t>
        </is>
      </c>
      <c r="H423" t="inlineStr"/>
    </row>
    <row r="424">
      <c r="A424" t="inlineStr">
        <is>
          <t>brqdwh</t>
        </is>
      </c>
      <c r="B424" t="inlineStr">
        <is>
          <t>Could 0.9% sodium chloride solution damage my eyes?</t>
        </is>
      </c>
      <c r="C424" t="inlineStr">
        <is>
          <t>I had an incident with bleach in one of my eyes and went to the optometrist for an emergency medical visit and she told me my eyes were fine since I flushed them out and tested the ph and all that. She gave me 0.09% sodium chloride drops and just said to use them. 
They were in those vials and looking back I really had no idea how to use them and I should have asked since she didn’t tell me. So for probably a week 2-3 times a day I put them in my eyes until realized that they’re not for lubrication but to reduce swelling in the cornea and are single use (because they were really drying my eyes out). Could that have damaged my eyes? Now my eyes always seem dry.
Edit: I should said a few weeks after that I went to my regular ophthalmologist and he told me my eyes looks fine except it looks like I have some impermanent damage related to dry eyes in one of my corneas and told me to not wear contacts for a while and use eye drops more often and use a gel at night. He didn’t seem concerned about the sodium chloride solution.</t>
        </is>
      </c>
      <c r="D424" t="n">
        <v>1</v>
      </c>
      <c r="E424" t="n">
        <v>2</v>
      </c>
      <c r="F424">
        <f>HYPERLINK("https://www.reddit.com/r/eyetriage/comments/brqdwh/could_09_sodium_chloride_solution_damage_my_eyes/")</f>
        <v/>
      </c>
      <c r="G424" t="inlineStr">
        <is>
          <t>2019-05-22 08:47:42</t>
        </is>
      </c>
      <c r="H424" t="inlineStr"/>
    </row>
    <row r="425">
      <c r="A425" t="inlineStr">
        <is>
          <t>bruv45</t>
        </is>
      </c>
      <c r="B425" t="inlineStr">
        <is>
          <t>So anxious about this spot in my vision that I could die</t>
        </is>
      </c>
      <c r="C425" t="inlineStr">
        <is>
          <t># SYMPTOMS: 
- Episodes been coming and going since early September - just not as often 
- I will have 1-3 days where the opacity in this certain spot is much more noticeable, then it seems to disappear and fade away  
- It's more visible against a bright sky and when there's a lot of light
- It's also visible when there's a change in contrast - like the edge of a computer screen 
- I can also see this spot against a white background when it's very dark 
- Almost looks like I was staring at the sun for too long? 
- It is not noticeable against a busy background or room - very much like a floater. 
- This spot also disappears after I've had my eyes open for a while.
- It's visible when I blink - I can almost see the outline of the spot
- Spot seems to stay lined up in the same spot, but will move with my eyes 
- Starting in March I noticed sparkles in the spot 
- In my last episode I also noticed some weird moving patterns if I looked at the sky, but they disappear
- In March, I noticed that in the spot of the floater, there's some blurred / distorted vision. 
- If I look at blinds or siding against a house in my peripheral vision, it looks wavy 
- I tried the Amsler grid and the spot is outside of that. If I look at that with my peripheral vision, it 
- LOTS of anxiety about this. I've been struggling with anxiety quite a bit and this has made it worse. 
- Blood pressure is very high. On a waiting list to see a primary care. 
# TREATMENT: 
- I was seen in January and fully dilated and told it was a likely a floater - no danger 
- Fully dilated last Monday by an eye doctor  - was told it was a floater. Potentially Posterior vitreous detachment?  
- Went to the ER because I was afraid of a stroke and they did an ultrasound of the eyes and found no issues. Did not think I required more treatment and referred me to an ophthalmologist
- Saw an ophthalmologist Wednesday after going to the hospital and was told I needed to see a neurologist. Was fully dilated again.</t>
        </is>
      </c>
      <c r="D425" t="n">
        <v>1</v>
      </c>
      <c r="E425" t="n">
        <v>7</v>
      </c>
      <c r="F425">
        <f>HYPERLINK("https://www.reddit.com/r/eyetriage/comments/bruv45/so_anxious_about_this_spot_in_my_vision_that_i/")</f>
        <v/>
      </c>
      <c r="G425" t="inlineStr">
        <is>
          <t>2019-05-22 14:59:10</t>
        </is>
      </c>
      <c r="H425" t="inlineStr"/>
    </row>
    <row r="426">
      <c r="A426" t="inlineStr">
        <is>
          <t>brwdzf</t>
        </is>
      </c>
      <c r="B426" t="inlineStr">
        <is>
          <t>Question about Nystagmus and hand coordinstion</t>
        </is>
      </c>
      <c r="C426" t="inlineStr">
        <is>
          <t>I'm a patient with congenital Aniridia inherited from my mother, the mutation on the pax6 gene doesn't only affect the iris, I also have severe near-sightedness, Nystagmus (which was worse until I was about 5-6 when I had correction surgery) and a bunch of other fun stuff like macular dysplasia. 
I have in my teens (currently 16 turning 17 in August) started to notice a slight tremor in my hands, especially when working close to the eye. Of course things like caffeine increases this tremor but I've been wondering: could this tremor simply be a everyday puberty issue, or could it perhaps be a sort of mechanical correction by the brain, trying to keep a hand steady in the visual field. Why I'm even considering this to be plausible at any level is since it significantly increases when the hands are closer to the eyes and could thus increase as a result of this supposed eye-to-hand coordination having to move the hand a greater relative distance to be in the eye's central field of view. 
Of course this is just a speculative rant from an engineering student who is in no way linked to the medical field besides being a patient. Any thoughts?</t>
        </is>
      </c>
      <c r="D426" t="n">
        <v>2</v>
      </c>
      <c r="E426" t="n">
        <v>0</v>
      </c>
      <c r="F426">
        <f>HYPERLINK("https://www.reddit.com/r/eyetriage/comments/brwdzf/question_about_nystagmus_and_hand_coordinstion/")</f>
        <v/>
      </c>
      <c r="G426" t="inlineStr">
        <is>
          <t>2019-05-22 17:19:22</t>
        </is>
      </c>
      <c r="H426" t="inlineStr"/>
    </row>
    <row r="427">
      <c r="A427" t="inlineStr">
        <is>
          <t>bs9x6b</t>
        </is>
      </c>
      <c r="B427" t="inlineStr">
        <is>
          <t>Multiple Retinal Bleeds, Am I contributing to them by being active?</t>
        </is>
      </c>
      <c r="C427" t="inlineStr">
        <is>
          <t>I am a patient with extreme myopia with history of recurrent retinal bleeds over the past 10 year (I get one roughly every 1-2 years). I have also recieved multiple lucentis and avastin shots throughout this time. Each time I have a bleed, my vision gets worse. I am very slowly going blind.
I want to understand what I may potentially be doing to contribute to these bleeds. I'm not looking for medical advice, but more information to understand this eye disease.  
I'm a bit of an excersie junky and live a very active lifestyle. Every time I have a bleed, I notice the visual disturbances *when I am not doing anything strenuous*. Most of the time I am just sitting around and relaxing when these bleeds occur.  
I've asked my doctor, if I had a done a strenuous activity say 4 hours prior to a visual disturbance, if this activity 4 hours ago could have caused the bleed (maybe its bleeding slowly?). His answer was NO. If the strenuous activity caused the bleed, I should see the visual disturbance immediately, not delayed. That its not likely a slow bleed.  
I concluded that my active lifestyle wasn't contributing to the multiple bleeds, and thus I can go ahead and continue with my active lifestyle. If i'm going to go blind with the bleeds anyway, why bother chaning my lifestyle?  
But there is still the nagging thought maybe I am contributing to my own blindness...  
Can the incremental increase of blood pressure during exercise weaken the blood vessels over time, causing retinal bleeds to occur when I am not doing anything?  
Just wanted other thoughts on the matter so I can make a more informed decision if I need to make changes to my lifestyle.  
TLDR: Does the incremental increase in blood pressure during a strenuous activity weaken blood vessels in the retina over time, causing bleeds hours or days later when I am not doing anything and am relaxed?</t>
        </is>
      </c>
      <c r="D427" t="n">
        <v>1</v>
      </c>
      <c r="E427" t="n">
        <v>0</v>
      </c>
      <c r="F427">
        <f>HYPERLINK("https://www.reddit.com/r/eyetriage/comments/bs9x6b/multiple_retinal_bleeds_am_i_contributing_to_them/")</f>
        <v/>
      </c>
      <c r="G427" t="inlineStr">
        <is>
          <t>2019-05-23 16:39:27</t>
        </is>
      </c>
      <c r="H427" t="inlineStr"/>
    </row>
    <row r="428">
      <c r="A428" t="inlineStr">
        <is>
          <t>bsk26m</t>
        </is>
      </c>
      <c r="B428" t="inlineStr">
        <is>
          <t>Proper use of Visioffice 2</t>
        </is>
      </c>
      <c r="C428" t="inlineStr">
        <is>
          <t>I was being fitted for glasses a few days ago and the place had Visioffice 2. The guy doing the fitting told me to look below the light which is embedded in the mirror while taking the images. Now, the spot below the light was slightly above my eyeline, so I was looking up.
I was looking at the Visioffice manual and it says the patient should be instructed to look at the bridge of the glasses.
Is there any good reason the guy would have told me to look above my eyeline? Is there any chance this won't give a wrong measurement in the vertical dimension?</t>
        </is>
      </c>
      <c r="D428" t="n">
        <v>0</v>
      </c>
      <c r="E428" t="n">
        <v>0</v>
      </c>
      <c r="F428">
        <f>HYPERLINK("https://www.reddit.com/r/eyetriage/comments/bsk26m/proper_use_of_visioffice_2/")</f>
        <v/>
      </c>
      <c r="G428" t="inlineStr">
        <is>
          <t>2019-05-24 10:59:01</t>
        </is>
      </c>
      <c r="H428" t="inlineStr"/>
    </row>
    <row r="429">
      <c r="A429" t="inlineStr">
        <is>
          <t>bsvpe0</t>
        </is>
      </c>
      <c r="B429" t="inlineStr">
        <is>
          <t>Thealoz Duo Eye Drops</t>
        </is>
      </c>
      <c r="C429" t="inlineStr">
        <is>
          <t>Hello everyone. So about 2 months ago i went to an opthalmologist and did keratometry and the results where good.I had mild irritation in both of my eyes and the doctor told me to use Thealoz Duo eye drops to help with the irritation.The problem is that he told me to use it for 1 month for only a mild irritation.After the third day when i was eating my breakfast my eyes suddenly went dark for about 4-5 seconds.I continued using the drops and on the 14-15-16 i would jump off my bed at night like having a nightmare and i would feel my eyesight getting dark.Two days after these events i started getting dizzy,having buzzes in my ears and feeling irritation in my eyes and was feeling my head quite heavy so i went to the hospital which they held me for about 4 hours and then i left feeling a little bit better.After that i stopped using the Drops and started feeling that the symptoms are going away.But they fucking didn't to this day.After 19 days of not using the drops anymore i started feeling like my body was leaving me and started having severe ear buzzes,my head was tingling and my eyesight begun to get worse by the day.Went to the hospital again did an MRI on my brain but the results didnt show anything problematic but i was still feeling all these things. Fast forward to this day it still gets worse.I am about to do 1 more MRI on my eyes so the doctors can get a better view of my optic nerve and one MRI so we can see   if somethings happening there.I am loosing my mind because the symptoms dont seem to go away and noone has found anything yet.Anyone got to themselves into a similar situation or heard something similar happening to anyone and can help me in any way?</t>
        </is>
      </c>
      <c r="D429" t="n">
        <v>1</v>
      </c>
      <c r="E429" t="n">
        <v>4</v>
      </c>
      <c r="F429">
        <f>HYPERLINK("https://www.reddit.com/r/eyetriage/comments/bsvpe0/thealoz_duo_eye_drops/")</f>
        <v/>
      </c>
      <c r="G429" t="inlineStr">
        <is>
          <t>2019-05-25 08:25:23</t>
        </is>
      </c>
      <c r="H429" t="inlineStr"/>
    </row>
    <row r="430">
      <c r="A430" t="inlineStr">
        <is>
          <t>bt6hj2</t>
        </is>
      </c>
      <c r="B430" t="inlineStr">
        <is>
          <t>Flashes frequency</t>
        </is>
      </c>
      <c r="C430" t="inlineStr">
        <is>
          <t>Hi everyone. I have been experiencing some photopsias in my right eye (M26) since a few months now. It started with some couple of flashes/sparks in my vision on the first month and it has gradually increased. At the begin of May I started to see them more often like 10-12 times PER DAY. At that time I was very freaked out and the next day I went to the Ophthalmologist and she did a retinal exam. Apparently my retina was fine and she told me to come back in a month if the thing continue or three months if it gets better. I have GAD and it is just making me feel horrible. Now there are days when I would get only a couple of flashes 3-4 throughout the day, but others I would get plenty more 15-20 per day. Today for example while I was working on the computer I got to count like 7-8 per hour for like 2 hours and this is having me extremely anxious :( my ophthalmologist did not mention PVD but I have being doing research about it. So like how much flashes would be still normal to have and how much of them would represent a more severe problem with my retina? Like I would like some kind of range of frequencies to known if what I am having is normal or if I need to go to the hospital immediately. Please help. Any advice is very welcomed.</t>
        </is>
      </c>
      <c r="D430" t="n">
        <v>3</v>
      </c>
      <c r="E430" t="n">
        <v>5</v>
      </c>
      <c r="F430">
        <f>HYPERLINK("https://www.reddit.com/r/eyetriage/comments/bt6hj2/flashes_frequency/")</f>
        <v/>
      </c>
      <c r="G430" t="inlineStr">
        <is>
          <t>2019-05-26 03:37:23</t>
        </is>
      </c>
      <c r="H430" t="inlineStr"/>
    </row>
    <row r="431">
      <c r="A431" t="inlineStr">
        <is>
          <t>btfx9v</t>
        </is>
      </c>
      <c r="B431" t="inlineStr">
        <is>
          <t>My eyes are so unbearably itchy and inflamed I feel like tearing them out. Please help me. I’m desperate.</t>
        </is>
      </c>
      <c r="C431" t="inlineStr">
        <is>
          <t>I am losing my mind.
**My Experience**
3 weeks ago I developed viral pink eye (or so I thought) in one eye. Redness, watery discharge, swelling, and intense itching. It sucked, but it seemed to be pretty standard.
After dealing with that for a week, it seemed to finally go away, but the redness and itching and swollen eyelids suddenly came back – in both eyes.
Every day I don’t know what state my eyes will be in when I wake up. One day they’re only slightly red and swollen, the next day they’re completely bloodshot and feel like they’re on fire.
The itch is absolutely insatiable. It’s hard to put into words how insanely itchy my eyes are. I could rub my eyes for an hour (I don’t, even though I want to) and it would make no difference. Rubbing, in fact, makes it worse. My eyes feel so itchy that it actually feels like intense physical pain. The fact that there’s nothing I can do to relieve the insane itching is giving me horrible panic and anxiety.
**Doctor Visits**
I have been to the doctor twice and have not found a solution. I have been given a referral to an ophthalmologist but it could be weeks before I hear back about an appointment.
**Allergies**
I have no environmental allergies (as far as I know). I was tested a couple of years ago and had no reactions to anything.
**What I’ve Tried**
- OTC antibiotic eyedrops (1 week)
- OTC allergy eyedrops (on and off for the last 2 weeks)
- OTC lubricating eyedrops (3 weeks)
- washing with diluted baby shampoo (1 week)
- washing with a Tea Tree Oil-based eyelid cleanser (1 week)
- oral allergy medication (a prescription version of Reactin - once, single tablet)
- hot compresses on my eyes
- doctor-prescribed antibiotic ointment (Erythromycin - 3 days)
Literally nothing has helped make the redness or itchiness go away. My eyes have not improved since starting the Erythromycin.
**My Best Guess**
I have no clue what’s wrong but I have a weird gut feeling about something really specific.
I am hoping my ophthalmologist can tell me whether or not this problem is due to an overgrowth of Demodex, the skin/hair mite that is suspected to cause rosacea. Neither of the general physicians I saw for this issue were familiar with this field at all.
I was prescribed topical Ivermectin (Rosiver) – a medication that fights Demodex mites – at my last doctor appointment for acne/rosacea and it has markedly improved my skin, which leads me to believe the issue may be connected to my eyes. I suspect that taking Ivermectin orally (which is a thing) would help my eyes as well, but neither of my regular doctors knew enough to weigh in on this. They both mentioned oral antibiotics for “advanced cases,” but did not prescribe them to me based on my current symptoms. Which... ok.
All that to say, I have now read a lot about ocular rosacea and how rosacea can affect both the skin and eyes (the eyes, meaning, blepharitis-like symptoms). I have read that eyes can be affected by Demodex mites, particularly the eyelashes.
It’s important for me to note, however, that I’ve never been diagnosed with either typical skin rosacea (mine presents more like acne than rosacea, but responds to a rosacea drug) or ocular rosacea.
**TL,DR**
I am at my wit’s end. My eyes are so insanely itchy and red and puffy, 24 hours a day. I can’t sleep. I can’t work. I can’t think about anything else. Social life is down the drain. I can barely leave the house. Nothing I’ve tried has helped, and I’ve tried a lot. I am essentially no longer functioning as a person.
I don’t know what to do. Please help me. I just want the itching to stop. I’m desperate.
—————
Age: 28
Sex: Female
Height: 5’5
Weight: 120lbs
Race: Caucasian
Duration of complaint: 3 weeks
Location on body: Both eyes
Any diagnosed medical issues: none
Current medications: birth control (have been on for several years, no recent changes)
Recreational drugs: infrequent alcohol consumption
Smoking status: non-smoker
PS: I’m in Canada, I have OHIP and I have health insurance through work.</t>
        </is>
      </c>
      <c r="D431" t="n">
        <v>5</v>
      </c>
      <c r="E431" t="n">
        <v>4</v>
      </c>
      <c r="F431">
        <f>HYPERLINK("https://www.reddit.com/r/eyetriage/comments/btfx9v/my_eyes_are_so_unbearably_itchy_and_inflamed_i/")</f>
        <v/>
      </c>
      <c r="G431" t="inlineStr">
        <is>
          <t>2019-05-26 18:22:30</t>
        </is>
      </c>
      <c r="H431" t="inlineStr"/>
    </row>
    <row r="432">
      <c r="A432" t="inlineStr">
        <is>
          <t>btmipi</t>
        </is>
      </c>
      <c r="B432" t="inlineStr">
        <is>
          <t>Second Duane Syndrome Surgery?</t>
        </is>
      </c>
      <c r="C432" t="inlineStr">
        <is>
          <t xml:space="preserve"> 
Hey all, I'm reposting this from the Duane's Syndrome subreddit because it's hardly active, and hoping at least someone here may have some insight.
I am type 1A, and when I was 16 I had my first surgery. The surgeon who had checked me out and operated on me had been seeing me since I was a baby and when I was 15 I started having issues and he told me to get testing done in my town before travelling to his city to have the procedure. Symptoms included: eye turning permanently closer and closer to the inner corner of my eye towards my nose to the point of there only being a sliver of sclera visible, daily headaches that progressed into migraines thrice weekly, double vision, extreme head tilt (I don't remember the percentage but he was surprised how much it had increased since my last meeting with him as a kid), temporary blindness/white vision (and the worrrrms), fuzzy vision, neck and back pain, you get the drift. They figured it was serious enough that they bumped me up on the waiting list from 2 years to 4 months (I live in Canada, wait times suck). Went in, had the procedure, and when I woke up I was told that the muscles were worse than they imagined and weren't able to do what they had set out to. My surgeon told me I would need a revision with him after about 8 years.
Well,
It's been 3 years and I'm starting to experience all of these symptoms again (minus the migraines, but those didn't come until very near the surgery date, and no double vision yet). I thought it was stress, reading, and screen use thanks to university life but now that I've been relaxing in summer for a whole month, I think it may be more than that. I drove for the first time in 10 months and had to pull over after 15 minutes because it was like an acid trip. I'm arranging an appointment with a local ophthalmologist to get things checked out but I fear that I'll have to get another surgery done or worse, pay a ridiculous amount for insanely prism'd glasses.
**TL;DR Has anyone had 2 surgeries done so close together (such as 3 years) or heard of an alternative to surgery? I only know of the glasses approach but it would be too straining due to the angle correction to wear very often... Do I suck it up and hope it gets better? Is everyone's DS like this or is mine just...annoyingly dramatic? I've never met another person with DS before so I haven't got another person to ask. Thanks so much :)**</t>
        </is>
      </c>
      <c r="D432" t="n">
        <v>1</v>
      </c>
      <c r="E432" t="n">
        <v>2</v>
      </c>
      <c r="F432">
        <f>HYPERLINK("https://www.reddit.com/r/eyetriage/comments/btmipi/second_duane_syndrome_surgery/")</f>
        <v/>
      </c>
      <c r="G432" t="inlineStr">
        <is>
          <t>2019-05-27 07:21:15</t>
        </is>
      </c>
      <c r="H432" t="inlineStr"/>
    </row>
    <row r="433">
      <c r="A433" t="inlineStr">
        <is>
          <t>btpifg</t>
        </is>
      </c>
      <c r="B433" t="inlineStr">
        <is>
          <t>Ocular Hypertension?</t>
        </is>
      </c>
      <c r="C433" t="inlineStr">
        <is>
          <t>Hello Everyone,
My S/O has an undiagnosed eye problem that we are told cannot be corrected to 20/20.
Her glasses can correct her lenses from 20/80 to 20/30.
The optometrist could not find any physical abnormalities with her eyes.
Her mother was diagnosed with DeMorsiers syndrome and her brother has been diagnosed with ocular hypertension and prescribed glaucoma medication. We have not yet had the finances to take her to a opthamologist, nor do we have insurance. My question is, if it is possible this is a hereditary disorder and if anyone knows of any other treatments, if there is any special testing required for the diagnosis and what kind of money we might be looking at for an opthamologist appointment without insurance.</t>
        </is>
      </c>
      <c r="D433" t="n">
        <v>2</v>
      </c>
      <c r="E433" t="n">
        <v>3</v>
      </c>
      <c r="F433">
        <f>HYPERLINK("https://www.reddit.com/r/eyetriage/comments/btpifg/ocular_hypertension/")</f>
        <v/>
      </c>
      <c r="G433" t="inlineStr">
        <is>
          <t>2019-05-27 11:32:12</t>
        </is>
      </c>
      <c r="H433" t="inlineStr"/>
    </row>
    <row r="434">
      <c r="A434" t="inlineStr">
        <is>
          <t>btrrd9</t>
        </is>
      </c>
      <c r="B434" t="inlineStr">
        <is>
          <t>year+ of bloodshot eyes, waking up with them and lasting all day</t>
        </is>
      </c>
      <c r="C434" t="inlineStr">
        <is>
          <t>I have an issue with my eyes being bloodshot all the time. I wake up with them bloodshot and go to bed the same. I went to the optometrist not long ago complaining about them. He put some drops in my eyes and said they were extremely dry. He looked into eye and said there was some white blood cell build up and asked if I had been sick lately, I had not.
So he prescribed me some steroid drops to use twice a day for a week then daily for a week and those cleared me eyes right up. This has been going on for over a year now and it was great to see that my eyes could be white again. I gradually quit using the drops and now the bloodshot eyes have returned. 
Should I go back to the same optometrist or see somebody else? I’m using blink tears but they don’t seem to help. Any ideas what could be causing this ?
Thank you in advance</t>
        </is>
      </c>
      <c r="D434" t="n">
        <v>3</v>
      </c>
      <c r="E434" t="n">
        <v>4</v>
      </c>
      <c r="F434">
        <f>HYPERLINK("https://www.reddit.com/r/eyetriage/comments/btrrd9/year_of_bloodshot_eyes_waking_up_with_them_and/")</f>
        <v/>
      </c>
      <c r="G434" t="inlineStr">
        <is>
          <t>2019-05-27 14:40:36</t>
        </is>
      </c>
      <c r="H434" t="inlineStr"/>
    </row>
    <row r="435">
      <c r="A435" t="inlineStr">
        <is>
          <t>btsgu3</t>
        </is>
      </c>
      <c r="B435" t="inlineStr">
        <is>
          <t>Intense itching of eyelashes</t>
        </is>
      </c>
      <c r="C435" t="inlineStr">
        <is>
          <t>My girlfriend has been suffering periods of intense itching at her eyelashes, mainly in the corners of her eyes. It occurs in both eyes at the same time, normally towards the end of the day. 
She suffers with eczema on other parts of her body but we can see no outward symptoms in her eyes of dry skin/swelling/fluid/etc, only bloodshot eyes as she cannot resist to scratch due to the itch. It’s not affected by mascara, she has it with or without.
It has been disappearing for weeks at a time, always returning with a vengeance and making her life a misery.
We have tried dry eyes and various other drops, vitamin gels, aloe vera, even coco butter in desperation, all to no avail.
I’m hoping someone can suggest a cause and any miracle cures!</t>
        </is>
      </c>
      <c r="D435" t="n">
        <v>1</v>
      </c>
      <c r="E435" t="n">
        <v>1</v>
      </c>
      <c r="F435">
        <f>HYPERLINK("https://www.reddit.com/r/eyetriage/comments/btsgu3/intense_itching_of_eyelashes/")</f>
        <v/>
      </c>
      <c r="G435" t="inlineStr">
        <is>
          <t>2019-05-27 15:46:41</t>
        </is>
      </c>
      <c r="H435" t="inlineStr"/>
    </row>
    <row r="436">
      <c r="A436" t="inlineStr">
        <is>
          <t>btv6lk</t>
        </is>
      </c>
      <c r="B436" t="inlineStr">
        <is>
          <t>Docs disagree on diagnosis; what do you see?</t>
        </is>
      </c>
      <c r="C436" t="inlineStr">
        <is>
          <t>[photos](https://imgur.com/a/mY2ulZF)
October 2018; I got up from watching a movie and when I turned on the lights my eyes were in intense pain. Within an hour my vision decreased to just shadows and was very uneasy on feet. I couldn’t feel the floor beneath me. My eyelids were swelled also. My eyes hurt to look anywhere but straight. Even closing my eyes hurt. Pain was worst when i looked top left and could feel a tugging sensation on the corner of my eye when I looked top left or right. Er said that it may be my optic nerve but they couldn’t test it as I couldn’t keep my eye open long enough for their gun to measure. (Eyes were very sensitive) I had no headache or pain anywhere except my eyes and only if I moved them from looking straight or closed them. I had had tingling in my hands/feet for years on and off. But the day before the tingling moved up and numbness set in and was constant for 24 hours before my eye problems. The numbness and tingling has been constant ever sense. 
My eyes have never been the same. Vision improved but stayed blurry (nothing was crisp anymore; and very light sensitive) Finally got into eye doc a month later; he saw retinal flecks and referred me to retina specialist and neuro eye doc. Pressures were normal. Neuro doc did vision field test and looked at my eyes told me that nothing is wrong that the blurry ness is from my migraines (even though it was 24/7) and that my symptoms would improve if I lost weight. Told me that my field of vision test the only way they could look like that is if I had one of 6 things but he thinks I just didn’t do it right so is discounting and not using it at all. Even tried to cancel my retina appointment. Thankfully he couldn’t as the first doc refused to pull the referral stating he still felt something was wrong and he saw flecks. Which 2nd doc didn’t see but also didn’t dilate eyes. He did refer me to a regular eye doc for some 7 day eye dilation test  but that doc didn’t think it needed to be done. Did the field of vision again and didn’t see flecks but said he can tell something is going on but he can’t figure it out and got my retina appointment moved up. 
Retina took photos; diagnosed me with retinal dystrophy and stargardts. Told me there’s nothing she can do and we will take photos every 6 months. 3 months later I had been noticing my vision getting alittle worse and I sort of ignored it. Then I went to take a photo and kept tapping my phone to get it to focus and got mad because the phone wasn’t focusing then it hit me it wasn’t my phone. My vision wasn’t just blurry far away. But now it was getting where I couldn’t read and couldn’t see up close. Went back to retina. She couldn’t take new photos as insurance only pays every 6 months for them but says she can see changes in my retina. I asked her what that means and she said I don’t know. “You are a puzzle that no one has the pieces too” she referred me to low vision. Low vision sees me and immediately doesn’t think I have stargardts. She noticed that i had bad tremors, and my balance is very unstable. She stated she didn’t think I have stargardts as it also affects my side vision also. She felt like it was neuro based. (Her report and diagnosis are on the photos too) 
When my vision changed the following week my fatigue got worse, I slept all day and was still tired; I had slurred speech; and when I walked I was very unstable. I started having pain around my ribs (like a tight band that would be turned alittle tighter every few days) I had an emg done and it was abnormal. I was also diagnosed with a foot drop. Last two days my left foot has developed varicose veins and has swelled up. 2 weeks ago I had “pink eye” but my eyelids swelled up and even the skin under my eye turned red and inflamed. I’ve never had pink eye like that. 
MRI shows empty sella. Spinal tap was done wrong. (Tapped twice and log rolled before pressure was taken and blood was in all vials so nothing could be used) 
Any ideas on what could be going on? My retina is willing to refer me to another neuro eye specialist for a second opinion (she emailed me and offered this after low vison; since I didn’t request it it makes me feel like she really doesn’t know what’s going on either) 
Please ask any questions and I’ll try to answer them. I have had 3 aunts lose vision before adult and one lose it in adulthood. But unsure of what caused this. Glaucoma also runs in my family. I do not have diabetes. It’s been tested 10 times and even done with a 2 hour fast; orange drink and test again. 
[photos](https://imgur.com/a/mY2ulZF)</t>
        </is>
      </c>
      <c r="D436" t="n">
        <v>11</v>
      </c>
      <c r="E436" t="n">
        <v>7</v>
      </c>
      <c r="F436">
        <f>HYPERLINK("https://www.reddit.com/r/eyetriage/comments/btv6lk/docs_disagree_on_diagnosis_what_do_you_see/")</f>
        <v/>
      </c>
      <c r="G436" t="inlineStr">
        <is>
          <t>2019-05-27 20:33:21</t>
        </is>
      </c>
      <c r="H436" t="inlineStr"/>
    </row>
    <row r="437">
      <c r="A437" t="inlineStr">
        <is>
          <t>bu1qj7</t>
        </is>
      </c>
      <c r="B437" t="inlineStr">
        <is>
          <t>Prism induced heterophoria</t>
        </is>
      </c>
      <c r="C437" t="inlineStr">
        <is>
          <t xml:space="preserve"> If  an optical center is decentered in either/both the horizontal and  vertical dimension and prism is induced, I assume that also induces  heterophoria or some other kind of misalignment of the eyes, am I  correct?
From what I understand people  adapt to this and their eyes look aligned and normal after a while. Is  there any chance of such misalignment becoming permanent?</t>
        </is>
      </c>
      <c r="D437" t="n">
        <v>1</v>
      </c>
      <c r="E437" t="n">
        <v>1</v>
      </c>
      <c r="F437">
        <f>HYPERLINK("https://www.reddit.com/r/eyetriage/comments/bu1qj7/prism_induced_heterophoria/")</f>
        <v/>
      </c>
      <c r="G437" t="inlineStr">
        <is>
          <t>2019-05-28 08:59:54</t>
        </is>
      </c>
      <c r="H437" t="inlineStr"/>
    </row>
    <row r="438">
      <c r="A438" t="inlineStr">
        <is>
          <t>bu946r</t>
        </is>
      </c>
      <c r="B438" t="inlineStr">
        <is>
          <t>Opinion on blue light filtering glasses?</t>
        </is>
      </c>
      <c r="C438" t="inlineStr">
        <is>
          <t>Do they work??</t>
        </is>
      </c>
      <c r="D438" t="n">
        <v>1</v>
      </c>
      <c r="E438" t="n">
        <v>6</v>
      </c>
      <c r="F438">
        <f>HYPERLINK("https://www.reddit.com/r/eyetriage/comments/bu946r/opinion_on_blue_light_filtering_glasses/")</f>
        <v/>
      </c>
      <c r="G438" t="inlineStr">
        <is>
          <t>2019-05-28 19:31:36</t>
        </is>
      </c>
      <c r="H438" t="inlineStr"/>
    </row>
    <row r="439">
      <c r="A439" t="inlineStr">
        <is>
          <t>buavmj</t>
        </is>
      </c>
      <c r="B439" t="inlineStr">
        <is>
          <t>Can't operate retinal detachment due to current bacterial infection, how to prevent further vision loss?</t>
        </is>
      </c>
      <c r="C439" t="inlineStr">
        <is>
          <t>Sorta new here on reddit and I thought I might as well ask away on this subreddit. My dad (57, has diabetes, had cataract surgery and has glaucoma, left eye is basically dead) had been seeing floaters and black spots last saturday. The opthalmologist said it was probably due to the laser operation to clean out the lens(?) on his eye. He was later admitted to the hospital on monday due to cellulitis on his lower leg (can't remember much of the details). He went to another opthalmologist the following day and the doctor said he had retinal detachment on his right eye, but can't operate on it due to his current bacterial infection, saying that it's risky. The doctor said that he'll get immediate surgery once his bacterial infection is clear, which they say would be next monday. 
How bad is retinal detachment if left untreated for a week? I was wondering if there is something that my dad can do so that further vision loss can be prevented, like not straining the eye or anything. Any advice would be greatly appreciated!</t>
        </is>
      </c>
      <c r="D439" t="n">
        <v>1</v>
      </c>
      <c r="E439" t="n">
        <v>2</v>
      </c>
      <c r="F439">
        <f>HYPERLINK("https://www.reddit.com/r/eyetriage/comments/buavmj/cant_operate_retinal_detachment_due_to_current/")</f>
        <v/>
      </c>
      <c r="G439" t="inlineStr">
        <is>
          <t>2019-05-28 22:46:16</t>
        </is>
      </c>
      <c r="H439" t="inlineStr"/>
    </row>
    <row r="440">
      <c r="A440" t="inlineStr">
        <is>
          <t>bur7i7</t>
        </is>
      </c>
      <c r="B440" t="inlineStr">
        <is>
          <t>Help Please, Continuous Tears from Eyes</t>
        </is>
      </c>
      <c r="C440" t="inlineStr">
        <is>
          <t>Age: 78
Gender: Female
Height: 5’4”
Weight: 54 Kg
Ethnicity: Caucasian
Location: UK
Existing medical conditions: 
- high cholesterol
- hyper sensitive to light, but find dark glasses difficult due to night myopia.
- Cateracts removed 3/4 years ago
- Glasses prescription
- Rosacea on forehead and nose 
- Post Nasal Drip
- Dry eye
Current medications and supplements: 
High Cholesterol: Bezalip Mono 1x 400 mg daily, also known as Bezafibrate.  
Osteopenia: Adcal-D3 Caplets759mg/ 200. I.U.   4 daily
Monthly 1x Ibandronic acid 159mg.
1 daily Cod Liver Oil. 550mg
Ix Glucosomine &amp;amp; Chondroitin.  (Suggested dose 2 daily)
Problem ongoing for 6 years and worsening
Symptoms: 
- a continual flow of tears every day, it varies day to day, starts 1 hour after waking up
- Excessive mucus discharge from eyes throughout day, sticky/stringy (creates strings across eye lashes), drys white on skin
- Impaired vision from the tears, raising anxiety about falling due to poor vision
Advice received: 
- Seen 3 Eye specialists, confirmed twice that tear ducts are not blocked. Dry Eye diagnosed.
Treatment tried:
- Tried multiple over the counter ‘cures’ for dry eye
https://imgur.com/gallery/hdX1nfM</t>
        </is>
      </c>
      <c r="D440" t="n">
        <v>3</v>
      </c>
      <c r="E440" t="n">
        <v>4</v>
      </c>
      <c r="F440">
        <f>HYPERLINK("https://www.reddit.com/r/eyetriage/comments/bur7i7/help_please_continuous_tears_from_eyes/")</f>
        <v/>
      </c>
      <c r="G440" t="inlineStr">
        <is>
          <t>2019-05-30 02:47:40</t>
        </is>
      </c>
      <c r="H440" t="inlineStr"/>
    </row>
    <row r="441">
      <c r="A441" t="inlineStr">
        <is>
          <t>bv3i2r</t>
        </is>
      </c>
      <c r="B441" t="inlineStr">
        <is>
          <t>Father (87) had the laser procedure done yesterday afternoon but...</t>
        </is>
      </c>
      <c r="C441" t="inlineStr">
        <is>
          <t>today when he went to bring in the empty garbage bins he saw some photopsias occur and is now concerned that the procedure maybe was done wrong or didn’t work.  At his age, skeptical is his modus operandi.  Mind you, I learned of the procedure details only minutes ago via google so of course I know nothing.. are they likely side effects of the procedure? Was the activity too much? (relatively flat, not much effort needed). Parents tell me that he was given no take home instructions so he didn’t know what he shouldn’t do.  A big thanks for those that take the time read this, a bigger one to those that answer👍🏽</t>
        </is>
      </c>
      <c r="D441" t="n">
        <v>1</v>
      </c>
      <c r="E441" t="n">
        <v>2</v>
      </c>
      <c r="F441">
        <f>HYPERLINK("https://www.reddit.com/r/eyetriage/comments/bv3i2r/father_87_had_the_laser_procedure_done_yesterday/")</f>
        <v/>
      </c>
      <c r="G441" t="inlineStr">
        <is>
          <t>2019-05-30 22:14:35</t>
        </is>
      </c>
      <c r="H441" t="inlineStr"/>
    </row>
    <row r="442">
      <c r="A442" t="inlineStr">
        <is>
          <t>bv7u6n</t>
        </is>
      </c>
      <c r="B442" t="inlineStr">
        <is>
          <t>Is it common to see black dots after cataract surgery?</t>
        </is>
      </c>
      <c r="C442" t="inlineStr">
        <is>
          <t>My mother had cataract surgery two days ago and is still seeing a lot of black dots. She had a checkup yesterday and the doctor said her eye pressure was ok. 
Google said the dots could be normal floaters that will subside, or it could be a sign of retinal detachment. Should she wait until her next appointment a week from now to get it checked out, or should she try to get an earlier appointment?</t>
        </is>
      </c>
      <c r="D442" t="n">
        <v>1</v>
      </c>
      <c r="E442" t="n">
        <v>3</v>
      </c>
      <c r="F442">
        <f>HYPERLINK("https://www.reddit.com/r/eyetriage/comments/bv7u6n/is_it_common_to_see_black_dots_after_cataract/")</f>
        <v/>
      </c>
      <c r="G442" t="inlineStr">
        <is>
          <t>2019-05-31 06:57:38</t>
        </is>
      </c>
      <c r="H442" t="inlineStr"/>
    </row>
    <row r="443">
      <c r="A443" t="inlineStr">
        <is>
          <t>bvdh41</t>
        </is>
      </c>
      <c r="B443" t="inlineStr">
        <is>
          <t>Worried about increased prescription due to cataracts</t>
        </is>
      </c>
      <c r="C443" t="inlineStr">
        <is>
          <t>I am a kidney transplant patient and have been on steroids for 2.5 years and I am developing small cataracts. I’m told that they are Posterior Subcapsular Cataracts. I already have a pretty high myopia prescription that makes me self conscious. I’ve seen my ophthalmologist and he is happy to see me in 9 months. I don’t have any of the symptoms yet. I was wondering if I can expect that prescription to increase by a lot? I am worried that I will end up with the dreaded coke bottle glasses :(</t>
        </is>
      </c>
      <c r="D443" t="n">
        <v>1</v>
      </c>
      <c r="E443" t="n">
        <v>4</v>
      </c>
      <c r="F443">
        <f>HYPERLINK("https://www.reddit.com/r/eyetriage/comments/bvdh41/worried_about_increased_prescription_due_to/")</f>
        <v/>
      </c>
      <c r="G443" t="inlineStr">
        <is>
          <t>2019-05-31 14:58:50</t>
        </is>
      </c>
      <c r="H443" t="inlineStr"/>
    </row>
    <row r="444">
      <c r="A444" t="inlineStr">
        <is>
          <t>bvg9s9</t>
        </is>
      </c>
      <c r="B444" t="inlineStr">
        <is>
          <t>Lasik surgery and Birth control</t>
        </is>
      </c>
      <c r="C444" t="inlineStr">
        <is>
          <t>I have been taking Junel FE 1 20MG and considering LASIK surgery. Will the pill affect the surgery or healing process? will I have to stop taking the pill before/after the surgery</t>
        </is>
      </c>
      <c r="D444" t="n">
        <v>2</v>
      </c>
      <c r="E444" t="n">
        <v>7</v>
      </c>
      <c r="F444">
        <f>HYPERLINK("https://www.reddit.com/r/eyetriage/comments/bvg9s9/lasik_surgery_and_birth_control/")</f>
        <v/>
      </c>
      <c r="G444" t="inlineStr">
        <is>
          <t>2019-05-31 19:53:48</t>
        </is>
      </c>
      <c r="H444" t="inlineStr"/>
    </row>
    <row r="445">
      <c r="A445" t="inlineStr">
        <is>
          <t>bvj8nv</t>
        </is>
      </c>
      <c r="B445" t="inlineStr">
        <is>
          <t>I am 29 and have -10.00 in both eyes and they keep on increasing. Will it never get stable or am I likely to go blind in the future? For how high a power will I get glasses and contacts?</t>
        </is>
      </c>
      <c r="C445" t="inlineStr">
        <is>
          <t>Hi there, 
I am a 29 year old Bangladeshi male. I have had myopia since grade 2 and now I have -10.00 in both eyes, with about -1.00 astigmatism in one. 
I wear really heavy glasses and I have floaters that annoy a bit. I visit the ophtalmologist but he says there is nothing to stop the progression. 
I thought by the time you are 20 years or so, your power should stabilize and not change for the past two years. It is only after then you can do a LASIK. However the ophtalmologist is suggesting a LASIK despite that my power has increased last year, this year and in previous years. He had me do the corneal pressure and the measurement of corneal thickness, you know those tests you do before LASIK but I opted out of a LASIK. 
My question is: 
* Is this degenerative myopia? That is will my eyesight keep on getting worse until I lose my sight? 
* For how much power will I be able to get socially acceptable glasses for? My glasses are currently very large because even if they are the highest index and made small. They look bad but are not extremely ugly as in say those types of machines they give you in the hospital. In my country the highest power of contacts is -7.00. So I was wondering, for how high a power will I get socially acceptable glasses and contacts?
* Is LASIK safe given the myopia is worsening year by year still? 
* Is there no way to stop this increase in myopia?</t>
        </is>
      </c>
      <c r="D445" t="n">
        <v>3</v>
      </c>
      <c r="E445" t="n">
        <v>2</v>
      </c>
      <c r="F445">
        <f>HYPERLINK("https://www.reddit.com/r/eyetriage/comments/bvj8nv/i_am_29_and_have_1000_in_both_eyes_and_they_keep/")</f>
        <v/>
      </c>
      <c r="G445" t="inlineStr">
        <is>
          <t>2019-06-01 03:02:19</t>
        </is>
      </c>
      <c r="H445" t="inlineStr"/>
    </row>
    <row r="446">
      <c r="A446" t="inlineStr">
        <is>
          <t>bvn5wp</t>
        </is>
      </c>
      <c r="B446" t="inlineStr">
        <is>
          <t>Is topography used for all contact lens fitting?</t>
        </is>
      </c>
      <c r="C446" t="inlineStr">
        <is>
          <t>This is not exactly an eye problem, so moderators can delete if you think it doesn't fit here.
I'm wondering whether doing corneal topography rather than just using a keratometer is done as standard practice for all contact lens fittings in the US. I'm sure that it varies from office to office, but are there some who always do topography?
I find that in Croatia, if the office does topography at all, it only does it in special cases (they don't say what those are), not as standard practice for lens fittings.</t>
        </is>
      </c>
      <c r="D446" t="n">
        <v>1</v>
      </c>
      <c r="E446" t="n">
        <v>9</v>
      </c>
      <c r="F446">
        <f>HYPERLINK("https://www.reddit.com/r/eyetriage/comments/bvn5wp/is_topography_used_for_all_contact_lens_fitting/")</f>
        <v/>
      </c>
      <c r="G446" t="inlineStr">
        <is>
          <t>2019-06-01 10:18:37</t>
        </is>
      </c>
      <c r="H446" t="inlineStr"/>
    </row>
    <row r="447">
      <c r="A447" t="inlineStr">
        <is>
          <t>bvokmz</t>
        </is>
      </c>
      <c r="B447" t="inlineStr">
        <is>
          <t>big grey scotoma</t>
        </is>
      </c>
      <c r="C447" t="inlineStr">
        <is>
          <t>I suddenly developed a big grey spot in the peripheral vision of my right eye, at around the 5.30 position. It takes on the opposite colour of whatever I am looking at. I saw a retina specialist and had an OCT and an FA and fundus photos and everything looked OK. The eye doctor just said she didn't know what it was. Any ideas? It's been more than a week and it is still there. When I look at the grass, I see a big pink spot. When I look at the sky, I see an orangey spot. It's really worrying me</t>
        </is>
      </c>
      <c r="D447" t="n">
        <v>2</v>
      </c>
      <c r="E447" t="n">
        <v>3</v>
      </c>
      <c r="F447">
        <f>HYPERLINK("https://www.reddit.com/r/eyetriage/comments/bvokmz/big_grey_scotoma/")</f>
        <v/>
      </c>
      <c r="G447" t="inlineStr">
        <is>
          <t>2019-06-01 12:33:25</t>
        </is>
      </c>
      <c r="H447" t="inlineStr"/>
    </row>
    <row r="448">
      <c r="A448" t="inlineStr">
        <is>
          <t>bvrr5a</t>
        </is>
      </c>
      <c r="B448" t="inlineStr">
        <is>
          <t>Severe Chronic Allergic Conjunctivitis--last ditch effort. Where to go next if it fails?</t>
        </is>
      </c>
      <c r="C448" t="inlineStr">
        <is>
          <t>I am a 20 year old female patient with posterior uveitis, chorioretinitis, hashimoto's thyroiditis, and severe chronic allergic conjunctivitis. I have posted about this is in the past but I am posting again after seeing my opthomologist (a uveitis specialist). 
Here is my history. I was diagnosed with posterior uveitis and chorioretinitis in February. Around this this time I slowly started having external eye discomfort as well, but it didn't start getting really bad until March. For the uveitis I was started on a very slow 50 mg prednisone taper. I will note that the allergic conjunctivitis started getting worse when my prednisone was tapered to 30mg for 6 weeks. I am currently on 20 mg for the uveitis and it is worse than ever. 
For the past 3ish months my eyes have been extremely and increasingly uncomfortable and painful. Very dry, tight, and burning. It is often worse throughout the day and is unbearable by the afternoon and evening. I have been crying in pain every night, and sometimes go to bed to make the pain go away. My opthomologist has tried, in order, ketorolac, pazeo, pazeo and ketorolac, and pataday. None have worked. I also started zyrtec, which has not helped at all. I have no other allergy symptoms like runny nose or itching and watery eyes. Which makes sense because I am on prednisone and zyrtec! I use preservitive free artificial tears 5+ times a day with no real relief. On the exam she was shocked how red and inflamed my eyelid undersides are, and could tell I was in so much pain.
So, my opthomologist agrees this is very odd. She says she can't prescribe me prednisone drops because, due to being on oral prednisone, my pressure is already 23 in both eyes. She says no opthomologist would prescribe pred drops with my pressure. So, as a last ditch effort she is prescribing me  Lotemax drops as a milder steroid and Lastacalf antihistamine drops. She says if this does not work she doesn't know what she could try next.
So, where do I go from here if this doesn't work? I  honestly am not optimistic given nothing else has worked. What type of doctor or eye subspecialty should I try? Should I try to go to a place like Hopkins, Wills, or even MERSI? I can't live like this forever. I'm happy with her treatment of my uveitis, we are most likely going to begin immunotherapy soon, but this external problem is outside her scope. She thinks my severe reaction is due to my autoimmune problems causing my body to overreact, but I guess can't provide another explanation.
Thanks for reading all this, sorry it's a long story!</t>
        </is>
      </c>
      <c r="D448" t="n">
        <v>2</v>
      </c>
      <c r="E448" t="n">
        <v>9</v>
      </c>
      <c r="F448">
        <f>HYPERLINK("https://www.reddit.com/r/eyetriage/comments/bvrr5a/severe_chronic_allergic_conjunctivitislast_ditch/")</f>
        <v/>
      </c>
      <c r="G448" t="inlineStr">
        <is>
          <t>2019-06-01 17:42:22</t>
        </is>
      </c>
      <c r="H448" t="inlineStr"/>
    </row>
    <row r="449">
      <c r="A449" t="inlineStr">
        <is>
          <t>bvysow</t>
        </is>
      </c>
      <c r="B449" t="inlineStr">
        <is>
          <t>How long will I notice the blind spot?</t>
        </is>
      </c>
      <c r="C449" t="inlineStr">
        <is>
          <t>After my scleral buckle I’ve started seeing a blind spot where the lasering was used during my scleral buckle. The ophthalmologist says that’s normal and expected, but to keep an eye out for if that spot grows or moves. He says eventually my brain will get used to the spot and forget about it. Any idea how long it will take for my brain to get used to it? It still makes me anxious to think that the spot could grow or change.</t>
        </is>
      </c>
      <c r="D449" t="n">
        <v>3</v>
      </c>
      <c r="E449" t="n">
        <v>2</v>
      </c>
      <c r="F449">
        <f>HYPERLINK("https://www.reddit.com/r/eyetriage/comments/bvysow/how_long_will_i_notice_the_blind_spot/")</f>
        <v/>
      </c>
      <c r="G449" t="inlineStr">
        <is>
          <t>2019-06-02 08:55:23</t>
        </is>
      </c>
      <c r="H449" t="inlineStr"/>
    </row>
    <row r="450">
      <c r="A450" t="inlineStr">
        <is>
          <t>bw2nb9</t>
        </is>
      </c>
      <c r="B450" t="inlineStr">
        <is>
          <t>u</t>
        </is>
      </c>
      <c r="C450" t="inlineStr">
        <is>
          <t>u</t>
        </is>
      </c>
      <c r="D450" t="n">
        <v>1</v>
      </c>
      <c r="E450" t="n">
        <v>0</v>
      </c>
      <c r="F450">
        <f>HYPERLINK("https://www.reddit.com/r/eyetriage/comments/bw2nb9/u/")</f>
        <v/>
      </c>
      <c r="G450" t="inlineStr">
        <is>
          <t>2019-06-02 14:39:28</t>
        </is>
      </c>
      <c r="H450" t="inlineStr"/>
    </row>
    <row r="451">
      <c r="A451" t="inlineStr">
        <is>
          <t>bw2sd0</t>
        </is>
      </c>
      <c r="B451" t="inlineStr">
        <is>
          <t>Chalazion Surgery Question</t>
        </is>
      </c>
      <c r="C451" t="inlineStr">
        <is>
          <t>Is it common for my chalazion to still be present? It’s never looked like a cyst... has always had a puss head to it and was quite small but still remains with a puss sort of head as well as swelling 
picture: https://imgur.com/a/GNNgSs5
Got the surgery on friday</t>
        </is>
      </c>
      <c r="D451" t="n">
        <v>1</v>
      </c>
      <c r="E451" t="n">
        <v>1</v>
      </c>
      <c r="F451">
        <f>HYPERLINK("https://www.reddit.com/r/eyetriage/comments/bw2sd0/chalazion_surgery_question/")</f>
        <v/>
      </c>
      <c r="G451" t="inlineStr">
        <is>
          <t>2019-06-02 14:52:29</t>
        </is>
      </c>
      <c r="H451" t="inlineStr"/>
    </row>
    <row r="452">
      <c r="A452" t="inlineStr">
        <is>
          <t>bw5nsq</t>
        </is>
      </c>
      <c r="B452" t="inlineStr">
        <is>
          <t>Confused about PD changes</t>
        </is>
      </c>
      <c r="C452" t="inlineStr">
        <is>
          <t xml:space="preserve">
I’m an almost 40 yo with Ehlers Danlos Syndrome (a connective tissues disorder) and previously took plaquenil.
My last eye exam 2 years ago the PD was 55. I didn’t wear glasses before that. The most recent one last month (by an ophthalmologist) the PD was 62, which seems like a huge change. My eye is definitely not 7 mm farther from the other now. When I asked about that she acted as if I was challenging her and got offended. I’m just wondering if that’s expected. She said it must be EDS. I was blind when I left the office bc of the drops so I didn’t press it.
For the record, the glasses I’m wearing now don’t create strain or headaches, that actually happens if I don’t wear them. But I do need a new pair bc the prescription is stronger now. Is a second ophthalmology opinion common?</t>
        </is>
      </c>
      <c r="D452" t="n">
        <v>1</v>
      </c>
      <c r="E452" t="n">
        <v>7</v>
      </c>
      <c r="F452">
        <f>HYPERLINK("https://www.reddit.com/r/eyetriage/comments/bw5nsq/confused_about_pd_changes/")</f>
        <v/>
      </c>
      <c r="G452" t="inlineStr">
        <is>
          <t>2019-06-02 19:44:26</t>
        </is>
      </c>
      <c r="H452" t="inlineStr"/>
    </row>
    <row r="453">
      <c r="A453" t="inlineStr">
        <is>
          <t>bwgggx</t>
        </is>
      </c>
      <c r="B453" t="inlineStr">
        <is>
          <t>Solar retinopathy</t>
        </is>
      </c>
      <c r="C453" t="inlineStr">
        <is>
          <t>Can the sun damage your retina through your eyelids if you face it with your eyes are closed resulting in retinopathy?</t>
        </is>
      </c>
      <c r="D453" t="n">
        <v>1</v>
      </c>
      <c r="E453" t="n">
        <v>4</v>
      </c>
      <c r="F453">
        <f>HYPERLINK("https://www.reddit.com/r/eyetriage/comments/bwgggx/solar_retinopathy/")</f>
        <v/>
      </c>
      <c r="G453" t="inlineStr">
        <is>
          <t>2019-06-03 14:42:48</t>
        </is>
      </c>
      <c r="H453" t="inlineStr"/>
    </row>
    <row r="454">
      <c r="A454" t="inlineStr">
        <is>
          <t>bwgxzk</t>
        </is>
      </c>
      <c r="B454" t="inlineStr">
        <is>
          <t>Dilated pupil after prophylactic laser for Lattice Degeneration</t>
        </is>
      </c>
      <c r="C454" t="inlineStr">
        <is>
          <t>For background info, I'm a new optometrist and haven't encountered this post-op side effect in my rotations. I recently had prophylactic laser for lattice degeneration OS. I am 26 years old and I'm a high myope. I now have anisocoria (slight dilation OS) as well as some trouble with accommodation OS post-op. I am 1 week after prophylactic laser and I'm really hoping the dilated pupil and accommodation troubles remedy themselves. I am scheduled to have prophylactic laser OD for lattice degeneration next week. I am wondering if this is super common side effect and if it is likely to be permanent? If nothing else, maybe my right eye will have the same side effects to minimize the aniso...</t>
        </is>
      </c>
      <c r="D454" t="n">
        <v>1</v>
      </c>
      <c r="E454" t="n">
        <v>4</v>
      </c>
      <c r="F454">
        <f>HYPERLINK("https://www.reddit.com/r/eyetriage/comments/bwgxzk/dilated_pupil_after_prophylactic_laser_for/")</f>
        <v/>
      </c>
      <c r="G454" t="inlineStr">
        <is>
          <t>2019-06-03 15:24:19</t>
        </is>
      </c>
      <c r="H454" t="inlineStr"/>
    </row>
    <row r="455">
      <c r="A455" t="inlineStr">
        <is>
          <t>bwlspx</t>
        </is>
      </c>
      <c r="B455" t="inlineStr">
        <is>
          <t>Vitreous hemorrhage : Risks and how to protect/take precautions that it doesn't happen again?</t>
        </is>
      </c>
      <c r="C455" t="inlineStr">
        <is>
          <t>Hi all. My wife (27 F) started seeing floaters suddenly couple of days ago. No trauma or injury. She was focusing hard on finishing her tasks for the day on her laptop when this happened. We went to emergency and then ophthalmologist who found out it is vitreous hemorrhage and then referred to a retina specialist to check up the impact on retina the next day. The retina specialist mentioned the bleeding has stopped and she should be fine in 3-4 months and there is no other retinal problems like detachment. Since we do not know the cause of this the retina specialist wanted us to come in ( 2 days, 1 week, 1 month, 6 months) to make sure there is no damage happening to retina. She doesn't see flashes or experience pain. Note : She is near sighted and have been wearing glasses since 12-13. I have few questions regarding her condition.
1. What is the risk of getting this vitreous hemorrhage again?
2. What is her risk of developing retinal tear or retinal detachment?
3. How to make sure she doesn't get this again?
4. What kind of food/life style change should be made this doesn't happen again?
5. The doctor mentioned the floaters will go away in 3-5 months. What can we do the expedite this in a safe way? Like sleeping more, not watch TV etc.
Any information on this would be great.</t>
        </is>
      </c>
      <c r="D455" t="n">
        <v>1</v>
      </c>
      <c r="E455" t="n">
        <v>6</v>
      </c>
      <c r="F455">
        <f>HYPERLINK("https://www.reddit.com/r/eyetriage/comments/bwlspx/vitreous_hemorrhage_risks_and_how_to_protecttake/")</f>
        <v/>
      </c>
      <c r="G455" t="inlineStr">
        <is>
          <t>2019-06-04 00:07:12</t>
        </is>
      </c>
      <c r="H455" t="inlineStr"/>
    </row>
    <row r="456">
      <c r="A456" t="inlineStr">
        <is>
          <t>bwm3qk</t>
        </is>
      </c>
      <c r="B456" t="inlineStr">
        <is>
          <t>Where can I go for ophthalmologic help in a difficult disease?</t>
        </is>
      </c>
      <c r="C456" t="inlineStr">
        <is>
          <t>Hello.
My name is Constantine.
I'm 17 years old.
I'm blind.
I have vision problems from birth.
But as I know, my situation is difficult, for this reason, I need the help of professional ophthalmologists, perhaps scientific ophthalmologists.
Here is my medical certificate in English:
[https://drive.google.com/file/d/1gTXeZfeKwBdNT4a3ZjanRQVOXYviH4fd/view?usp=sharing](https://drive.google.com/file/d/1gTXeZfeKwBdNT4a3ZjanRQVOXYviH4fd/view?usp=sharing)
Please advise me where can I go for help?
Thanks in advance!</t>
        </is>
      </c>
      <c r="D456" t="n">
        <v>1</v>
      </c>
      <c r="E456" t="n">
        <v>1</v>
      </c>
      <c r="F456">
        <f>HYPERLINK("https://www.reddit.com/r/eyetriage/comments/bwm3qk/where_can_i_go_for_ophthalmologic_help_in_a/")</f>
        <v/>
      </c>
      <c r="G456" t="inlineStr">
        <is>
          <t>2019-06-04 00:52:23</t>
        </is>
      </c>
      <c r="H456" t="inlineStr"/>
    </row>
    <row r="457">
      <c r="A457" t="inlineStr">
        <is>
          <t>bwpu5s</t>
        </is>
      </c>
      <c r="B457" t="inlineStr">
        <is>
          <t>Amusement park after retina hole laser treatment?</t>
        </is>
      </c>
      <c r="C457" t="inlineStr">
        <is>
          <t>Looking for a second opinion/sanity check. 
&amp;amp;#x200B;
32 year old female, diagnosed with hole in my retina, had it lasered and had lattice repairs on May 22.
&amp;amp;#x200B;
My ophthalmologist said I'm fine to do any activity post-treatment. I asked about high-impact activity, exercise, etc. and he said no restrictions.
&amp;amp;#x200B;
I am going to an amusement park on June 8. Am I \*really\* ok to do high-impact activity like riding amusement park ride? Rollercoasters? I don't want to damage my eye if it's still healing.</t>
        </is>
      </c>
      <c r="D457" t="n">
        <v>1</v>
      </c>
      <c r="E457" t="n">
        <v>2</v>
      </c>
      <c r="F457">
        <f>HYPERLINK("https://www.reddit.com/r/eyetriage/comments/bwpu5s/amusement_park_after_retina_hole_laser_treatment/")</f>
        <v/>
      </c>
      <c r="G457" t="inlineStr">
        <is>
          <t>2019-06-04 08:12:50</t>
        </is>
      </c>
      <c r="H457" t="inlineStr"/>
    </row>
    <row r="458">
      <c r="A458" t="inlineStr">
        <is>
          <t>bwrnnx</t>
        </is>
      </c>
      <c r="B458" t="inlineStr">
        <is>
          <t>allergic conjunctivitis ?</t>
        </is>
      </c>
      <c r="C458" t="inlineStr">
        <is>
          <t>To start off I need to mention I will try to get to an ophtalmologist/the hospital tomorrow but i need ideas on what it may be/what to ask/what tests to ask for.
Now, a brief history. Last year one of my eyes started tearing, a lot, and I got white stringy stuff in it. This happened close to summer, I am not sure but I think pretty much around this time. I went for a consult, i was told it was bacterial conjunctivitis (though the secretions were not tested). I followed treatment (antibiotic eye drops). The problem persisted, so the doctor kept changing antibiotics, for what i think were stronger ones and blamed me for it saying i touched my eyes with unwashed hands.
Went to another, same diagnosis, same treatment.
Third time, same thing, same results, except this one decided to sample my secretions. They came back clean, but due to the ammount of antibiotics I was given (like some sort of chicken i guess). I take the tests again about two weeks later, ofc, clean, NOT BACTERIAL CONJUNCTIVITIS. Took them about three months to realize this, three months where i kept getting fed antibiotics like candies.
Now, I went to a fourth one in the capital, pretty much crushed and wanting the eye removed more or less. She said she has no idea, but told me my glass prescriptions had changed. I buy new glasses, I am suddenly cured (wtf). I assumed it was some sort of eye strain except:
today, about a year since then, same symptoms hit me like a train while i was riding, ironically enough, a train. Seven hours of fun later I am scared to shit and wanting to die. I will get on the next train back to my home city and go to a hospital. However, given my history, please any ideas what it could be ? It's just the left eye, no nasal congestion, no nothing. Just white stringy mucus, lots of tearing (if I am hydrated) and the outer corners of my eye tearing. Also sticky tears.
If it matters i am young, under 30, and wear bifocal glasses, though i forget the prescription (I think it hovers near the 3 number, could very easily be wrong, lenses are pretty thick)
Again, any test ideas/disease to suggest is a godsend, I am really afraid of that story repeating esp since I am job hunting</t>
        </is>
      </c>
      <c r="D458" t="n">
        <v>1</v>
      </c>
      <c r="E458" t="n">
        <v>7</v>
      </c>
      <c r="F458">
        <f>HYPERLINK("https://www.reddit.com/r/eyetriage/comments/bwrnnx/allergic_conjunctivitis/")</f>
        <v/>
      </c>
      <c r="G458" t="inlineStr">
        <is>
          <t>2019-06-04 10:47:28</t>
        </is>
      </c>
      <c r="H458" t="inlineStr"/>
    </row>
    <row r="459">
      <c r="A459" t="inlineStr">
        <is>
          <t>bwuqdu</t>
        </is>
      </c>
      <c r="B459" t="inlineStr">
        <is>
          <t>Weird Symptoms, 3 Eye Docs and a Neuro clear me in their exams.</t>
        </is>
      </c>
      <c r="C459" t="inlineStr">
        <is>
          <t xml:space="preserve"> I Expect no Official Medical advice, and hold no one that replies responsible for anything pertaining to my health.  I simply hope to hear from someone else's experience if any, 
Hey there,
I guess this is probably against the rules, and i'm sorry but i'm desperate to get this to as many possible professionals. So ban me if you must. But here goes.
I got a puzzle for you guys if any med people are sorting by new.I have so much reassurance im about over it, but i figure'd i'd reach out to the internet and see if anyone else could shed some light on my situation.
About 1,5 years ago i started noticing some light sensitivity, car lights/sun reflections were much brighter and harder to look at than normal. This is still a thing and for some reason seems to be more/less intense depending on the day.With this i get starburst effects around bright lights which weren't there before.At the same time, intermittently i would get more intense after images. (looking at something and it's "ghost" for lack of a better term remained in my vision for longer than normal. I know this happens to everyone but it become more intense"I have problems with text sometimes too, i will get the lines between the sentences as after images making it very hard to concentrate on reading.
\-Went and got an eye exam, everything looked great. (Probably around june 2018)
Sometimes i get little black specks that only appear in my vision when i blink. These aren't floaters (i will get to that in a moment) Most the time it's just a little black dot, sometimes 3 or 4. And sometimes it's a little line or blob. It'll float there becoming very apparent in my vision for the split second after i blink, then dissapear.
In certain lighting situations i can also see the capillaries inside my eyes for a split second if light hits me at the right angle, this also had never happened before whatever changed. Like a weird golden glow of veins. pretty cool/freaky.
I've now noticed i can see what i call "black lightning" when i look at something bright and blink really fast. (Obviously these are capillaries)
Around the same time, (Roughly January) I started noticing little sparks or sprites flying around in my vision. This is "Blue field entoptic phenomena" Where for whatever reason i can see the white blood cells inside my eye! I remember seeing it when i looked at the sky as a kid, and even looking it up then and thinking it was cool!Well now it's not cool anymore, i see it all the time. Against any bright colored surface, walls, sky, etc. And it never stops.
Floaters. I've always had them too... but in the past 6 months, more and more are popping up (big long stringy spiderweb ones). Or at least they're easier to see for some reason.
This caused me to go to an ophthalmologist . Who gave me an exam and told me it was probably migraines and I looked perfectly healthy.Out of anxiety i went to another one to get a second opinion, who also told me that I looked healthy, but saw a little tiny hole in the retina that he usually wouldnt worry about. But since i was so symptomatic he wanted me to see a retinal specialist. (Also i want to mention, that i made a comment about how clear i could see the capillaries during the eye exam, and how it basically transported me to another world, inside a big veiny sphere) He made a comment about how it usually isnt that intense for people.
So I did. I went and saw this guy, who also told me i was 100% ok and nothing to worry about. Almost agitated at the other doc for even sending me...
I've always had "visual snow" grainy vision especially in the dark, but it's gotten more intense recently too. Sometimes getting very intense. Never before has it changed in intensity like this, seems to get worse when i'm sick especially.
I went to a Neuro, he also mentioned migraines, and told me to get an MRI. Which i did, and low and behold it was normal. Except for i had a little bit of something going on in my sinuses....
The other night too... i don't know if i was half dreaming or what, but i was lying in bed and the visual snow got really bad, to the point where i could barely make out the defined edges of things. Granted it was dark, but it for some reason didn't scare me, as i think i've exhausted my bodies anxiety fuel.
I am 29, decent health, perfect vision otherwise...
Can anyone at all help me? I'm at a loss, and god damn this is driving me insane. I try my best not to focus on it, but there's just so much distraction in my vision now, between the bright lights, floaters, and snow... I can't help but not focus on it and it makes me very sad/scared.
Could it be a vitamin/mineral/electrolyte thing? My "Adaptation" doesn't seem to be working as well as it used to, filtering out competing images... is there a vitamin that fuels that? I'm just grasping as straws at this point... if the eye specialists and neurologists don't know what hope do I have? I can usually get used to stuff, but this is so much visual input all the time, I don't know if i can. Anyway, sorry for the long read, if anyone even reads it. Have a good day.
Thank you in advance.</t>
        </is>
      </c>
      <c r="D459" t="n">
        <v>3</v>
      </c>
      <c r="E459" t="n">
        <v>13</v>
      </c>
      <c r="F459">
        <f>HYPERLINK("https://www.reddit.com/r/eyetriage/comments/bwuqdu/weird_symptoms_3_eye_docs_and_a_neuro_clear_me_in/")</f>
        <v/>
      </c>
      <c r="G459" t="inlineStr">
        <is>
          <t>2019-06-04 15:01:08</t>
        </is>
      </c>
      <c r="H459" t="inlineStr"/>
    </row>
    <row r="460">
      <c r="A460" t="inlineStr">
        <is>
          <t>bwv6if</t>
        </is>
      </c>
      <c r="B460" t="inlineStr">
        <is>
          <t>Does Pigmentary Glaucoma lead to more blindness than Primary Open Angle? x-post from r/optometry</t>
        </is>
      </c>
      <c r="C460" t="inlineStr">
        <is>
          <t>I thought I had the run-of-the-mill Primary Open Angle Glaucoma, but after seeing the specialist today, he told me that it's pigmentary. I have 100% field of vision and my optic nerve looks 'fine'. He said if there is any damage to the nerve that it's very minimal that it's barely noticeable.
He said that this form of glaucoma can potentially be more aggressive (which of course threw me into a panic) and wants to do an iridotomy in 6 weeks time.
In your experience, does this lead to blindness more? I'm just shy of 36 and have many more years to live.
Thanks in advance :)</t>
        </is>
      </c>
      <c r="D460" t="n">
        <v>2</v>
      </c>
      <c r="E460" t="n">
        <v>19</v>
      </c>
      <c r="F460">
        <f>HYPERLINK("https://www.reddit.com/r/eyetriage/comments/bwv6if/does_pigmentary_glaucoma_lead_to_more_blindness/")</f>
        <v/>
      </c>
      <c r="G460" t="inlineStr">
        <is>
          <t>2019-06-04 15:40:21</t>
        </is>
      </c>
      <c r="H460" t="inlineStr"/>
    </row>
    <row r="461">
      <c r="A461" t="inlineStr">
        <is>
          <t>bwvw29</t>
        </is>
      </c>
      <c r="B461" t="inlineStr">
        <is>
          <t>Tilted Vision</t>
        </is>
      </c>
      <c r="C461" t="inlineStr">
        <is>
          <t>So about two weeks ago, I suddenly noticed that straight lines look like they tilt to the right in my left eye. It's not just a portion of my vision in my left eye (I looked at the Amsler grid and all the boxes are even, everything looks good, but things are tipped evenly all over the visual field.) When I read, lines of words wobble when I shift my eyes back and forth. In fact, there is a strange trapezoidal effect when I look at my computer screen and have a browser window open. This also happens without my glasses. 
I have been to an ophthalmologist 4 months ago bc of other visual issues (In fact I've been to an ophthalmologist about three times in the past 12 months (once bc I had a retinal hemorrhage/bruise, and another time bc my blind spot in my right eye is wonky and grids warp around it) and I am reluctant to go again bc I don't want them to label me... plus I don't have health insurance and I have had to pay out of pocket for these tests). I had an OCT scan, a visual field test, and a dilated eye exam at my last visit. Everything came back clear and they said I had healthy retinas. She gave me a new prescription but I think it's wrong bc I can't read from my right eye with them on and it's blurry and my astigmatism shifted from 20 to 122  (I'm going to schedule an appointment soon). So, I have an astigmatism in my right eye, but have not been diagnosed with an astigmatism in my left.
I am a 30 year old woman. I am extremely anxious but I think the eye doctor is dismissing my symptoms bc I am stressed and have a very stressful job and a lot of anxiety. I honestly hope this is just anxiety but it's not letting up. I've been dizzy, it's difficult to read on my computer screen now bc I can see the tilted browser window (also bc of the wobbling I mentioned above). I'm going back to the eye doctor about my prescription but does anyone know what could be happening? 
I do not hold anyone liable for the advice they give me. I understand that exams are required for proper diagnosis. I'm just looking for advice.</t>
        </is>
      </c>
      <c r="D461" t="n">
        <v>1</v>
      </c>
      <c r="E461" t="n">
        <v>0</v>
      </c>
      <c r="F461">
        <f>HYPERLINK("https://www.reddit.com/r/eyetriage/comments/bwvw29/tilted_vision/")</f>
        <v/>
      </c>
      <c r="G461" t="inlineStr">
        <is>
          <t>2019-06-04 16:47:58</t>
        </is>
      </c>
      <c r="H461" t="inlineStr"/>
    </row>
    <row r="462">
      <c r="A462" t="inlineStr">
        <is>
          <t>bwwen8</t>
        </is>
      </c>
      <c r="B462" t="inlineStr">
        <is>
          <t>Looks like lights are flickering.</t>
        </is>
      </c>
      <c r="C462" t="inlineStr">
        <is>
          <t>I just noticed that like in my peripherals while I was studying, that it looks like the light was flickering, not on and off, but from like a brightness of 6 to 5 (example of course) then back to 6, then 5. As if it dimmed a bit then lit back up. I went into another room, turned the light on and stared at the wall, kinda the same thing. Is there something going on here? As in something wrong with my eyes?</t>
        </is>
      </c>
      <c r="D462" t="n">
        <v>2</v>
      </c>
      <c r="E462" t="n">
        <v>0</v>
      </c>
      <c r="F462">
        <f>HYPERLINK("https://www.reddit.com/r/eyetriage/comments/bwwen8/looks_like_lights_are_flickering/")</f>
        <v/>
      </c>
      <c r="G462" t="inlineStr">
        <is>
          <t>2019-06-04 17:40:00</t>
        </is>
      </c>
      <c r="H462" t="inlineStr"/>
    </row>
    <row r="463">
      <c r="A463" t="inlineStr">
        <is>
          <t>bwwo7u</t>
        </is>
      </c>
      <c r="B463" t="inlineStr">
        <is>
          <t>New flashes at edges of FOV</t>
        </is>
      </c>
      <c r="C463" t="inlineStr">
        <is>
          <t>Hello.
My eye doctor said i dont have retinal detachment. That was roughly a month ago. I went there due to increased amount of floaters and she said nothing is really wrong. Recently i noticed i see flashes in the edges of my FOV when i close my eyes and rapidly turn them from side to side. Should i go get checked to different doctors?
What could it be</t>
        </is>
      </c>
      <c r="D463" t="n">
        <v>1</v>
      </c>
      <c r="E463" t="n">
        <v>2</v>
      </c>
      <c r="F463">
        <f>HYPERLINK("https://www.reddit.com/r/eyetriage/comments/bwwo7u/new_flashes_at_edges_of_fov/")</f>
        <v/>
      </c>
      <c r="G463" t="inlineStr">
        <is>
          <t>2019-06-04 18:07:18</t>
        </is>
      </c>
      <c r="H463" t="inlineStr"/>
    </row>
    <row r="464">
      <c r="A464" t="inlineStr">
        <is>
          <t>bwxqpk</t>
        </is>
      </c>
      <c r="B464" t="inlineStr">
        <is>
          <t>Vision worsening in child</t>
        </is>
      </c>
      <c r="C464" t="inlineStr">
        <is>
          <t>My 5-year-old son's vision has quickly been deteriorating since November. It's hard to say exactly when his vision started to go bad because of his age, he really doesn't understand what's going on. We have taken him to an optometrist, two ophthalmologists, and neurological ophthalmologist. They cannot find anything wrong with his eyes and he is passing his exams. He had an MRI yesterday to rule out issues with the brain and everything came back normal. 
His symptoms that I can tell are: 
Trouble navigating his environment, walks into objects, has to be told where obstacles are. We get at least one call from the school nurse a week because he has injured himself.  When we are out he constantly asks if there are curbs when we are walking because he is afraid of falling. 
He feels his food and drinks while eating. 
his drawing has gotten significantly worse. He used to be able to draw these cute little stick figures and now they all look like scribbles. 
He has been accessed by a vision specialist at school who believe he has very poor peripheral vision along with bad forward vision. 
He has an appointment Friday at an ear nose and throat doctor to rule out inner-ear/ balance disorder and he also has an appointment next week at a pediatric neurologist. 
&amp;amp;#x200B;
Is there anything else I could be doing to help him? Are there any other doctors I could be looking at?</t>
        </is>
      </c>
      <c r="D464" t="n">
        <v>1</v>
      </c>
      <c r="E464" t="n">
        <v>5</v>
      </c>
      <c r="F464">
        <f>HYPERLINK("https://www.reddit.com/r/eyetriage/comments/bwxqpk/vision_worsening_in_child/")</f>
        <v/>
      </c>
      <c r="G464" t="inlineStr">
        <is>
          <t>2019-06-04 19:59:04</t>
        </is>
      </c>
      <c r="H464" t="inlineStr"/>
    </row>
    <row r="465">
      <c r="A465" t="inlineStr">
        <is>
          <t>bwz8le</t>
        </is>
      </c>
      <c r="B465" t="inlineStr">
        <is>
          <t>Is there any purpose for pupil-dilating eye drops before examination of patient with Aniridia?</t>
        </is>
      </c>
      <c r="C465" t="inlineStr">
        <is>
          <t>My childhood eye doctor has for as long as I can remember insisted on me taking eye drops for dialting the pupil about an hour before my yearly exam, now, the problem is that I simply don't have an iris and I frankly don't see the reason for these? My doctor has given very unclear/vague answers the years before that I can't really recite. However my exam is in 1 hour approximately so I'll be able to ask about the drops once again then. Are there any benefits to these except for dilating the pupil to help with the examination of the inner eye, or is it just common practice that doesn't really help any way in my case?</t>
        </is>
      </c>
      <c r="D465" t="n">
        <v>1</v>
      </c>
      <c r="E465" t="n">
        <v>1</v>
      </c>
      <c r="F465">
        <f>HYPERLINK("https://www.reddit.com/r/eyetriage/comments/bwz8le/is_there_any_purpose_for_pupildilating_eye_drops/")</f>
        <v/>
      </c>
      <c r="G465" t="inlineStr">
        <is>
          <t>2019-06-04 23:01:13</t>
        </is>
      </c>
      <c r="H465" t="inlineStr"/>
    </row>
    <row r="466">
      <c r="A466" t="inlineStr">
        <is>
          <t>bx07hf</t>
        </is>
      </c>
      <c r="B466" t="inlineStr">
        <is>
          <t>A sensation of "stuckness" when trying to move eyes upward after a health crisis</t>
        </is>
      </c>
      <c r="C466" t="inlineStr">
        <is>
          <t>Age: 55, Male
Ethnicity: Bangladeshi
-------------------------
Hi. We live in Bangladesh. The problem with my father's eyes is that he says he feels like he cannot move his eyes fully upward as he used to be able to. He can move his eyes fully upward I have seen it, its just that he feels a bit of stuckness/obstacle in the upper regions especially on the top left corner of the left eye when he tries to move his eyes upward. He has had this problem ever since a health episode 1.5 months ago. 
Can someone tell me the name of this condition and what might have caused it?
----------------------
Context: 
My father had a medical issue about 1.5 months ago. He already had hypertension and had angiogram 1.5 years ago but it was found that only small blood vessels in the heart are narrowed which cannot be stented and only medications were given. He did not take any of the medications and 1.5 months ago, he started sweating, vomitting and could not lift his head and had severe vertigo. He was admitted to the emergency but his ECG, pressure and all that were found to be normal. He had a bunch of hearing tests, MRI and discharged 4 days later. An unconfirmed diagnosis of vestibular neuritis was given. 
A carotid doppler showed 42% blockage in the carotid artery. The MRI showed signs of tri-ventricular hydrocephalus, brain atrophy, demyelination, parasinusitus and lacunar infarcts. We then went to the ENT, Neurosurgeon, Cardiology. The neurosurgeon said to follow up 6 months later, its not hydrocephalus and only natural signs of ageing and neurodegeneration can only be confirmed 5 years or so later. The ENT said that 70% of hearing loss is in one year, with tinnitus. Cardio said the carotid is to be stented but after it reaches 60% or so. 
So far no confirm diagnosis was given regarding what the condition is now or what happened then.</t>
        </is>
      </c>
      <c r="D466" t="n">
        <v>1</v>
      </c>
      <c r="E466" t="n">
        <v>3</v>
      </c>
      <c r="F466">
        <f>HYPERLINK("https://www.reddit.com/r/eyetriage/comments/bx07hf/a_sensation_of_stuckness_when_trying_to_move_eyes/")</f>
        <v/>
      </c>
      <c r="G466" t="inlineStr">
        <is>
          <t>2019-06-05 01:22:10</t>
        </is>
      </c>
      <c r="H466" t="inlineStr"/>
    </row>
    <row r="467">
      <c r="A467" t="inlineStr">
        <is>
          <t>bx6erm</t>
        </is>
      </c>
      <c r="B467" t="inlineStr">
        <is>
          <t>Cyclophotocoagulation</t>
        </is>
      </c>
      <c r="C467" t="inlineStr">
        <is>
          <t>I am having a predicament and I'd like some advice or support as to what to do.
So some background,  I was born blind in my left eye with a lazy eye. The right eye is pretty normal with decent vision. 
As of 2010-2011 I developed a cataract in that eye.
I did not have an eye doctor at that time and it progressed into a dense hyper mature cataract over the next 7 or 8 years. 
In 2018 I have been going to the Wilmer eye institute in MD and I am additionally diagnosed with glaucoma in this left eye.  IOP was 54. With eyedrops it has gone down to 46. The right eye has an IOP of 16.
I have consulted with an opthomologist,  two retina specialists, and a glaucoma specialist.  All 4 believe removing the cataract is too risky.  It is a short eye, a dense cataract,  a flat cornea. These factors and other unknown factors have them feeling it is better to not remove the cataract,  as it can pose greater complications.  
The glaucoma specialist wants to perform the laser surgery cyclophotocoagulation to reduce IOP. 
I asked if it is unsuccessful will they remove the cataract.  He said no,  he would repeat the laser. 
I am of two minds about this. 
If I get the laser,  there is a risk of damaging my eye. 
There is the high possibility of the pressure spiking back up due to the cataract remaining. 
I don't want to put my already vulnerable eye through more laser.
There is chance it will be successful,  and any complications after,  I am in good hands with the doctor. 
Or,  I could not get the laser and manage the pressure with drops. 
The eye will remain as is, without the potential risk of the laser doing damage. 
If the pressure will more than likely rise again,  why put my eye through that extra trauma.
Also,  I have never had sight in that eye.  Really,  I just get eye pain and headaches. But its tolerable,  however,  mildly uncomfortable. 
Will the eye drops significantly reduce pressure over long term?
So I see both sides of this.  Both pros and cons.  The doctor says it's ultimately up to me.</t>
        </is>
      </c>
      <c r="D467" t="n">
        <v>1</v>
      </c>
      <c r="E467" t="n">
        <v>19</v>
      </c>
      <c r="F467">
        <f>HYPERLINK("https://www.reddit.com/r/eyetriage/comments/bx6erm/cyclophotocoagulation/")</f>
        <v/>
      </c>
      <c r="G467" t="inlineStr">
        <is>
          <t>2019-06-05 12:00:34</t>
        </is>
      </c>
      <c r="H467" t="inlineStr"/>
    </row>
    <row r="468">
      <c r="A468" t="inlineStr">
        <is>
          <t>bxaoei</t>
        </is>
      </c>
      <c r="B468" t="inlineStr">
        <is>
          <t>Whats this Condition I gave ?!</t>
        </is>
      </c>
      <c r="C468" t="inlineStr">
        <is>
          <t>15 years ago My eye sight used to be normal
Then I had this weird condition
I see millions of very Small black dots &amp;amp; I think some of them are red and blue
I can’t read, drive or see far away I was only 13 years old when it start &amp;amp; now I cant remember the doctors diagnosis 
But I remember that it took them like 2 years to find the problem
Eye glasses are useless in my case Instead doctors prescribed to me some special magnifiers .. What is this case I have ?</t>
        </is>
      </c>
      <c r="D468" t="n">
        <v>1</v>
      </c>
      <c r="E468" t="n">
        <v>0</v>
      </c>
      <c r="F468">
        <f>HYPERLINK("https://www.reddit.com/r/eyetriage/comments/bxaoei/whats_this_condition_i_gave/")</f>
        <v/>
      </c>
      <c r="G468" t="inlineStr">
        <is>
          <t>2019-06-05 18:23:21</t>
        </is>
      </c>
      <c r="H468" t="inlineStr"/>
    </row>
    <row r="469">
      <c r="A469" t="inlineStr">
        <is>
          <t>bxh5go</t>
        </is>
      </c>
      <c r="B469" t="inlineStr">
        <is>
          <t>Doctor recommended I use gel drops before sleep but they make my eyes feel terrible in the morning. I’ve tried a few brands. It feels like my eyes are glued shut in the morning. Should I still use them?</t>
        </is>
      </c>
      <c r="C469" t="inlineStr">
        <is>
          <t>They feel like they’re glued together but also just...not good. It feels like I’m doing more damage to them as opposed to just not using them. I’ve used em for 2-3 weeks. If I put them on earlier it’s not quite as bad (for example if I put them on when I get into my room vs immediately before I fall asleep). Should I still use them or try something else? Keep trying new brands? I think I’ve tried 2-3.</t>
        </is>
      </c>
      <c r="D469" t="n">
        <v>1</v>
      </c>
      <c r="E469" t="n">
        <v>9</v>
      </c>
      <c r="F469">
        <f>HYPERLINK("https://www.reddit.com/r/eyetriage/comments/bxh5go/doctor_recommended_i_use_gel_drops_before_sleep/")</f>
        <v/>
      </c>
      <c r="G469" t="inlineStr">
        <is>
          <t>2019-06-06 07:10:00</t>
        </is>
      </c>
      <c r="H469" t="inlineStr"/>
    </row>
    <row r="470">
      <c r="A470" t="inlineStr">
        <is>
          <t>bxhm17</t>
        </is>
      </c>
      <c r="B470" t="inlineStr">
        <is>
          <t>Does CSR cause heightened pressure in the affected eye?</t>
        </is>
      </c>
      <c r="C470" t="inlineStr">
        <is>
          <t>I have a grayish spot in my right eye vision that seems like a camera bulb flash when I blink. This started last Friday, and I went into the opthamologist, but he didn't see anything wrong with my eyes. The only thing of note was that while my left eye was a 20mmHg, my right eye was slightly elevated at 23mmHg. He wrote it off as a weird prolonged visual migraine but asked me to make another appointment if it lasted for much longer.
When I left the office they took my blood pressure and found it to be something like 145/103, elevated from what it normally is.
Today it's still here, and I've just found that other people experience similar visual anomalies with CSR. I fit the profile for CSR: drink lots of black tea, am usually stressed out, a workaholic, etc. And if my blood pressure was reading 145/103 at the doctor, that's like 4 hours after the onset of my symptoms, so I wonder if I had had a blood pressure spike that triggered it?
What I'm wondering is if CSR would explain the slightly elevated pressure in my right eye? Also, I have had a very very dull slight headache in the right side of my head and around my eye. I'm wondering if that is a symptom of CSR, as well? It's hard for me to tell because I think my headache may be caused by me trying to adapt to the strange new vision in my eye, rather than the eye thing being caused by a prolonged headache (I did not, for instance, feel a splitting headache or something and then it appeared in my eye. It's the other way around.) My headache does go away when I take aspirin.
Thanks for any help ... my retinal ophthalmologist appointment is on the 24th. Hoping to get some ideas before then though.</t>
        </is>
      </c>
      <c r="D470" t="n">
        <v>3</v>
      </c>
      <c r="E470" t="n">
        <v>3</v>
      </c>
      <c r="F470">
        <f>HYPERLINK("https://www.reddit.com/r/eyetriage/comments/bxhm17/does_csr_cause_heightened_pressure_in_the/")</f>
        <v/>
      </c>
      <c r="G470" t="inlineStr">
        <is>
          <t>2019-06-06 07:52:08</t>
        </is>
      </c>
      <c r="H470" t="inlineStr"/>
    </row>
    <row r="471">
      <c r="A471" t="inlineStr">
        <is>
          <t>bxoa2n</t>
        </is>
      </c>
      <c r="B471" t="inlineStr">
        <is>
          <t>Floaters</t>
        </is>
      </c>
      <c r="C471" t="inlineStr">
        <is>
          <t>I’ve had floaters all my life. Very minor. Would often disappear and I would hardly notice them.
In the past year or two, they’ve gotten much worse. There’s a long “string” that’s always floating around my direct line of sight in the left eye, which looks like it’s made up of dozens of tiny bubbles, and which are so clustered it’s turned dark and makes it difficult to read.
In the past couple of months, a large round “blob” floater, similarly looking like it’s made of tiny bubbles, has appeared in my right eye. It isn’t as pronounced or as easy to see as the one in my left, but it’s bigger.
The particular problem with both is that they reflect light, especially sunlight and fluorescent light, so it looks like a blurry glare is floating across my vision any time I’m exposed to said light. It’s unpleasant and causes headaches, some of which are excruciating. I nearly had to leave work early today because of a light-exacerbated headache. I’m getting very painful photosensitivity, pain in my eyes, and occasional burning and stinging in my eyes as well.
I went to an optometrist for my first exam in about a decade last month. She did all standard tests and said she could see the floaters in a slit lamp, but that there is no sign of any disease and my eyes are otherwise healthy. But with the extreme severity of the symptoms, I can’t help but wonder if she’s missing something and that there’s something wrong.  Has anyone encountered this sort of thing before? Does anyone have any advice on how to proceed? What type of doctor should I be following up with, and who would I get referrals or requisitions from?</t>
        </is>
      </c>
      <c r="D471" t="n">
        <v>0</v>
      </c>
      <c r="E471" t="n">
        <v>0</v>
      </c>
      <c r="F471">
        <f>HYPERLINK("https://www.reddit.com/r/eyetriage/comments/bxoa2n/floaters/")</f>
        <v/>
      </c>
      <c r="G471" t="inlineStr">
        <is>
          <t>2019-06-06 17:40:39</t>
        </is>
      </c>
      <c r="H471" t="inlineStr"/>
    </row>
    <row r="472">
      <c r="A472" t="inlineStr">
        <is>
          <t>bxpfaz</t>
        </is>
      </c>
      <c r="B472" t="inlineStr">
        <is>
          <t>Eye question?</t>
        </is>
      </c>
      <c r="C472" t="inlineStr">
        <is>
          <t>Don't know if this fits here but it's my best chance for answers so far.
So my eyes are kinda light blue to a faint blue grey, nothing special but I keep seeing a brown section surrounding my pupil, others say they cant see it but I know it's their, I mainly see it when my pupil is small, I think I may have central heterchromia or whatever it's called?
Am i correct or is this normal for a light blue eyed person?</t>
        </is>
      </c>
      <c r="D472" t="n">
        <v>1</v>
      </c>
      <c r="E472" t="n">
        <v>5</v>
      </c>
      <c r="F472">
        <f>HYPERLINK("https://www.reddit.com/r/eyetriage/comments/bxpfaz/eye_question/")</f>
        <v/>
      </c>
      <c r="G472" t="inlineStr">
        <is>
          <t>2019-06-06 19:40:30</t>
        </is>
      </c>
      <c r="H472" t="inlineStr"/>
    </row>
    <row r="473">
      <c r="A473" t="inlineStr">
        <is>
          <t>bxqwg6</t>
        </is>
      </c>
      <c r="B473" t="inlineStr">
        <is>
          <t>What do you make of this? (please read)</t>
        </is>
      </c>
      <c r="C473" t="inlineStr">
        <is>
          <t>I have been visiting eye doctors every month or so, 3 different ones (optometrist/retinal specialist/glaucoma specialist). I will explain from the start in a shortest way possible. 4 months ago I went for a check-up of my eyes due to stupidly looking at the sun, both eyes had centre vision damage, and my pressures read as 25 on a hand-held puff machine. A week later I went to a glaucoma specialist, measured twice on goldmann for 16 in both eyes with cornea thickness of 610 for both aswell. I passed all test. My left eye has a thinner than normal RNFL in one area although she was confident it was how I was born yet needed a timeline so asked me to return in 6-12months.   
This is when it gets odd, I'm not sure if this was already there months ago or is new. In both eyes, in pretty much the exact same spots along the retinal vessels there is a very, very small blind spot, about half the size of a mouse-cursor, I can easily see how it could've been missed on VF test. So I visited my optometrist who said my eyes both have very good structure, my nerves are good and everything is as it should be. Yes my left eye has that slight part of thinning, although my right eye does not, and the spots are basically symmetrical, he thinks this is unnoticed aftermath from my solar damage (As I was looking at the sun from this angle as well as central). Again my pressures read 16-17 in each eye and he thinks glaucoma is not at all in relationship because the only reason it is brought up is due to a false high IOP reading I had one time on a inaccurate puff-machine. No family history of any eye diseases, nothing. I've also been told diabetes, cotton wool spots (I have a history of being told my BP is sometimes too high), retinal artery bleeds/blocks? (the spots are exactly laying above the retinal artery veins). Yet all this keeps being dismissed because it's very symmetrical and the only symmetrical history I've ever done is from light damage. Thoughts? I'm very, very confused/concerned. Thankyou...</t>
        </is>
      </c>
      <c r="D473" t="n">
        <v>2</v>
      </c>
      <c r="E473" t="n">
        <v>2</v>
      </c>
      <c r="F473">
        <f>HYPERLINK("https://www.reddit.com/r/eyetriage/comments/bxqwg6/what_do_you_make_of_this_please_read/")</f>
        <v/>
      </c>
      <c r="G473" t="inlineStr">
        <is>
          <t>2019-06-06 22:25:41</t>
        </is>
      </c>
      <c r="H473" t="inlineStr"/>
    </row>
    <row r="474">
      <c r="A474" t="inlineStr">
        <is>
          <t>bxuhvt</t>
        </is>
      </c>
      <c r="B474" t="inlineStr">
        <is>
          <t>Is it normal for someone under 40 to have posterior vitreous detachment in both eyes?</t>
        </is>
      </c>
      <c r="C474" t="inlineStr">
        <is>
          <t>For almost a month I've had an influx of eye floaters in both eyes.  For years I used to only have 1 or 2 floaters, but lately many more have shown up.  I went to an ophthalmologist and they told me I had a posterior vitreous detachment (PVD) in both eyes which caused all of the new floaters.  They also said the retina was fine.
However, it's been incredibly depressing having my eyesight diminished so much because of this.  I was already having some weird static problem in my vision for months, and now all of these eye floaters makes it so much worse.
I've read of something called YAG Laser Vitreolysis.  Does it work for getting rid of eye floaters?  Do the eye floaters come back?</t>
        </is>
      </c>
      <c r="D474" t="n">
        <v>1</v>
      </c>
      <c r="E474" t="n">
        <v>13</v>
      </c>
      <c r="F474">
        <f>HYPERLINK("https://www.reddit.com/r/eyetriage/comments/bxuhvt/is_it_normal_for_someone_under_40_to_have/")</f>
        <v/>
      </c>
      <c r="G474" t="inlineStr">
        <is>
          <t>2019-06-07 06:16:19</t>
        </is>
      </c>
      <c r="H474" t="inlineStr"/>
    </row>
    <row r="475">
      <c r="A475" t="inlineStr">
        <is>
          <t>bxvmcp</t>
        </is>
      </c>
      <c r="B475" t="inlineStr">
        <is>
          <t>Any other treatment?</t>
        </is>
      </c>
      <c r="C475" t="inlineStr">
        <is>
          <t>I have severe ghosting halo and starburst. Doctor said it was big pupil problem he prescribed me alphagan P and my ghosting is 90% gone after using it. i used it for 2 weeks now my ghostinrhg is only reduced to 50% its getting weaker the medication please help me im 15 thx no other eye disease 
Rx Right :  -7.50 -1.00Cyl   
Left   :  -7.00 -1.50Cyl</t>
        </is>
      </c>
      <c r="D475" t="n">
        <v>1</v>
      </c>
      <c r="E475" t="n">
        <v>0</v>
      </c>
      <c r="F475">
        <f>HYPERLINK("https://www.reddit.com/r/eyetriage/comments/bxvmcp/any_other_treatment/")</f>
        <v/>
      </c>
      <c r="G475" t="inlineStr">
        <is>
          <t>2019-06-07 08:01:36</t>
        </is>
      </c>
      <c r="H475" t="inlineStr"/>
    </row>
    <row r="476">
      <c r="A476" t="inlineStr">
        <is>
          <t>bxyp8q</t>
        </is>
      </c>
      <c r="B476" t="inlineStr">
        <is>
          <t>Distortion - related to BVD?</t>
        </is>
      </c>
      <c r="C476" t="inlineStr">
        <is>
          <t>Hello! I’m at a bit of a loss as to how to address the current changes in my vision. I’ve been seeing optometrists since I was a child, and in the last 18 months my vision has changed dramatically but I don’t seem to have corresponding changes on examination. I’m a 26 y/o female, moderate screen use, dodgy history with sunglasses because I hate the . I have a connective tissue disorder, but to my knowledge it has no impact on my eyes. 
History: Dx with binocular vision dysfunction, partial accommodation with prism glasses. Mild changes to near and distance vision, correction via glasses. Astigmatism in (I think) left eye. Nothing super exciting. Retinas look healthy, no dry eyes, nothing on examination that would lead to concern. Frequent headaches due to eye strain since childhood. 
In the last year or so I’ve been in two car accidents (my fault) due to my vision and I’m having major changes that are affecting my well being. I’ve tried to explain the circumstances to the ODs but I’ve been met primarily with “huh, keep doing your pencil pushups and get back to me.” Obviously I’m not looking for a diagnosis here, but my quality of life is diminishing and I don’t know who to talk to if there’s a chance it’s more serious. 
The best way I can describe my vision is that it’s just *wrong*. Nothing is where I expect it to be so I’m chronically running into tables, corners, other people, countertops, etc. I’m never without some sort of wound on my head because as soon as I start to bend down towards something or move in my kitchen I lose all sight of my surroundings until I’ve collided with something. Once an object is in motion I’m completely unable to track it, and on the other hand once I’m in motion I can’t track stationary objects. I have issues with glare, to the point where if I’m in my living room and the lamp next to me is on I’m unable to see the television. When reading text the few words I’m focusing on are relatively clear and still but all surrounding text will pulsate and flicker on and off. I have pretty severe dizziness as a result of the BVD, I’ve been asked by friends before if I was drunk because of swaying when I walk. 
I can’t describe it as tunnel vision, nor can I say my central vision is weak. To hold something in focus I have to focus intently on it, and frequently need to wiggle my head before I can create the image. I would blow this all off as just being annoying, but it’s sharply deteriorating and I’m worried how bad it can get. I don’t understand why BVD would get progressively worse. I do my pencil pushups, I track the stupid ball on a string, I do everything they ask but every month it gets so much worse. It’s to the point where I’m concerned I’ll be a risk during a code situation in a hospital when I can’t orient myself around the equipment. (Respiratory therapist)
The one test they still plan on doing when I return in a week to get my glasses is the darkness adaptation test. I’m assuming it’s to rule out macular degeneration, but I’m not sure. I certainly don’t expect a diagnosis of AMD. So where should I go from here? Do I seek out an actual ophthalmologist? It feels rude as hell to make a list and say “we need to discuss these because I feel shoved out of my appointments before I can address them.” And if the normal eye exams are normal, what else is there to do? After the car accidents and insecurity about following the sidewalks next to busy roads I’m finding myself staying home as much as possible.</t>
        </is>
      </c>
      <c r="D476" t="n">
        <v>2</v>
      </c>
      <c r="E476" t="n">
        <v>5</v>
      </c>
      <c r="F476">
        <f>HYPERLINK("https://www.reddit.com/r/eyetriage/comments/bxyp8q/distortion_related_to_bvd/")</f>
        <v/>
      </c>
      <c r="G476" t="inlineStr">
        <is>
          <t>2019-06-07 12:24:55</t>
        </is>
      </c>
      <c r="H476" t="inlineStr"/>
    </row>
    <row r="477">
      <c r="A477" t="inlineStr">
        <is>
          <t>bxz8lh</t>
        </is>
      </c>
      <c r="B477" t="inlineStr">
        <is>
          <t>Can retinal fluid move to another area after a Lucentis injection?</t>
        </is>
      </c>
      <c r="C477" t="inlineStr">
        <is>
          <t>Hey,  I'm a patient. My condition:  CNV since early 2018 and 6th Lucentis  injection on June 3, 2019. Before  the injection on Monday, retinal  fluid was visible (Amsler grid) in the  upper left corner of my eye.  Which brings me to my question:
Can   retinal fluid move to another direction in the eye (from upper left to   the center) due to a Lucentis injection or is it more likely new retinal   fluid? Noticed the fluid in the center of my vision on June 5, so 2   days after the injection. So the fluid was in the upper left corner and   now it looks like this on the Amsler grid:
[https://www.augenheilkunde.de/fileadmin/\_processed\_/csm\_002\_Makula\_fruehstadium-c\_3acbc3cb05.jpg](https://www.augenheilkunde.de/fileadmin/_processed_/csm_002_Makula_fruehstadium-c_3acbc3cb05.jpg)
Local   eye doctor (without OCT) wasn’t concerned, just saw some fluid on June  6  but no blood and says that retinal fluid can move after an injection   but I’m skeptical. I’m just afraid that Lucentis doesn’t work properly   anymore.
When  would OCT make sense in  this case since the injection was just 5 days  ago? I really don't want  to wait 4 weeks before it gets out of control  with new blood vessel  growth and leakages. I hope that Lucentis still  takes its effect.
Thanks for any input.</t>
        </is>
      </c>
      <c r="D477" t="n">
        <v>1</v>
      </c>
      <c r="E477" t="n">
        <v>1</v>
      </c>
      <c r="F477">
        <f>HYPERLINK("https://www.reddit.com/r/eyetriage/comments/bxz8lh/can_retinal_fluid_move_to_another_area_after_a/")</f>
        <v/>
      </c>
      <c r="G477" t="inlineStr">
        <is>
          <t>2019-06-07 13:11:50</t>
        </is>
      </c>
      <c r="H477" t="inlineStr"/>
    </row>
    <row r="478">
      <c r="A478" t="inlineStr">
        <is>
          <t>bxzwvf</t>
        </is>
      </c>
      <c r="B478" t="inlineStr">
        <is>
          <t>Doctors Disagree on Posterior Uveitis</t>
        </is>
      </c>
      <c r="C478" t="inlineStr">
        <is>
          <t>Patient here. I'm at a loss. Today I went to the retina specialist because my uveitis specialist needed the FA done to see if there was still active inflammation since I've been on high dose oral prednisone for a while and she needs to know if I should start immunotherapy (my uveitis specialist cannot do FA at her office because she doesn't have the machine). But today the retina specialist said he saw no signs of uveitis or retinal vasculitis and said that's why he told me to just wait and come back in 5 months originally (I saw him 5 months ago when I first started having symptoms). He said when he saw me 5 months ago the uveitis was so tiny it didn't need treatment and only offered me prednisone drops *if I wanted*.
 However, I was just at my uveitis specialist last week and she commented how damaged my vessels are, how they look very twisty and kinky. She says she can even see that with just a slit lamp examination. I'm honestly not sure what to think. My uveitis specialist said that if I had followed the retina guy's initial instructions to just wait and see that I most likely would have had a stroke in my eye and lost vision. And when I saw the retina specialist 5 months ago I had really bad strobe light effect in my eye that didn't go away till my uveitis specialist started me on 50 mg prednisone. So that makes me trust my uveitis specialist more. But now this retina specialist thinks all the prednisone and potential immunotherapy is unnecessary. Who do I believe? How can the two doctors see vastly different things?</t>
        </is>
      </c>
      <c r="D478" t="n">
        <v>1</v>
      </c>
      <c r="E478" t="n">
        <v>6</v>
      </c>
      <c r="F478">
        <f>HYPERLINK("https://www.reddit.com/r/eyetriage/comments/bxzwvf/doctors_disagree_on_posterior_uveitis/")</f>
        <v/>
      </c>
      <c r="G478" t="inlineStr">
        <is>
          <t>2019-06-07 14:12:16</t>
        </is>
      </c>
      <c r="H478" t="inlineStr"/>
    </row>
    <row r="479">
      <c r="A479" t="inlineStr">
        <is>
          <t>byfe9i</t>
        </is>
      </c>
      <c r="B479" t="inlineStr">
        <is>
          <t>am I slightly hyperopic?</t>
        </is>
      </c>
      <c r="C479" t="inlineStr">
        <is>
          <t>a thing I notice is that when my eyes go out of focus even very distant objects get blurred edges and I have to accommodate slightly to see it sharply, I can still read close to my face (I'm 20) and my distance visions good too, doesn't really bother me too much sometimes when I'm bored I play with it, but its just a general curiosity really.
im an ex science student so stuff like this fascinates me.</t>
        </is>
      </c>
      <c r="D479" t="n">
        <v>1</v>
      </c>
      <c r="E479" t="n">
        <v>2</v>
      </c>
      <c r="F479">
        <f>HYPERLINK("https://www.reddit.com/r/eyetriage/comments/byfe9i/am_i_slightly_hyperopic/")</f>
        <v/>
      </c>
      <c r="G479" t="inlineStr">
        <is>
          <t>2019-06-08 19:04:05</t>
        </is>
      </c>
      <c r="H479" t="inlineStr"/>
    </row>
    <row r="480">
      <c r="A480" t="inlineStr">
        <is>
          <t>byi25w</t>
        </is>
      </c>
      <c r="B480" t="inlineStr">
        <is>
          <t>Retinal Reattachment Surgery Recovery Question (Patient)</t>
        </is>
      </c>
      <c r="C480" t="inlineStr">
        <is>
          <t>Hi All,
I'm a patient just recovering from retinal reattachment surgery (if it helps I am 21 years of age). I am currently 11 days into recovery and this just happened to the inner corner of my eye today (I've attached pictures). There is no pain associated so far.
Can someone tell me if this is part of the normal healing process? I've emailed my ophthalmologist but they can't get back to me until Monday. The surgery I had was retinal reattachment with scleral buckling and cyrotherapy.
&amp;amp;#x200B;
&amp;amp;#x200B;
https://i.redd.it/kl1s6fy6fa331.jpg
https://i.redd.it/nurvpjy6fa331.jpg</t>
        </is>
      </c>
      <c r="D480" t="n">
        <v>1</v>
      </c>
      <c r="E480" t="n">
        <v>3</v>
      </c>
      <c r="F480">
        <f>HYPERLINK("https://www.reddit.com/r/eyetriage/comments/byi25w/retinal_reattachment_surgery_recovery_question/")</f>
        <v/>
      </c>
      <c r="G480" t="inlineStr">
        <is>
          <t>2019-06-09 01:08:17</t>
        </is>
      </c>
      <c r="H480" t="inlineStr"/>
    </row>
    <row r="481">
      <c r="A481" t="inlineStr">
        <is>
          <t>byl2md</t>
        </is>
      </c>
      <c r="B481" t="inlineStr">
        <is>
          <t>Should things appear to move when you close an eye?</t>
        </is>
      </c>
      <c r="C481" t="inlineStr">
        <is>
          <t>This still freaks me out when this happens. Things also look a little further away and/or rotate a little so things that should be straight actually look straight.
In other cases, there is no difference between the two. I have strabismus and as a consequence that eye is weak. Other times it's really pronounced</t>
        </is>
      </c>
      <c r="D481" t="n">
        <v>2</v>
      </c>
      <c r="E481" t="n">
        <v>3</v>
      </c>
      <c r="F481">
        <f>HYPERLINK("https://www.reddit.com/r/eyetriage/comments/byl2md/should_things_appear_to_move_when_you_close_an_eye/")</f>
        <v/>
      </c>
      <c r="G481" t="inlineStr">
        <is>
          <t>2019-06-09 08:01:35</t>
        </is>
      </c>
      <c r="H481" t="inlineStr"/>
    </row>
    <row r="482">
      <c r="A482" t="inlineStr">
        <is>
          <t>byn44o</t>
        </is>
      </c>
      <c r="B482" t="inlineStr">
        <is>
          <t>My ophthalmologist told me to use eye drops regularly, about 4-5 times a day, but it seems like when I use drops my eyes start burning shortly after I put them in until I put them in the next time. Whats up with that?</t>
        </is>
      </c>
      <c r="C482" t="inlineStr">
        <is>
          <t>Its quite frustrating. Not only does it burn, it seems like when I do use the drops, im not producing the same amount of tears. Though they also told me that using drops will not inhibit tear production. So...whats going on? I've tried a couple brands (systane and theratears extra dry eye and regular dry eye) and same thing. Thanks!</t>
        </is>
      </c>
      <c r="D482" t="n">
        <v>1</v>
      </c>
      <c r="E482" t="n">
        <v>7</v>
      </c>
      <c r="F482">
        <f>HYPERLINK("https://www.reddit.com/r/eyetriage/comments/byn44o/my_ophthalmologist_told_me_to_use_eye_drops/")</f>
        <v/>
      </c>
      <c r="G482" t="inlineStr">
        <is>
          <t>2019-06-09 11:08:18</t>
        </is>
      </c>
      <c r="H482" t="inlineStr"/>
    </row>
    <row r="483">
      <c r="A483" t="inlineStr">
        <is>
          <t>byn5ph</t>
        </is>
      </c>
      <c r="B483" t="inlineStr">
        <is>
          <t>Please explain CYL discrepancy between Spectacle and Contact Lens prescription.</t>
        </is>
      </c>
      <c r="C483" t="inlineStr">
        <is>
          <t xml:space="preserve"> 
Hello everyone.
I am a 27 year old man with astigmatism. I have been wearing glasses since age 18, with vision problems undiagnosed and untreated before that. At my latest eye check up, I opted to give contacts a try, as I am very active and the need for them has finally outweighed my apprehension toward them.
At this latest visit, my optometrist set me up with a prescription for glasses and contacts. While I wait for my new glasses and contacts to arrive, I am wearing the contacts I was sent home with which she informed me are good for one month of wear.
She explained that for my contacts, she would prescribe me a different CYL measurement than the one for my glasses, **but I didn't really understand the reasoning behind this,** though she attempted to explain it to me. My CYL measurement for glasses is -1.75 in each eye, whereas she started me at -1.25 for my contacts, then moved me up to -1.50 after trying the first ones on and experiencing blurriness. This improved the blurriness, but in the 24 hours I've had to evaluate them, the level of blurriness at certain distances is still not acceptable to me.
So, tl:dr: **What is the purpose of there being a different CYL measurement between contacts and spectacles on the same person?** Do I just need to let my eyes adjust, or do I need my prescription touched up?</t>
        </is>
      </c>
      <c r="D483" t="n">
        <v>1</v>
      </c>
      <c r="E483" t="n">
        <v>1</v>
      </c>
      <c r="F483">
        <f>HYPERLINK("https://www.reddit.com/r/eyetriage/comments/byn5ph/please_explain_cyl_discrepancy_between_spectacle/")</f>
        <v/>
      </c>
      <c r="G483" t="inlineStr">
        <is>
          <t>2019-06-09 11:12:14</t>
        </is>
      </c>
      <c r="H483" t="inlineStr"/>
    </row>
    <row r="484">
      <c r="A484" t="inlineStr">
        <is>
          <t>byqbav</t>
        </is>
      </c>
      <c r="B484" t="inlineStr">
        <is>
          <t>Endothelial corneal transplant</t>
        </is>
      </c>
      <c r="C484" t="inlineStr">
        <is>
          <t>If you have very dry eyes, will it impact the success of a cataract removal and endothelial corneal transplant for Fuch’s dystrophy?</t>
        </is>
      </c>
      <c r="D484" t="n">
        <v>1</v>
      </c>
      <c r="E484" t="n">
        <v>1</v>
      </c>
      <c r="F484">
        <f>HYPERLINK("https://www.reddit.com/r/eyetriage/comments/byqbav/endothelial_corneal_transplant/")</f>
        <v/>
      </c>
      <c r="G484" t="inlineStr">
        <is>
          <t>2019-06-09 15:57:06</t>
        </is>
      </c>
      <c r="H484" t="inlineStr"/>
    </row>
    <row r="485">
      <c r="A485" t="inlineStr">
        <is>
          <t>byzuu1</t>
        </is>
      </c>
      <c r="B485" t="inlineStr">
        <is>
          <t>Cataract removal with corneal transplant for Fuch’s dystrophy.</t>
        </is>
      </c>
      <c r="C485" t="inlineStr">
        <is>
          <t>The ophthalmologist is planning on replacing my lens with a distance lens (I am farsighted with a very small amount of astigmatism) Is there a reason that multifocal lenses won’t work for me? 
In the past that eye has had significant astigmatism. When my vision started causing problems, my regular eye doctor noticed a substantial decrease in my astigmatism in that eye. 
What would prevent placing a multifocal lens in that eye? Would it be the Fuch’s dystrophy with the endothelial transplant?</t>
        </is>
      </c>
      <c r="D485" t="n">
        <v>2</v>
      </c>
      <c r="E485" t="n">
        <v>3</v>
      </c>
      <c r="F485">
        <f>HYPERLINK("https://www.reddit.com/r/eyetriage/comments/byzuu1/cataract_removal_with_corneal_transplant_for/")</f>
        <v/>
      </c>
      <c r="G485" t="inlineStr">
        <is>
          <t>2019-06-10 09:23:16</t>
        </is>
      </c>
      <c r="H485" t="inlineStr"/>
    </row>
    <row r="486">
      <c r="A486" t="inlineStr">
        <is>
          <t>bz2d3b</t>
        </is>
      </c>
      <c r="B486" t="inlineStr">
        <is>
          <t>New glasses - floor is in the wrong place</t>
        </is>
      </c>
      <c r="C486" t="inlineStr">
        <is>
          <t>I got new glasses and I briefly wore them today and it felt like the floor was in a different place than I expected it to be. I don't remember whether it was further down than I expected it to be, or closer to me, but it was a little off and I was walking a little weird.
Is this an indication that something is wrong with the glasses, or do I just need to adjust?
The prescription has changed in that the cylinder/axis has changed in one eye and it was added in the other in which there was no astigmatism correction in the previous prescription.
Does this indicate that prism is induced or could this be due to cyl/axis changes?</t>
        </is>
      </c>
      <c r="D486" t="n">
        <v>2</v>
      </c>
      <c r="E486" t="n">
        <v>2</v>
      </c>
      <c r="F486">
        <f>HYPERLINK("https://www.reddit.com/r/eyetriage/comments/bz2d3b/new_glasses_floor_is_in_the_wrong_place/")</f>
        <v/>
      </c>
      <c r="G486" t="inlineStr">
        <is>
          <t>2019-06-10 12:46:41</t>
        </is>
      </c>
      <c r="H486" t="inlineStr"/>
    </row>
    <row r="487">
      <c r="A487" t="inlineStr">
        <is>
          <t>bz34ok</t>
        </is>
      </c>
      <c r="B487" t="inlineStr">
        <is>
          <t>[M19] Two unexplained blind spots in my left eye.</t>
        </is>
      </c>
      <c r="C487" t="inlineStr">
        <is>
          <t>A few years ago I noticed that I have two blind spots in my left eye. I am not sure if I have always had these. One seems to be on the usual location of your blindspot caused by the optic nerve, however it is a lot bigger than the one in my right eye. I also have a smaller blindspot close to the center of my vision. I have already visited the hospital and they concluded that there is nothing physically wrong with my eye after an eye exam.
I am still worried about it getting worse in the future though. At the hospital I didn't explain that one blind spot was on the natural location but enlarged and I feel like that might have been some crucial information. My last option is to go and see a neurologist since there is no physical problem as far as they could tell. I'm not sure what to do and what this is and I'm of scared of slowely going blind.
​
Male 19
5'8"
132lbs
No medication
As far as my eyes go I have visual snow and have had a migraine with an aura</t>
        </is>
      </c>
      <c r="D487" t="n">
        <v>2</v>
      </c>
      <c r="E487" t="n">
        <v>2</v>
      </c>
      <c r="F487">
        <f>HYPERLINK("https://www.reddit.com/r/eyetriage/comments/bz34ok/m19_two_unexplained_blind_spots_in_my_left_eye/")</f>
        <v/>
      </c>
      <c r="G487" t="inlineStr">
        <is>
          <t>2019-06-10 13:50:25</t>
        </is>
      </c>
      <c r="H487" t="inlineStr"/>
    </row>
    <row r="488">
      <c r="A488" t="inlineStr">
        <is>
          <t>bzcb5v</t>
        </is>
      </c>
      <c r="B488" t="inlineStr">
        <is>
          <t>Are custom contact lenses made in daily disposable variety?</t>
        </is>
      </c>
      <c r="C488" t="inlineStr">
        <is>
          <t>Can you have daily disposable custom RGP lenses made, or are custom contact lenses so expensive that to change them daily would be cost prohibitive?</t>
        </is>
      </c>
      <c r="D488" t="n">
        <v>1</v>
      </c>
      <c r="E488" t="n">
        <v>6</v>
      </c>
      <c r="F488">
        <f>HYPERLINK("https://www.reddit.com/r/eyetriage/comments/bzcb5v/are_custom_contact_lenses_made_in_daily/")</f>
        <v/>
      </c>
      <c r="G488" t="inlineStr">
        <is>
          <t>2019-06-11 06:12:19</t>
        </is>
      </c>
      <c r="H488" t="inlineStr"/>
    </row>
    <row r="489">
      <c r="A489" t="inlineStr">
        <is>
          <t>bzd0ro</t>
        </is>
      </c>
      <c r="B489" t="inlineStr">
        <is>
          <t>Bilateral Elevated Optic Disc - what would you do?</t>
        </is>
      </c>
      <c r="C489" t="inlineStr">
        <is>
          <t>During my annual eye exam my doctor noticed on my eye imaging that I had bilateral obscured optic disc margins so I was given a referral to a neuro-ophthalmologist. 
I had my appointment with him yesterday and he confirmed that my optic discs were in fact raised but he didn’t see papilledema and my optic nerve looked healthy. He also did not see any drusen. My neuro exam was normal. He said that there were two likely culprits for my elevated discs: buried drusen or IIH (I’m a 29yo female with s BMI of 30.2). I have had mild headaches about every other day for the past week or two but nothing too bad and I have had no visual field changes that I’ve noticed. 
My doctor gave me three options: 1. Wait and see and get new OTC in 45 days 2. Set up a B-scan to see if there are any drusen (that he’s just notable to see) 3. Get a cerebral MRI. 
What plan would you chose?
Thanks in advance for your help!</t>
        </is>
      </c>
      <c r="D489" t="n">
        <v>1</v>
      </c>
      <c r="E489" t="n">
        <v>2</v>
      </c>
      <c r="F489">
        <f>HYPERLINK("https://www.reddit.com/r/eyetriage/comments/bzd0ro/bilateral_elevated_optic_disc_what_would_you_do/")</f>
        <v/>
      </c>
      <c r="G489" t="inlineStr">
        <is>
          <t>2019-06-11 07:15:11</t>
        </is>
      </c>
      <c r="H489" t="inlineStr"/>
    </row>
    <row r="490">
      <c r="A490" t="inlineStr">
        <is>
          <t>bzdupa</t>
        </is>
      </c>
      <c r="B490" t="inlineStr">
        <is>
          <t>Go back to doc who blew me off now that they know somethings wrong? Or deny appointment &amp;amp; find another doc?</t>
        </is>
      </c>
      <c r="C490" t="inlineStr">
        <is>
          <t>Went to a neuro eye doc. He looked at my age and medical history and had an opinion formed before meeting me I feel like. He did a field of vision test and told me that the other doctor I saw (who he trained) was young and saw things that are not there. Told me everything was do to headaches and my weight. Told me I didn’t need to waste any more of their time and just see my neuro to get my headaches under control. He didn’t dilate my eyes or ever even really look at my eyes, it was a very lacking appointment. 
5 months later after further testing has shown that something is majorly wrong but now they are still unsure of what it is but apparently the neuro eye doctor I saw is a genius when he sets his mind to it and he wants to work on my case. 
So one hand no one has been figure it out what they thought it was my retinas are changing in a way that is not associated with that disorder. Plus I’m having other problems so either I have multiple things going on or it’s something else completely. 
So my question is would you go back to someone who flat out didn’t even give you a thorough exam before blowing you off or would you deny this and see someone else (30 mins away) would it look bad denying him to see you again? I set up the appointment but now really second thinking it.</t>
        </is>
      </c>
      <c r="D490" t="n">
        <v>1</v>
      </c>
      <c r="E490" t="n">
        <v>0</v>
      </c>
      <c r="F490">
        <f>HYPERLINK("https://www.reddit.com/r/eyetriage/comments/bzdupa/go_back_to_doc_who_blew_me_off_now_that_they_know/")</f>
        <v/>
      </c>
      <c r="G490" t="inlineStr">
        <is>
          <t>2019-06-11 08:24:59</t>
        </is>
      </c>
      <c r="H490" t="inlineStr"/>
    </row>
    <row r="491">
      <c r="A491" t="inlineStr">
        <is>
          <t>bzfkyj</t>
        </is>
      </c>
      <c r="B491" t="inlineStr">
        <is>
          <t>Double vision from dry eyes, how quick will eyedrops work?</t>
        </is>
      </c>
      <c r="C491" t="inlineStr">
        <is>
          <t>Today I went to see a medical specialist in regards to my burning eyes and double vision. I was prescribed artificial tears of some sort (Vidisic carbogel). I've used it for the first time today, and noticed some improvements in one eye.
I'm wondering if it's possible that it takes a while of taking this gel before the double vision goes away? I'm still having some troubles with reading certain things, while I was fine a few days ago before it started.</t>
        </is>
      </c>
      <c r="D491" t="n">
        <v>3</v>
      </c>
      <c r="E491" t="n">
        <v>11</v>
      </c>
      <c r="F491">
        <f>HYPERLINK("https://www.reddit.com/r/eyetriage/comments/bzfkyj/double_vision_from_dry_eyes_how_quick_will/")</f>
        <v/>
      </c>
      <c r="G491" t="inlineStr">
        <is>
          <t>2019-06-11 10:38:35</t>
        </is>
      </c>
      <c r="H491" t="inlineStr"/>
    </row>
    <row r="492">
      <c r="A492" t="inlineStr">
        <is>
          <t>bzq5go</t>
        </is>
      </c>
      <c r="B492" t="inlineStr">
        <is>
          <t>Would an mri and ct scan show if someone has a tumour on their pituitary gland?</t>
        </is>
      </c>
      <c r="C492" t="inlineStr">
        <is>
          <t xml:space="preserve">
I’ve had eye issues for a few years and just still researching reasons for it, I feel like I have a hormonal issue and I read that if the pituitary gland has a tumour is can cause that and eye issues. I had an mri and ct scan to check for ms and it was clear but I’m wondering could I have a tumour and they missed it or would they of seen it on the scans?</t>
        </is>
      </c>
      <c r="D492" t="n">
        <v>2</v>
      </c>
      <c r="E492" t="n">
        <v>8</v>
      </c>
      <c r="F492">
        <f>HYPERLINK("https://www.reddit.com/r/eyetriage/comments/bzq5go/would_an_mri_and_ct_scan_show_if_someone_has_a/")</f>
        <v/>
      </c>
      <c r="G492" t="inlineStr">
        <is>
          <t>2019-06-12 04:41:09</t>
        </is>
      </c>
      <c r="H492" t="inlineStr"/>
    </row>
    <row r="493">
      <c r="A493" t="inlineStr">
        <is>
          <t>bzrmsj</t>
        </is>
      </c>
      <c r="B493" t="inlineStr">
        <is>
          <t>What kind of contact lenses for this level of astigmatism?</t>
        </is>
      </c>
      <c r="C493" t="inlineStr">
        <is>
          <t>My prescription is the following
R: -2.25 | -0.50 | 28°
L: -2.25 | -0.25 | 34°
I've heard contact for low levels of astigmatism don't exist and that regular RGPs will correct up to -1.00 by default.
Could I wear soft lenses with this level of astigmatism? Are there torics available that start at these low levels or do soft lenses correct a certain amount themselves, like the RGPs?</t>
        </is>
      </c>
      <c r="D493" t="n">
        <v>1</v>
      </c>
      <c r="E493" t="n">
        <v>6</v>
      </c>
      <c r="F493">
        <f>HYPERLINK("https://www.reddit.com/r/eyetriage/comments/bzrmsj/what_kind_of_contact_lenses_for_this_level_of/")</f>
        <v/>
      </c>
      <c r="G493" t="inlineStr">
        <is>
          <t>2019-06-12 07:04:31</t>
        </is>
      </c>
      <c r="H493" t="inlineStr"/>
    </row>
    <row r="494">
      <c r="A494" t="inlineStr">
        <is>
          <t>bzy4qv</t>
        </is>
      </c>
      <c r="B494" t="inlineStr">
        <is>
          <t>Seeking Advice: Cataract Lenses</t>
        </is>
      </c>
      <c r="C494" t="inlineStr">
        <is>
          <t>​I am a 30-year-old female who has developed a cataract in one eye after PRK surgery, and am looking for some advice around different lenses. The cataract specialist I met with did not spend much time with me and only briefly ran through my options. From what I gleaned:
-Option 1: a lens that annihilates my near vision. After spending thousands of dollars to correct my just vision last year, obviously I am reluctant to choose an option that would require me to go back to needing refraction. I was also hoping to at least get to the ago of 40 before having to use reading glasses. -Option 2: (not an option) a lens that would make my distance vision poor and could cause depth perception issues because my other eye has good distance vision. -Option 3: the "accommodating" lens, which apparently I'm likely not be a candidate for due to corneal scarring after getting PRK.
Are these really my only options? Does anyone know of more recent lens developments or alternatives I should be asking about (or pursuing with a different doctor)?</t>
        </is>
      </c>
      <c r="D494" t="n">
        <v>0</v>
      </c>
      <c r="E494" t="n">
        <v>10</v>
      </c>
      <c r="F494">
        <f>HYPERLINK("https://www.reddit.com/r/eyetriage/comments/bzy4qv/seeking_advice_cataract_lenses/")</f>
        <v/>
      </c>
      <c r="G494" t="inlineStr">
        <is>
          <t>2019-06-12 16:05:14</t>
        </is>
      </c>
      <c r="H494" t="inlineStr"/>
    </row>
    <row r="495">
      <c r="A495" t="inlineStr">
        <is>
          <t>bzydf2</t>
        </is>
      </c>
      <c r="B495" t="inlineStr">
        <is>
          <t>Visual Vibrations</t>
        </is>
      </c>
      <c r="C495" t="inlineStr">
        <is>
          <t xml:space="preserve"> 
Hello everyone,
I have been suffering a condition for the past few years involving vibrations in my vision which make it very difficult to read, especially with high contrast text. Not only does text move around, but so do most objects in my visual field, especially with high peripheral noise. I saw an ophthalmologist last year that performed some quick tests and confirmed no physical issues with eyes/retina. Over the past year I have been doing eye exercises as part of a vision therapy program under an optometrist. While my divergence/convergence scores have increased, this symptom still remains despite the progress in other areas, which is extremely debilitating as a student. While I will be seeing an ophthalmologist once again, I wanted to hear your thoughts about this as I realize the benefits of considering multiple perspectives.
I would also like to point out that the vibrations worsen when I'm in an environment with fluorescent lighting. Natural lighting is much better. I have sensitivity to light and issues with sensory overload, not only with sight but also with sound. To cope with this I have been recently wearing dark sunglasses outdoors as well as indoors which offer relief for the sensory overload, but also for the vibrations to a certain extent. I understand this doesn't address the root of the problem which I believe can be discovered after my doctor said the condition is likely not permanent.
I've read online about oscillopsia and the descriptions of this condition align quite well with what I'm experiencing. I understand there are different causes for oscillopsia, one of which is nystagmus which I don't believe is the case. Also I do not have dyslexia.
There are a few things apart from the sunglasses that seem to help with the vibrations, which I have been observing and recording over the past one year:
1. Extended fixation (usually after studying for a long time or watching a movie on my phone)
2. Reading black text on white paper is extremely difficult but looking at the page from an angle helps
3. When I wave my hand near my eyes, while maintaining long-distance gaze, the vibrations are reduced.
4. Heavy physical exercise seems to help slightly with vibrations.
And finally, lack of sleep worsens the symptoms significantly.
Thank you so much. I am looking forward to hearing your thoughts.</t>
        </is>
      </c>
      <c r="D495" t="n">
        <v>3</v>
      </c>
      <c r="E495" t="n">
        <v>4</v>
      </c>
      <c r="F495">
        <f>HYPERLINK("https://www.reddit.com/r/eyetriage/comments/bzydf2/visual_vibrations/")</f>
        <v/>
      </c>
      <c r="G495" t="inlineStr">
        <is>
          <t>2019-06-12 16:27:22</t>
        </is>
      </c>
      <c r="H495" t="inlineStr"/>
    </row>
    <row r="496">
      <c r="A496" t="inlineStr">
        <is>
          <t>bzzldb</t>
        </is>
      </c>
      <c r="B496" t="inlineStr">
        <is>
          <t>Flashes in my eye but my retina hasn't teared?</t>
        </is>
      </c>
      <c r="C496" t="inlineStr">
        <is>
          <t>After getting poked in the eye while playing basketball I started to experience flashes in my pereipheral vision repeatedly. The next day I went to the ER and they said all they could find was that I scratched my cornea and prescribed me antibiotics. Then I went to my ophthalmologist and she said she did not find anything new and my retina hasn't teared. She said the flashes could have just been a result of the trauma and they should go away soon. Though my ophthalmologist reply sounded like a guess. She did refer me to the retina clinic but the nearest appointment isn't until 20 days from now. It's been 5 days since I've been having flashes. The flashing sensation is very depressing and I'm worried for my eye sight. Does anybody have an idea as to why I'm having flashes? Is my ophthalmologist correct? What action should I take? I'm most thankful for any help.</t>
        </is>
      </c>
      <c r="D496" t="n">
        <v>1</v>
      </c>
      <c r="E496" t="n">
        <v>3</v>
      </c>
      <c r="F496">
        <f>HYPERLINK("https://www.reddit.com/r/eyetriage/comments/bzzldb/flashes_in_my_eye_but_my_retina_hasnt_teared/")</f>
        <v/>
      </c>
      <c r="G496" t="inlineStr">
        <is>
          <t>2019-06-12 18:27:48</t>
        </is>
      </c>
      <c r="H496" t="inlineStr"/>
    </row>
    <row r="497">
      <c r="A497" t="inlineStr">
        <is>
          <t>c00y6x</t>
        </is>
      </c>
      <c r="B497" t="inlineStr">
        <is>
          <t>Steroid Drops</t>
        </is>
      </c>
      <c r="C497" t="inlineStr">
        <is>
          <t>I have had upper eyelid swelling for quite some time now. I was just prescribed Lotemax Steroid Eye Drops by my doctor. What is the best way to use these drops, in order to make sure that the medication goes to my upper eyelid (where the problem is) rather than falling down to my lower eyelid when applied. Please help!</t>
        </is>
      </c>
      <c r="D497" t="n">
        <v>1</v>
      </c>
      <c r="E497" t="n">
        <v>1</v>
      </c>
      <c r="F497">
        <f>HYPERLINK("https://www.reddit.com/r/eyetriage/comments/c00y6x/steroid_drops/")</f>
        <v/>
      </c>
      <c r="G497" t="inlineStr">
        <is>
          <t>2019-06-12 20:47:16</t>
        </is>
      </c>
      <c r="H497" t="inlineStr"/>
    </row>
    <row r="498">
      <c r="A498" t="inlineStr">
        <is>
          <t>c03fbh</t>
        </is>
      </c>
      <c r="B498" t="inlineStr">
        <is>
          <t>Blurred optic nerve</t>
        </is>
      </c>
      <c r="C498" t="inlineStr">
        <is>
          <t>I went to my eye doctor for my annual checkup and I got a different doctor who is new. She make me take a bunch of tests and scanned my optic nerve and they are cloudy. She thinks its calcium but referred me to an ophthalmologist and now I'm having a melt down that something is terribly wrong with me. I'm so scared I'm on the verge of throwing up and she was not very nice or sensitive even after I told her I have really bad anxiety from going to the doctor. She also said there wasnt any swelling or bleeding.</t>
        </is>
      </c>
      <c r="D498" t="n">
        <v>1</v>
      </c>
      <c r="E498" t="n">
        <v>1</v>
      </c>
      <c r="F498">
        <f>HYPERLINK("https://www.reddit.com/r/eyetriage/comments/c03fbh/blurred_optic_nerve/")</f>
        <v/>
      </c>
      <c r="G498" t="inlineStr">
        <is>
          <t>2019-06-13 01:57:43</t>
        </is>
      </c>
      <c r="H498" t="inlineStr"/>
    </row>
    <row r="499">
      <c r="A499" t="inlineStr">
        <is>
          <t>c06xen</t>
        </is>
      </c>
      <c r="B499" t="inlineStr">
        <is>
          <t>Is there a reason your eye would go from a large amount of astigmatism, to hardly any at all?</t>
        </is>
      </c>
      <c r="C499" t="inlineStr">
        <is>
          <t>(F) 57 yo. Huge vision change in dominant eye. Finally diagnosed with Fuch’s dystrophy and cataract on that eye, but my original eye doctor AND the corneal specialist said that I have hardly any astigmatism now. 
NOTE: I have had a 45 pound weight loss over a year, but they say it’s not related.</t>
        </is>
      </c>
      <c r="D499" t="n">
        <v>1</v>
      </c>
      <c r="E499" t="n">
        <v>9</v>
      </c>
      <c r="F499">
        <f>HYPERLINK("https://www.reddit.com/r/eyetriage/comments/c06xen/is_there_a_reason_your_eye_would_go_from_a_large/")</f>
        <v/>
      </c>
      <c r="G499" t="inlineStr">
        <is>
          <t>2019-06-13 08:05:00</t>
        </is>
      </c>
      <c r="H499" t="inlineStr"/>
    </row>
    <row r="500">
      <c r="A500" t="inlineStr">
        <is>
          <t>c086vu</t>
        </is>
      </c>
      <c r="B500" t="inlineStr">
        <is>
          <t>When are floaters normal?</t>
        </is>
      </c>
      <c r="C500" t="inlineStr">
        <is>
          <t>Intro - i am a patient!
So maybe around 2 years now I’ve gotten floaters in my right eye. I kind of ignored them for awhile, because it was just every so often when looking at a white wall or in bright light. 
Now, it’s constant. Whenever i look at anything white, I see them moving. There usually isn’t more than 1-2 at a time, but it’s different floaters each time, if that makes sense. This is my right eye. I noticed my vision in the right eye ONLY has also become increasingly blurry. I don’t have glasses, and had 20/15 vision throughout childhood to my early adult life. I haven’t been to the eye doctor in a long time.
So basically, I made an appointment June 27 to see. Of course I have read the internet, and am now worried I have retinal detachment. Is there anything else I should be on the lookout for?
 My left eye has no issues.</t>
        </is>
      </c>
      <c r="D500" t="n">
        <v>1</v>
      </c>
      <c r="E500" t="n">
        <v>2</v>
      </c>
      <c r="F500">
        <f>HYPERLINK("https://www.reddit.com/r/eyetriage/comments/c086vu/when_are_floaters_normal/")</f>
        <v/>
      </c>
      <c r="G500" t="inlineStr">
        <is>
          <t>2019-06-13 09:47:24</t>
        </is>
      </c>
      <c r="H500" t="inlineStr"/>
    </row>
    <row r="501">
      <c r="A501" t="inlineStr">
        <is>
          <t>c09any</t>
        </is>
      </c>
      <c r="B501" t="inlineStr">
        <is>
          <t>How to get correct glasses prescription</t>
        </is>
      </c>
      <c r="C501" t="inlineStr">
        <is>
          <t>For the last 20 years or so, I have had annual eye exams, resulting in increasing strength prescriptions.  These exams are always somewhat inexact, "which is better - A or B", when flipping lenses, etc.
But when I have glasses made to the prescription, I am never satisfied.  The prescription usually causes burning eyes or other discomfort.  I am reasonably sure the glasses are the right prescription.
What I really need is a way to try out a prescription before buying it - is that at all possible?</t>
        </is>
      </c>
      <c r="D501" t="n">
        <v>1</v>
      </c>
      <c r="E501" t="n">
        <v>3</v>
      </c>
      <c r="F501">
        <f>HYPERLINK("https://www.reddit.com/r/eyetriage/comments/c09any/how_to_get_correct_glasses_prescription/")</f>
        <v/>
      </c>
      <c r="G501" t="inlineStr">
        <is>
          <t>2019-06-13 11:14:38</t>
        </is>
      </c>
      <c r="H501" t="inlineStr"/>
    </row>
    <row r="502">
      <c r="A502" t="inlineStr">
        <is>
          <t>c09oml</t>
        </is>
      </c>
      <c r="B502" t="inlineStr">
        <is>
          <t>Pigment Dispersion Syndrome and Reynaud's Phenomenon</t>
        </is>
      </c>
      <c r="C502" t="inlineStr">
        <is>
          <t>So, I'm glad this subreddit got made cause I have a questions and I didn't want to bother y'all in your professional subreddits.
&amp;amp;#x200B;
7ish years ago my optometrist back home got that "take a picture of the back of you eye" machine. When he took mine he said I had "suspicious discs, my disc ratio was off and I had bright retinas". So he sent me to the ophthalmologist who said my pressures were fine. Everything was cool. Keep up with field of vision testing just in case.
&amp;amp;#x200B;
Cut to this year when I went to a new optometrist. Pictures are taken, and he's all like "anyone ever tell you" and I'm like "bright retinas, disc ratio off right? but pressures are fine so I prolly don't have glaucoma? Are you gonna make me go back to an ophthalmologist? " and then he laughed and referred me to an ophthalmologist again.
&amp;amp;#x200B;
This one found a very clear Zentmayer Ring and diagnosed me with pigment diversion syndrome. Which looking into doesn't seem that bad, I mean not great but like not awful and kinda interesting. But my pressures have never been up and it seems to me (completely medically uneducated pleb) that my optic nerves shouldn't look weird due to pigment diversion if my pressures aren't up?
&amp;amp;#x200B;
But she also asked about my extremities in the cold and I was like "That's a real thing? Yeah fingers and toes go white I lose range of motion from the elbow down". I legit just thought I was crazy and I feel super vindicated and like it's not my fault I break phones in the winter XD. And she said something about Raynaud's Phenomenon. Which just sailed over my head at the time cause.... well this is all a lot of info for someone who knows nothing. 
So with all that info it seems to me that she thinks it's something like this  [https://bjo.bmj.com/content/82/8/855](https://bjo.bmj.com/content/82/8/855) which is frankly kinda cool. 
&amp;amp;#x200B;
And now I'm all curious but not too worried cause the ophthalmologist seems super on top of things (visual field testing every 4 months, eye pictures every 6, and I have to keep a diary if my vision goes blurry due to exercise). Any insight would be appreciated. Sorry for being a google doctor.</t>
        </is>
      </c>
      <c r="D502" t="n">
        <v>1</v>
      </c>
      <c r="E502" t="n">
        <v>4</v>
      </c>
      <c r="F502">
        <f>HYPERLINK("https://www.reddit.com/r/eyetriage/comments/c09oml/pigment_dispersion_syndrome_and_reynauds/")</f>
        <v/>
      </c>
      <c r="G502" t="inlineStr">
        <is>
          <t>2019-06-13 11:45:20</t>
        </is>
      </c>
      <c r="H502" t="inlineStr"/>
    </row>
    <row r="503">
      <c r="A503" t="inlineStr">
        <is>
          <t>c0l6zf</t>
        </is>
      </c>
      <c r="B503" t="inlineStr">
        <is>
          <t>Intermittent wear of RGP</t>
        </is>
      </c>
      <c r="C503" t="inlineStr">
        <is>
          <t>Does anyone have experience with wearing RGPs intermittently, like 3-4 days a week? I ask because I heard that they can be difficult to get used to if you don't wear them continuously. That if you wear them intermittently you never get fully adjusted to them.
Does anyone have experience with this?</t>
        </is>
      </c>
      <c r="D503" t="n">
        <v>3</v>
      </c>
      <c r="E503" t="n">
        <v>0</v>
      </c>
      <c r="F503">
        <f>HYPERLINK("https://www.reddit.com/r/eyetriage/comments/c0l6zf/intermittent_wear_of_rgp/")</f>
        <v/>
      </c>
      <c r="G503" t="inlineStr">
        <is>
          <t>2019-06-14 08:08:28</t>
        </is>
      </c>
      <c r="H503" t="inlineStr"/>
    </row>
    <row r="504">
      <c r="A504" t="inlineStr">
        <is>
          <t>c0mps2</t>
        </is>
      </c>
      <c r="B504" t="inlineStr">
        <is>
          <t>I'm nearsighted can I become blind because of myopia?</t>
        </is>
      </c>
      <c r="C504" t="inlineStr">
        <is>
          <t>&amp;amp;#x200B;
Hello Good Day to you everyone. I'm currently 15 years old. I've been nearsighted when I was 11 or 12, It's because of excessive use of computer. My eye prescription is 300 last 2 years I dont know what that means but i guess it meant 20/300? When I first got my prescription it was like 20/120 and I was 12 years old that time I havent changed my eye glasses now and I think my vision is worsening. I would like to ask If I have severe myopia? because the doctor said that my eyesight jumped so high in just 3 years. Can I go blind because of this? Any tips on how can I stabilize my eyesight?
Thank you very much.</t>
        </is>
      </c>
      <c r="D504" t="n">
        <v>1</v>
      </c>
      <c r="E504" t="n">
        <v>4</v>
      </c>
      <c r="F504">
        <f>HYPERLINK("https://www.reddit.com/r/eyetriage/comments/c0mps2/im_nearsighted_can_i_become_blind_because_of/")</f>
        <v/>
      </c>
      <c r="G504" t="inlineStr">
        <is>
          <t>2019-06-14 10:19:32</t>
        </is>
      </c>
      <c r="H504" t="inlineStr"/>
    </row>
    <row r="505">
      <c r="A505" t="inlineStr">
        <is>
          <t>c0penj</t>
        </is>
      </c>
      <c r="B505" t="inlineStr">
        <is>
          <t>Do I have dry or something else?</t>
        </is>
      </c>
      <c r="C505" t="inlineStr">
        <is>
          <t>So for some reason, I only started feeling dry eye symptoms(if it actually IS dry eye) when I'm using the computer for a while. My eyes would get red and hurt (sting). 
As soon as I get my eyes away the computer screen I'm fine. What's going on with my eyes? I've been like this for 3 months. Seen an ophtalmologist that said my eyes were fine. Ok, if my eyes are fine why do I feel pain and why do they get red almost everytime I'm using the computer?
Can you actually have dry eye if you don't feel like your eyes are dry? I know that some people say they have dry eyes because they actually feel like they are dry, but I don't feel like my eyes are dry at all. So do I still have dry eyes or is it something else?
PS: I'm already taking some eye drops but they don't help with my problem.</t>
        </is>
      </c>
      <c r="D505" t="n">
        <v>1</v>
      </c>
      <c r="E505" t="n">
        <v>0</v>
      </c>
      <c r="F505">
        <f>HYPERLINK("https://www.reddit.com/r/eyetriage/comments/c0penj/do_i_have_dry_or_something_else/")</f>
        <v/>
      </c>
      <c r="G505" t="inlineStr">
        <is>
          <t>2019-06-14 14:16:23</t>
        </is>
      </c>
      <c r="H505" t="inlineStr"/>
    </row>
    <row r="506">
      <c r="A506" t="inlineStr">
        <is>
          <t>c0piin</t>
        </is>
      </c>
      <c r="B506" t="inlineStr">
        <is>
          <t>Do I have dry eye or is it something else?</t>
        </is>
      </c>
      <c r="C506" t="inlineStr">
        <is>
          <t>So for some reason, I only started feeling dry eye symptoms(if it actually IS dry eye) when I'm using the computer for a while. On average 1-2 hours of computer use. My eyes would get red and then they start hurting (stinging sensation). I wasn't like this until recently. I'm 23 years old. 
As soon as I get my eyes away from the computer screen I'm fine. What's going on with my eyes? I've been like this for 3 months. Seen an ophtalmologist that examined my eyes and she basically said I have nothing to worry about and that my eyes are fine. Ok, if my eyes are fine why do I feel pain and why do they get red almost everytime I'm using the computer?
Can you actually have dry eye if you don't feel like your eyes are dry? I know that some people say they have dry eyes because their eyes actually feel dry, but I don't feel like my eyes are dry at all. So do I still have dry eyes or is it something else?
I look in the mirror every day to monitor my eyes and I noticed that every week or so a new vein appears in one of my eyes and it's scaring me. If the symptoms don't stop then my eyes are going to be full of veins
PS: I'm already taking some eye drops but they don't help with my problem. And I'm not on any other meds.</t>
        </is>
      </c>
      <c r="D506" t="n">
        <v>3</v>
      </c>
      <c r="E506" t="n">
        <v>13</v>
      </c>
      <c r="F506">
        <f>HYPERLINK("https://www.reddit.com/r/eyetriage/comments/c0piin/do_i_have_dry_eye_or_is_it_something_else/")</f>
        <v/>
      </c>
      <c r="G506" t="inlineStr">
        <is>
          <t>2019-06-14 14:26:33</t>
        </is>
      </c>
      <c r="H506" t="inlineStr"/>
    </row>
    <row r="507">
      <c r="A507" t="inlineStr">
        <is>
          <t>c0zhaq</t>
        </is>
      </c>
      <c r="B507" t="inlineStr">
        <is>
          <t>Can a balance lease make vision worse?</t>
        </is>
      </c>
      <c r="C507" t="inlineStr">
        <is>
          <t>Question for any opticians, ophthalmologists, optometrists etc. can a balance lens make an eye's ability to see worse? I have a balance lens and it occurred to me today (picked up my glasses today) and the balance lens makes my lazy eyes already poor vision worse while making my overall vision better.</t>
        </is>
      </c>
      <c r="D507" t="n">
        <v>1</v>
      </c>
      <c r="E507" t="n">
        <v>3</v>
      </c>
      <c r="F507">
        <f>HYPERLINK("https://www.reddit.com/r/eyetriage/comments/c0zhaq/can_a_balance_lease_make_vision_worse/")</f>
        <v/>
      </c>
      <c r="G507" t="inlineStr">
        <is>
          <t>2019-06-15 10:00:21</t>
        </is>
      </c>
      <c r="H507" t="inlineStr"/>
    </row>
    <row r="508">
      <c r="A508" t="inlineStr">
        <is>
          <t>c10vb4</t>
        </is>
      </c>
      <c r="B508" t="inlineStr">
        <is>
          <t>After I got some bleach in my eye, my vision without my glasses is worse. But in the morning its perfectly fine. Any idea why that could be?</t>
        </is>
      </c>
      <c r="C508" t="inlineStr">
        <is>
          <t>I (think) I got bleach in my eye--I likely did. So I rinsed it out for a long time and went to the optometrist the day after for an emergency visit (the ophthalmologists were booked). He told me my corneas were perfectly clear and fine, pH was normal, vision was 20/20, etc. A couple weeks later I decided to book a visit to my regular ophthalmologist since I noticed that I sort of had discomfort and double vision in that eye when closing my right eye. I also noticed that when I looked at my phone close up with my right eye, it was fine, but the left eye the vision was just worse/sort of blurry.
Anyway, he told me that there were a couple irregularities on my cornea and some blood vessels that shouldnt be there. He said the blood vessels were likely from me wearing contacts the night before while my eyes were dry. He told me the other irregularity/irregularities were from dry eye and that both my eyes have droopy lids because I probably have sleep apnea which contributes to this. He was quite adamant the irregularities were not from bleach. He told me it'd be a lot worse and would look different to him and that he's seen bleach damage before.
Anyway, he told me to use a gel at night before sleep and wet my eyes 4-5 times a day and that the damage was impermanent. I do think the double vision thing is probably kind of normal because I notice it to a degree in my right eye. However, whats going on with the vision in my left eye being fine (when I look at my phone) in the morning but not later on in the day? I dont think it gets progressively worse, but it does get worse shortly after I wake up and stays that way.
Is it the drops causing this? I just dont get why its fine in the morning. I do sometimes feel like my eye always sort of stings (left, not right). I notice it seems to be getting slightly better, however. I was told that maybe my eye is having an adverse reaction to the preservatives and use a preservative free one. Should I use an ointment at night instead of a gel? I dunno what the best course of action here is.
THANK YOU!</t>
        </is>
      </c>
      <c r="D508" t="n">
        <v>1</v>
      </c>
      <c r="E508" t="n">
        <v>6</v>
      </c>
      <c r="F508">
        <f>HYPERLINK("https://www.reddit.com/r/eyetriage/comments/c10vb4/after_i_got_some_bleach_in_my_eye_my_vision/")</f>
        <v/>
      </c>
      <c r="G508" t="inlineStr">
        <is>
          <t>2019-06-15 12:05:49</t>
        </is>
      </c>
      <c r="H508" t="inlineStr"/>
    </row>
    <row r="509">
      <c r="A509" t="inlineStr">
        <is>
          <t>c12cxb</t>
        </is>
      </c>
      <c r="B509" t="inlineStr">
        <is>
          <t>What causes sluggish pupils?</t>
        </is>
      </c>
      <c r="C509" t="inlineStr">
        <is>
          <t>What can cause sluggish pupils? Pupils now stay small and eye doc said they are sluggish. 
Not looking for a diagnosis as I have too much going on. Just looking for anything that can cause this, (so I can look it up and if it might be something bring it up to one of my eye docs that’s listening and I feel would be open to a suggestion like this.)
especially rare (something you don’t typically think of)  
Thanks</t>
        </is>
      </c>
      <c r="D509" t="n">
        <v>1</v>
      </c>
      <c r="E509" t="n">
        <v>2</v>
      </c>
      <c r="F509">
        <f>HYPERLINK("https://www.reddit.com/r/eyetriage/comments/c12cxb/what_causes_sluggish_pupils/")</f>
        <v/>
      </c>
      <c r="G509" t="inlineStr">
        <is>
          <t>2019-06-15 14:28:32</t>
        </is>
      </c>
      <c r="H509" t="inlineStr"/>
    </row>
    <row r="510">
      <c r="A510" t="inlineStr">
        <is>
          <t>c16fap</t>
        </is>
      </c>
      <c r="B510" t="inlineStr">
        <is>
          <t>Lotemax question</t>
        </is>
      </c>
      <c r="C510" t="inlineStr">
        <is>
          <t>Hi! I am trying to find the right contact lenses for me but every lens I try burns my eyes a lot. My eye doc says my eyes have inflammation/allergies and prescribed lotemax to help calm it down before trying any new contacts; however, I am a 20 year old with high IOP (wavers between 23-29 every time I get it checked). I read that of the possible side effects of lotemax is that it can increase IOP so I have some concern about it - any thoughts?</t>
        </is>
      </c>
      <c r="D510" t="n">
        <v>1</v>
      </c>
      <c r="E510" t="n">
        <v>8</v>
      </c>
      <c r="F510">
        <f>HYPERLINK("https://www.reddit.com/r/eyetriage/comments/c16fap/lotemax_question/")</f>
        <v/>
      </c>
      <c r="G510" t="inlineStr">
        <is>
          <t>2019-06-15 22:03:28</t>
        </is>
      </c>
      <c r="H510" t="inlineStr"/>
    </row>
    <row r="511">
      <c r="A511" t="inlineStr">
        <is>
          <t>c1goq6</t>
        </is>
      </c>
      <c r="B511" t="inlineStr">
        <is>
          <t>White Build-up on Eye Drop Bottle</t>
        </is>
      </c>
      <c r="C511" t="inlineStr">
        <is>
          <t>I take Betagan for high IOP and have noticed a white build-up on the dropper part of the bottle. I was wondering what causes this and if it affects the effectiveness of the drop.</t>
        </is>
      </c>
      <c r="D511" t="n">
        <v>1</v>
      </c>
      <c r="E511" t="n">
        <v>0</v>
      </c>
      <c r="F511">
        <f>HYPERLINK("https://www.reddit.com/r/eyetriage/comments/c1goq6/white_buildup_on_eye_drop_bottle/")</f>
        <v/>
      </c>
      <c r="G511" t="inlineStr">
        <is>
          <t>2019-06-16 16:51:26</t>
        </is>
      </c>
      <c r="H511" t="inlineStr"/>
    </row>
    <row r="512">
      <c r="A512" t="inlineStr">
        <is>
          <t>c1iznt</t>
        </is>
      </c>
      <c r="B512" t="inlineStr">
        <is>
          <t>Blind Spot in Eye</t>
        </is>
      </c>
      <c r="C512" t="inlineStr">
        <is>
          <t>Hello. I am a 23 year old male, 5’5, 135lbs. I do have poor vision about -6.00, but otherwise no notable eye health events. I work as an analyst in the financial sector. 
About 6 weeks ago I noticed a weird after-image / gray-ish mark in my left eye. I have now established that this is a very small blind spot. The spot is very small, about the size of a comma and in my upper left central vision. It seems to be vertical, like the shape of an I. The mark does not and has not moved at all. 
I first noticed the day after that my mouse cursor can partially disappear in my vision. I can also make very small things disappear in my vision. I can make a red laser pointer, pointed at a wall 10 feet away, completely disappear. 
After 6 weeks of tinkering with the spot in my vision I have a few main descriptions of it: It is most visible when looking at things with high contrast, like black text on a white background. It is best described as a tiny water droplet on my glasses. It seems to take on the color of things around it’s perimeter. It is definitely taller than it is wide. 
I have been to an optometrist and ophthalmologist. Neither doctors found anything wrong with my eyes. The ophthalmologist did the basic retinal scan and ordered an blood flow test. They injected me with ink/indicator, and took quite a few pictures with a very bright light. They did not find any leakage or damaged vessels. His advice was to come back two weeks later. I did so, and no difference. He said hopefully it would go away and to call if anything changes. 
Any ideas what this could be? Who should I see next? I’m a bit nervous because I don’t want this to get worse while I sit here without a diagnosis.</t>
        </is>
      </c>
      <c r="D512" t="n">
        <v>1</v>
      </c>
      <c r="E512" t="n">
        <v>18</v>
      </c>
      <c r="F512">
        <f>HYPERLINK("https://www.reddit.com/r/eyetriage/comments/c1iznt/blind_spot_in_eye/")</f>
        <v/>
      </c>
      <c r="G512" t="inlineStr">
        <is>
          <t>2019-06-16 20:57:31</t>
        </is>
      </c>
      <c r="H512" t="inlineStr"/>
    </row>
    <row r="513">
      <c r="A513" t="inlineStr">
        <is>
          <t>c1o0m1</t>
        </is>
      </c>
      <c r="B513" t="inlineStr">
        <is>
          <t>Why are some hydrogen peroxide solutions for soft lenses only and others for RGP too, when the ingredients are exactly the same?</t>
        </is>
      </c>
      <c r="C513" t="inlineStr">
        <is>
          <t>I don't get it, aren't they all just 3% hydrogen peroxide? Why are some intended to be used only for soft contact lenses and others for all kinds? I even saw one that was intended for soft that explicitly said it's not to be used with RGP.</t>
        </is>
      </c>
      <c r="D513" t="n">
        <v>1</v>
      </c>
      <c r="E513" t="n">
        <v>0</v>
      </c>
      <c r="F513">
        <f>HYPERLINK("https://www.reddit.com/r/eyetriage/comments/c1o0m1/why_are_some_hydrogen_peroxide_solutions_for_soft/")</f>
        <v/>
      </c>
      <c r="G513" t="inlineStr">
        <is>
          <t>2019-06-17 07:15:26</t>
        </is>
      </c>
      <c r="H513" t="inlineStr"/>
    </row>
    <row r="514">
      <c r="A514" t="inlineStr">
        <is>
          <t>c1scid</t>
        </is>
      </c>
      <c r="B514" t="inlineStr">
        <is>
          <t>I accidentally splashed toilet bowl cleaner into my eyes, feels totally fine but I am paranoid.</t>
        </is>
      </c>
      <c r="C514" t="inlineStr">
        <is>
          <t>I’m a 19 year old female and I was cleaning the inside of the toilet and the toilet bowl cleaner I was using (the brand is Harpic) splashed into both eyes. I washed my eyes immediately. I don’t have eye drops so I just used water.
The bottle says to get medical advice but I went to the hospital and they told me that the eye specialist doctors were not available at that time. (Around night) 
I have felt no burning sensation, no tears, no irritation except a bit of discomfort and redness in particular areas of my eyes which I assume might be because I washed them?
Other than that I feel completely fine, no change in vision so far. I’m just paranoid and was wondering if I’ll be fine since I can’t visit the doctor until tomorrow and will have to sleep until then. Will it be alright?</t>
        </is>
      </c>
      <c r="D514" t="n">
        <v>2</v>
      </c>
      <c r="E514" t="n">
        <v>3</v>
      </c>
      <c r="F514">
        <f>HYPERLINK("https://www.reddit.com/r/eyetriage/comments/c1scid/i_accidentally_splashed_toilet_bowl_cleaner_into/")</f>
        <v/>
      </c>
      <c r="G514" t="inlineStr">
        <is>
          <t>2019-06-17 13:03:45</t>
        </is>
      </c>
      <c r="H514" t="inlineStr"/>
    </row>
    <row r="515">
      <c r="A515" t="inlineStr">
        <is>
          <t>c1wiof</t>
        </is>
      </c>
      <c r="B515" t="inlineStr">
        <is>
          <t>What can cause darkening vision when the eyes are healthy?</t>
        </is>
      </c>
      <c r="C515" t="inlineStr">
        <is>
          <t>DISCLAIMER: I just posted this in [r/AskDocs](https://www.reddit.com/r/AskDocs/) but I posted a few weeks ago too and no one answered there, so I'm hoping for better luck here. If this isn't the right sub for this, please let me know, and if anyone knows where else I should go, that advice would be appreciated as well.
I am posting on behalf of my boyfriend, who asked me to make this post for him. He has been suffering worsening vision issues and is currently under the care of a neuro-opthamologist (EDIT: JK, they just sent him to a regular opthamologist that did the same basic eye exam everyone else has done countless times and sent him on his way saying they're the healthiest eyes they'd ever seen) as a last-ditch effort to find out what is wrong with him, but no one has answers yet. Hoping to spitball a little and get some ideas.
* Age - 28
* Sex - M
* Height - 6'2"
* Weight - 185
* Race - White
* Duration of complaint - lifelong but worsening on and off since 2014, latest bout of worsening started in March, has become debilitating enough that he had to quit his job, has never improved, only gotten worse
* Location (Geographic and on body) - New Hampshire, eyes
* Any existing relevant medical issues (if any) - ocular migraines, under-active thyroid, anxiety and depression (mostly related to his eyes)
* Current medications (if any) - Buspar - 15mg, Levothyroxine, Lexapro - 5mg, Amytriptaline - 25mg
Symptoms and other pertinent information:
* Darkening vision- feels like eyes are constantly adjusting from coming in from outside on a bright day, regardless of whether he is inside or outside or if it is actually bright out. This does not come and go. It is constant.
* Seems as if things are moving over his field of vision, like a flickering effect, a waterfall of floaters has happened on occasion
* Very red eyes by the end of the day, though he usually says they don't hurt
* Ocular migraine – bright rainbow light in the middle of vision, both eyes
* Dizziness and balance issues that come and go
* Headaches and stiff neck, sore throat that comes and goes
* MRI showed possible infection in forehead/sinuses, currently on an antibiotic for that but nothing has changed
The internet has been extremely unhelpful in giving us ideas about what could cause darkening vision when the eyes have been checked multiple times and everything always comes up structurally healthy. He has a family member that went blind due to MS, so he has been tested for this, but so far all tests have come back negative. 2 MRIs, a CAT scan, X-ray, and all they have found is that he has mild scoliosis and a possible sinus infection. He's so stressed about this that he can't sleep and spends most of the day laying around depressed because he's going blind and no one can tell him why. It's devastating to watch and feels so unfair. Any insight into this would be amazing. Good or bad, we just want answers.</t>
        </is>
      </c>
      <c r="D515" t="n">
        <v>2</v>
      </c>
      <c r="E515" t="n">
        <v>4</v>
      </c>
      <c r="F515">
        <f>HYPERLINK("https://www.reddit.com/r/eyetriage/comments/c1wiof/what_can_cause_darkening_vision_when_the_eyes_are/")</f>
        <v/>
      </c>
      <c r="G515" t="inlineStr">
        <is>
          <t>2019-06-17 19:18:39</t>
        </is>
      </c>
      <c r="H515" t="inlineStr"/>
    </row>
    <row r="516">
      <c r="A516" t="inlineStr">
        <is>
          <t>c1xsx3</t>
        </is>
      </c>
      <c r="B516" t="inlineStr">
        <is>
          <t>Calcium deposits in eye</t>
        </is>
      </c>
      <c r="C516" t="inlineStr">
        <is>
          <t>Hello there! I was hoping someone could give some advice or maybe just some info. I recently started having some blurriness in my left eye so I went the optometrist for the first time since I was 16 (29 now). Everything went fine, got my prescription but something really piqued my interest. When he was looking at my eyes while they were dilated, he said he saw something very interesting.  He said I had calcium deposits in one of my eyes. He asked if I had high cholesterol or diabetes. I told him no and asked if I needed to worry about that. He said no, it's probably nothing serious, the calcium deposits are pretty benign. It just got me thinking... I've gone to the doctor pretty frequently for the past couple years because of serious fatigue, insomnia, light headedness, etc. So far, blood work and everything seems normal. Maybe it's just all in my head. I was just wondering if it would be worth making another appointment with my GP just to make sure or if it's something not at all to worry about? Thanks :)</t>
        </is>
      </c>
      <c r="D516" t="n">
        <v>3</v>
      </c>
      <c r="E516" t="n">
        <v>3</v>
      </c>
      <c r="F516">
        <f>HYPERLINK("https://www.reddit.com/r/eyetriage/comments/c1xsx3/calcium_deposits_in_eye/")</f>
        <v/>
      </c>
      <c r="G516" t="inlineStr">
        <is>
          <t>2019-06-17 21:35:07</t>
        </is>
      </c>
      <c r="H516" t="inlineStr"/>
    </row>
    <row r="517">
      <c r="A517" t="inlineStr">
        <is>
          <t>c1ynf3</t>
        </is>
      </c>
      <c r="B517" t="inlineStr">
        <is>
          <t>Astigmatism</t>
        </is>
      </c>
      <c r="C517" t="inlineStr">
        <is>
          <t>Heeeyyy. Hi. I need advise? I have Astigmatism and Myopia with blurry vision. I want to be a Police Officer and one requirement is 20/20 vision. Can vitamins really treat Astigmatism? What kind of surgery will i need?</t>
        </is>
      </c>
      <c r="D517" t="n">
        <v>1</v>
      </c>
      <c r="E517" t="n">
        <v>1</v>
      </c>
      <c r="F517">
        <f>HYPERLINK("https://www.reddit.com/r/eyetriage/comments/c1ynf3/astigmatism/")</f>
        <v/>
      </c>
      <c r="G517" t="inlineStr">
        <is>
          <t>2019-06-17 23:15:26</t>
        </is>
      </c>
      <c r="H517" t="inlineStr"/>
    </row>
    <row r="518">
      <c r="A518" t="inlineStr">
        <is>
          <t>c20t5o</t>
        </is>
      </c>
      <c r="B518" t="inlineStr">
        <is>
          <t>painful eye drops for Corneal Ulcer</t>
        </is>
      </c>
      <c r="C518" t="inlineStr">
        <is>
          <t>my dad is doctor, On 7th june, he was treating his patients when he had irritation in his right eye. Next day his eye turned red and left eye also showed redness. He went to see eye specialist and he gave eye drops. He used them and his left eye recovered but the right one (which got infected before) stayed same. By this time, his eye cornea was red, his eye lids swollen and lens had yellowish matter. He couldn't see, only sense light. We went to see another Eye specialist. He gave antibacterial and antiviral eye drops but it didn't change anything. We went to see another doctor this friday, he said it's Corneal Ulcer and told us to use eye drops (listed below). He used them on friday and saturday and little bit on Sunday. On Monday we saw doctor again, he said there's little improvement and he added another drop Amphotecin ,which he said is anti-fungal, to the list. The 4 drops we were using since friday, burned dad's eyes. They're painful, I need to ask is it normal?? Also As soon as I put the drops in, his eye lids get swollen. Yesterday after the doctor visit when I put 1 drop of Amphotecin in his eye, he screamed in pain. Is the pain normal? or drops badly made, with improper base solution? also Moxifloxacin HCL burns his eye while plain Moxifloxacin doesn't. We asked doctor if he can use plain one, he said HCL one is from a better brand so he should keep using this one.
Vancomycin 50mg/mL
Amikacin 33mg/mL
ceftazedime 5%
moxifloxacin hydrochloride 0.5%
Amphotericin 0.5%  
Every hour... and  
 Levobunolol HCl 0.5%, Atropine sulphate, Fluorometholone 0.1%, brimonidine Tartate 0.2% twice a day.</t>
        </is>
      </c>
      <c r="D518" t="n">
        <v>1</v>
      </c>
      <c r="E518" t="n">
        <v>1</v>
      </c>
      <c r="F518">
        <f>HYPERLINK("https://www.reddit.com/r/eyetriage/comments/c20t5o/painful_eye_drops_for_corneal_ulcer/")</f>
        <v/>
      </c>
      <c r="G518" t="inlineStr">
        <is>
          <t>2019-06-18 03:55:40</t>
        </is>
      </c>
      <c r="H518" t="inlineStr"/>
    </row>
    <row r="519">
      <c r="A519" t="inlineStr">
        <is>
          <t>c21e62</t>
        </is>
      </c>
      <c r="B519" t="inlineStr">
        <is>
          <t>[Q] Eye drops for bacterial conjunctivitis</t>
        </is>
      </c>
      <c r="C519" t="inlineStr">
        <is>
          <t xml:space="preserve"> Hello, guys. A patient with (currently) mild bacterial conjunctivitis here.
I was prescribed Vigamox (moxifloxacin) eye drops for my condition, but I developed severe side effects from it and stopped usage the first day. At this point my eyes look much better and I'm thinking to switch to Tobradex or let the conjunctivitis go away on its own, but my doc is only available on Wednesdays and Fridays, and have not met with him again yet to talk about this. However, I'm a bit scared of aminoglycosides. I know they are ototoxic and neurotoxic. Are they completely safe to use as eye drops from this point of view (ototoxicity, neurotoxicity)?
Also, I heard about azithromycin, but don't know much about it. Any opinions on that for my condition?</t>
        </is>
      </c>
      <c r="D519" t="n">
        <v>1</v>
      </c>
      <c r="E519" t="n">
        <v>5</v>
      </c>
      <c r="F519">
        <f>HYPERLINK("https://www.reddit.com/r/eyetriage/comments/c21e62/q_eye_drops_for_bacterial_conjunctivitis/")</f>
        <v/>
      </c>
      <c r="G519" t="inlineStr">
        <is>
          <t>2019-06-18 05:02:19</t>
        </is>
      </c>
      <c r="H519" t="inlineStr"/>
    </row>
    <row r="520">
      <c r="A520" t="inlineStr">
        <is>
          <t>c22i7x</t>
        </is>
      </c>
      <c r="B520" t="inlineStr">
        <is>
          <t>MGD and Retinoids</t>
        </is>
      </c>
      <c r="C520" t="inlineStr">
        <is>
          <t xml:space="preserve"> I  a 31 y/o female patient who has been suffering with dry eyes for the  last 7ish years. I am currently under the care of an optometrist and  when I am able to tolerate contact lenses I use Dailies Total 1. I  regularly use eyelids wipes, take quality fish oil supplements, use an  eye mask for warm compresses and express my glands at home nightly (or  sometimes every other night if I'm feeling lazy and my eyes are doing  okay). My optometrist has also prescribed an antibiotic and antibiotic  ointments in the past for me to take. I do all of this and my eyes are  still exceptionally dry and I typically can't wear contacts for more  than a few hours.
I just realized that my  dry eyes somewhat coincide with my use of retinoids for my acne. I also  took accutane when I was in high school (about 17ish years ago). While I  don't put the retinoids any where near my eyelids, is it possible that  this is contributing to my dry eyes? I’ve decided to switch to a non  retinoid medication, at least for the time being to see if it helps. If  not, my next step will be Lipiflow. Any insight or tips would be  appreciated. Thank you!</t>
        </is>
      </c>
      <c r="D520" t="n">
        <v>2</v>
      </c>
      <c r="E520" t="n">
        <v>3</v>
      </c>
      <c r="F520">
        <f>HYPERLINK("https://www.reddit.com/r/eyetriage/comments/c22i7x/mgd_and_retinoids/")</f>
        <v/>
      </c>
      <c r="G520" t="inlineStr">
        <is>
          <t>2019-06-18 06:52:02</t>
        </is>
      </c>
      <c r="H520" t="inlineStr"/>
    </row>
    <row r="521">
      <c r="A521" t="inlineStr">
        <is>
          <t>c2ik94</t>
        </is>
      </c>
      <c r="B521" t="inlineStr">
        <is>
          <t>Eye pressure drops question</t>
        </is>
      </c>
      <c r="C521" t="inlineStr">
        <is>
          <t>I’ve been on Cosopt (dorzolamide and timolol) for well over a decade and it’s always been one bottle. According to my doctor there was a shortage, so I now receive two separate bottles so it’s not combined (yellow cap and pinkish cap). Do I need to wait 5 minutes in between these two drops like I do for others, or put them in right after the other? Thanks!</t>
        </is>
      </c>
      <c r="D521" t="n">
        <v>1</v>
      </c>
      <c r="E521" t="n">
        <v>3</v>
      </c>
      <c r="F521">
        <f>HYPERLINK("https://www.reddit.com/r/eyetriage/comments/c2ik94/eye_pressure_drops_question/")</f>
        <v/>
      </c>
      <c r="G521" t="inlineStr">
        <is>
          <t>2019-06-19 08:36:19</t>
        </is>
      </c>
      <c r="H521" t="inlineStr"/>
    </row>
    <row r="522">
      <c r="A522" t="inlineStr">
        <is>
          <t>c2jr98</t>
        </is>
      </c>
      <c r="B522" t="inlineStr">
        <is>
          <t>Is there an online community that deals with people who have a posterior vitreous detachment in both eyes?</t>
        </is>
      </c>
      <c r="C522" t="inlineStr">
        <is>
          <t>I was told I had a posterior vitreous detachment (PVD) in both eyes at once, and I have so many eye floaters it's horrible.  It's like having to look through a dirty fishbowl every second of every day.  It's been going on for about 2 months now.  When I read about PVD it said it mostly happened to people in their 50s and I'm in my 30s so I don't understand why this happened to me.  My last eye doctor told me there wasn't much that could be done for this and he didn't recommend a vitrectomy since he said it could cause cataracts.
Has anyone else dealt with a PVD?  I've been extremely stressed out and depressed because of this issue.  Is there a subreddit or some type of community that talks about stuff like this?  I've been searching for PVD groups but haven't had much luck.</t>
        </is>
      </c>
      <c r="D522" t="n">
        <v>2</v>
      </c>
      <c r="E522" t="n">
        <v>15</v>
      </c>
      <c r="F522">
        <f>HYPERLINK("https://www.reddit.com/r/eyetriage/comments/c2jr98/is_there_an_online_community_that_deals_with/")</f>
        <v/>
      </c>
      <c r="G522" t="inlineStr">
        <is>
          <t>2019-06-19 10:13:38</t>
        </is>
      </c>
      <c r="H522" t="inlineStr"/>
    </row>
    <row r="523">
      <c r="A523" t="inlineStr">
        <is>
          <t>c2kn5t</t>
        </is>
      </c>
      <c r="B523" t="inlineStr">
        <is>
          <t>Getting RGP contact lenses made and different brands</t>
        </is>
      </c>
      <c r="C523" t="inlineStr">
        <is>
          <t>I'm having trouble finding the answer to this online:  
I see that there are different brands and models of RGP lenses, yet I know each pair of RGP lenses is made specifically for the individual. So is it that these different models represent different materials that you choose once the doctor has taken your measurements? That you're choosing the material from which your lenses will be made?
Because, again, these different models like Boston and so forth aren't stock, ready to wear lenses, so... what are they?</t>
        </is>
      </c>
      <c r="D523" t="n">
        <v>1</v>
      </c>
      <c r="E523" t="n">
        <v>9</v>
      </c>
      <c r="F523">
        <f>HYPERLINK("https://www.reddit.com/r/eyetriage/comments/c2kn5t/getting_rgp_contact_lenses_made_and_different/")</f>
        <v/>
      </c>
      <c r="G523" t="inlineStr">
        <is>
          <t>2019-06-19 11:22:55</t>
        </is>
      </c>
      <c r="H523" t="inlineStr"/>
    </row>
    <row r="524">
      <c r="A524" t="inlineStr">
        <is>
          <t>c2tt3o</t>
        </is>
      </c>
      <c r="B524" t="inlineStr">
        <is>
          <t>Things look weird in new glasses</t>
        </is>
      </c>
      <c r="C524" t="inlineStr">
        <is>
          <t>I got new glasses last week and things look strange.
Walls look like slightly concave, like they are just slightly protruding towards me and then when I take the glasses off they're flat. When I look at a straight vertical line and I rotate my head left and right, the upper and lower parts of the line (the ones that are at the outer edges of the lens) begin to bend very slightly in the direction I'm turning my head.
Also floors look strange.
What is this due to? Are the axis of my cylinders off (I have them in both eyes)?
Is this something to be worried about or can I just leave the glasses be if it doesn't bother me? I'm too tired to go argue over this with the place that made the glasses.</t>
        </is>
      </c>
      <c r="D524" t="n">
        <v>2</v>
      </c>
      <c r="E524" t="n">
        <v>5</v>
      </c>
      <c r="F524">
        <f>HYPERLINK("https://www.reddit.com/r/eyetriage/comments/c2tt3o/things_look_weird_in_new_glasses/")</f>
        <v/>
      </c>
      <c r="G524" t="inlineStr">
        <is>
          <t>2019-06-20 02:17:16</t>
        </is>
      </c>
      <c r="H524" t="inlineStr"/>
    </row>
    <row r="525">
      <c r="A525" t="inlineStr">
        <is>
          <t>c309ul</t>
        </is>
      </c>
      <c r="B525" t="inlineStr">
        <is>
          <t>If I get fitted for RGPs can I also wear soft lenses?</t>
        </is>
      </c>
      <c r="C525" t="inlineStr">
        <is>
          <t>I'd like to wear RGPs, but from time to time, for lifestyle and convenience reasons, I'd like to wear daily disposable lenses.
If I get fitted for RGPs, will I then have all the info (base curve?) needed to buy soft lenses for myself off the shelf and be able to just start using them, or should I have a doctor do an examination for the soft lenses separately?</t>
        </is>
      </c>
      <c r="D525" t="n">
        <v>1</v>
      </c>
      <c r="E525" t="n">
        <v>1</v>
      </c>
      <c r="F525">
        <f>HYPERLINK("https://www.reddit.com/r/eyetriage/comments/c309ul/if_i_get_fitted_for_rgps_can_i_also_wear_soft/")</f>
        <v/>
      </c>
      <c r="G525" t="inlineStr">
        <is>
          <t>2019-06-20 12:20:46</t>
        </is>
      </c>
      <c r="H525" t="inlineStr"/>
    </row>
    <row r="526">
      <c r="A526" t="inlineStr">
        <is>
          <t>c32mca</t>
        </is>
      </c>
      <c r="B526" t="inlineStr">
        <is>
          <t>What can cause damage to superior macula?</t>
        </is>
      </c>
      <c r="C526" t="inlineStr">
        <is>
          <t>What can cause damage to superior macula? 
Thanks</t>
        </is>
      </c>
      <c r="D526" t="n">
        <v>1</v>
      </c>
      <c r="E526" t="n">
        <v>0</v>
      </c>
      <c r="F526">
        <f>HYPERLINK("https://www.reddit.com/r/eyetriage/comments/c32mca/what_can_cause_damage_to_superior_macula/")</f>
        <v/>
      </c>
      <c r="G526" t="inlineStr">
        <is>
          <t>2019-06-20 15:36:45</t>
        </is>
      </c>
      <c r="H526" t="inlineStr"/>
    </row>
    <row r="527">
      <c r="A527" t="inlineStr">
        <is>
          <t>c33o6j</t>
        </is>
      </c>
      <c r="B527" t="inlineStr">
        <is>
          <t>Sun was in my eyes while playing basketball. Will my eyes get damaged?</t>
        </is>
      </c>
      <c r="C527" t="inlineStr">
        <is>
          <t>So an hour before sundown, my friends and I went to an outdoor basketball court to play. The sun was was basically shining in my eyes directly when I went to shoot the ball many times since it was basically right above the basket. Will this cause eye damage? Is an hour before sundown still dangerous cause I’ve heard the sun is most dangerous at noon.</t>
        </is>
      </c>
      <c r="D527" t="n">
        <v>1</v>
      </c>
      <c r="E527" t="n">
        <v>5</v>
      </c>
      <c r="F527">
        <f>HYPERLINK("https://www.reddit.com/r/eyetriage/comments/c33o6j/sun_was_in_my_eyes_while_playing_basketball_will/")</f>
        <v/>
      </c>
      <c r="G527" t="inlineStr">
        <is>
          <t>2019-06-20 17:30:15</t>
        </is>
      </c>
      <c r="H527" t="inlineStr"/>
    </row>
    <row r="528">
      <c r="A528" t="inlineStr">
        <is>
          <t>c37ghc</t>
        </is>
      </c>
      <c r="B528" t="inlineStr">
        <is>
          <t>Big pupil And High Order Aberration</t>
        </is>
      </c>
      <c r="C528" t="inlineStr">
        <is>
          <t>15 year old
Right :  -7.50 -1.00Cyl   
Left   :  -7.00 -1.50Cyl
Problem: Severe Ghosting,Halo,Starburst,
                   After image
Causes:Big pupil 9.33mm in the dark
Treatment : Alphagan P --&amp;gt; Worked for 2 weeks then gave Side starburst and worser Afterimage
                        Pilocarpine 2%/Isopto Carpine
Not used yet because scared of Retinal Detachment. Is it safe???
Question: What cause this problem?
                     Is pilocarpine safe for me?
Information: 15 year old Asian no eye disease healthy retina, Healthy Cornea,No family History of anything related to eye disease
Sorry for my bad english thanks for any reply.</t>
        </is>
      </c>
      <c r="D528" t="n">
        <v>3</v>
      </c>
      <c r="E528" t="n">
        <v>2</v>
      </c>
      <c r="F528">
        <f>HYPERLINK("https://www.reddit.com/r/eyetriage/comments/c37ghc/big_pupil_and_high_order_aberration/")</f>
        <v/>
      </c>
      <c r="G528" t="inlineStr">
        <is>
          <t>2019-06-21 00:10:21</t>
        </is>
      </c>
      <c r="H528" t="inlineStr"/>
    </row>
    <row r="529">
      <c r="A529" t="inlineStr">
        <is>
          <t>c3e0m8</t>
        </is>
      </c>
      <c r="B529" t="inlineStr">
        <is>
          <t>Chronic central serous chorioretinopathy</t>
        </is>
      </c>
      <c r="C529" t="inlineStr">
        <is>
          <t>I had another vision test and OCT scan on Tuesday, and the specialist was very surprised. Much of the swelling had gone down in my right eye. Left stayed about the same. You can see the one month before and after or OCT scans side-by-side:
http://imgur.com/a/pUquuga
He said he was expecting it to get worse because of all of the leakage points in the eye, and he couldn’t explain the phenomenon.  I think it’s because of all the lifestyle changes I made during this month.  Not sure how long I can keep it up since I don’t know what exactly I’m doing that is working, or making it worse.  I would like to narrow it down to what’s likely important to change my life.  I also have a lot of questions about this disorder which weren’t answered at the specialists office. I’d appreciate any and all information you guys have, or links to where I can find more about it.
Thanks again
Edit:  vision test score appeared to be about the same from last month  (1.0 left, 1.2 right), although my vision seems more stable with less fluctuation.
Much more background information in my other posts if you click on my user name.</t>
        </is>
      </c>
      <c r="D529" t="n">
        <v>3</v>
      </c>
      <c r="E529" t="n">
        <v>5</v>
      </c>
      <c r="F529">
        <f>HYPERLINK("https://www.reddit.com/r/eyetriage/comments/c3e0m8/chronic_central_serous_chorioretinopathy/")</f>
        <v/>
      </c>
      <c r="G529" t="inlineStr">
        <is>
          <t>2019-06-21 10:59:04</t>
        </is>
      </c>
      <c r="H529" t="inlineStr"/>
    </row>
    <row r="530">
      <c r="A530" t="inlineStr">
        <is>
          <t>c3eetj</t>
        </is>
      </c>
      <c r="B530" t="inlineStr">
        <is>
          <t>Blurred vision months after shingles recovery.</t>
        </is>
      </c>
      <c r="C530" t="inlineStr">
        <is>
          <t>I had shingles around my left eye starting on April 4th of this year. I was diagnosed after three days and was treated with acyclovir, zirgan, and pred forte drops. I recovered with no corneal ulcers. The ophthalmologist has examined my eyes several times since then. There is nothing obviously wrong with my eye. If there are cataracts, they are still too subtle for her to see. The eye chart indicates that I have 20/25 vision. Yet, my left eye vision is still significantly blurred no matter what I do and is slowly getting more so.
Is this normal? Permanent? Is there anything I can do?</t>
        </is>
      </c>
      <c r="D530" t="n">
        <v>1</v>
      </c>
      <c r="E530" t="n">
        <v>3</v>
      </c>
      <c r="F530">
        <f>HYPERLINK("https://www.reddit.com/r/eyetriage/comments/c3eetj/blurred_vision_months_after_shingles_recovery/")</f>
        <v/>
      </c>
      <c r="G530" t="inlineStr">
        <is>
          <t>2019-06-21 11:28:42</t>
        </is>
      </c>
      <c r="H530" t="inlineStr"/>
    </row>
    <row r="531">
      <c r="A531" t="inlineStr">
        <is>
          <t>c3epq0</t>
        </is>
      </c>
      <c r="B531" t="inlineStr">
        <is>
          <t>Weird shadows throughout vision</t>
        </is>
      </c>
      <c r="C531" t="inlineStr">
        <is>
          <t>When I'm in a white room, eg my bathroom, I can see grey/black afterimage/phospheney type shadows throughout the vision in both eyes. They are not the same in both eyes. I have seen a retinal specialist about this (she did OCT, fundus pix, scleral depression, FA) and she found nothing but peripheral pigmentary changes. Recently more blotches developed so I went to my regular ophth as the retinal specialist is four hours away. She said all looked good and to see a neuro because I have migraine with aura. These blobs look nothing like an aura and since they are monocular, it seems kind of unlikely that they would be brain-related unless I have some weird tumour in my orbit. So, how much do I need to  be freaking out about this? I am trying to get a referral to a neuro-ophth, but that will take time.</t>
        </is>
      </c>
      <c r="D531" t="n">
        <v>1</v>
      </c>
      <c r="E531" t="n">
        <v>5</v>
      </c>
      <c r="F531">
        <f>HYPERLINK("https://www.reddit.com/r/eyetriage/comments/c3epq0/weird_shadows_throughout_vision/")</f>
        <v/>
      </c>
      <c r="G531" t="inlineStr">
        <is>
          <t>2019-06-21 11:51:34</t>
        </is>
      </c>
      <c r="H531" t="inlineStr"/>
    </row>
    <row r="532">
      <c r="A532" t="inlineStr">
        <is>
          <t>c3i07t</t>
        </is>
      </c>
      <c r="B532" t="inlineStr">
        <is>
          <t>Bump on eye appeared wed. Any idea what it could be?</t>
        </is>
      </c>
      <c r="C532" t="inlineStr">
        <is>
          <t>[video](https://imgur.com/a/7kJhQzC) 
But wed night I laid down for a nap and when I woke up my left eye was slightly swollen and bloodshot. So I put a frozen spoon on it and lightly massaged it in circles as it swells up a lot and this is what makes it feel better. When I did this I could feel a bump but as soon as you tried to touch it, it would roll under If that makes sense. (I also didn’t try too hard to touch it) I already had an appointment with my Ophthalmologist on Thursday so I messaged him and went back to sleep. No pain or anything. A few weeks prior my pupils have been sluggish and the neuro Ophthalmologist wanted him to do a test so they dilated my eyes (my eyes are still dilated from the refraction test) but it didn’t change my vision at all. Was given some drops to see if it helps but the spot has only gotten bigger. 
Quick vision problem rundown: 
Maybe optic neuritis at the being of all the vision problems?
Vision loss: 40/20 to 300/20 in 8 months. 
Flecks in retinas- indicative of stargardt 
Pupils no longer light sensitive when they were extremely light sensitive 
Eye color lighting
Pupils sluggish/constricted- but dilate
Damage to superior macula bilateral but more to left
Decreased peripheral vision
Myopia with astigmatism bilateral 
Vision suddenly decreased with neurological symptoms suddenly appeared. (This happened in May) slurred speech, rib pain/spine pain, tremors, weakness, fatigue, facial numbness, memory problems. 
I also have an sensorimotor polyneuropathy so I have numbness in my arms/legs already. If it matters I’ve had a resting heart rate of 138 since April that was thought to be from my tonsillectomy but as it hasn’t went away a cta revealed bilateral Atelectasis and I haven’t been coughing up anything or been sick but they tried a strong antibiotic and it didn’t nothing so see pulmonary on Tuesday. 
Other conditions:
Narcolepsy with cataplexy, pcos, sleep apnea, lupus, overactive bladder, migraines. 
They probably have nothing to do with it but figured I would put them in just Incase.</t>
        </is>
      </c>
      <c r="D532" t="n">
        <v>2</v>
      </c>
      <c r="E532" t="n">
        <v>6</v>
      </c>
      <c r="F532">
        <f>HYPERLINK("https://www.reddit.com/r/eyetriage/comments/c3i07t/bump_on_eye_appeared_wed_any_idea_what_it_could_be/")</f>
        <v/>
      </c>
      <c r="G532" t="inlineStr">
        <is>
          <t>2019-06-21 16:14:56</t>
        </is>
      </c>
      <c r="H532" t="inlineStr"/>
    </row>
    <row r="533">
      <c r="A533" t="inlineStr">
        <is>
          <t>c3ur6g</t>
        </is>
      </c>
      <c r="B533" t="inlineStr">
        <is>
          <t>Seeing Increased Flashes after Laser Surgery</t>
        </is>
      </c>
      <c r="C533" t="inlineStr">
        <is>
          <t>So I just had laser surgery for a retinal tear caused probably by a hemorrhage. Hemorrhage happened roughly ten weeks ago, and just now caused a tear to form.
But I'm noticing that I'm seeing lots of new flashes in that area where the tear is after laser treatment. Is this something that happens after laser surgery, when the scarring process slowly 'welds' to the tissue?</t>
        </is>
      </c>
      <c r="D533" t="n">
        <v>1</v>
      </c>
      <c r="E533" t="n">
        <v>2</v>
      </c>
      <c r="F533">
        <f>HYPERLINK("https://www.reddit.com/r/eyetriage/comments/c3ur6g/seeing_increased_flashes_after_laser_surgery/")</f>
        <v/>
      </c>
      <c r="G533" t="inlineStr">
        <is>
          <t>2019-06-22 14:05:02</t>
        </is>
      </c>
      <c r="H533" t="inlineStr"/>
    </row>
    <row r="534">
      <c r="A534" t="inlineStr">
        <is>
          <t>c485ge</t>
        </is>
      </c>
      <c r="B534" t="inlineStr">
        <is>
          <t>Ocular Herpes Diagnosis - should I get a second opinion?</t>
        </is>
      </c>
      <c r="C534" t="inlineStr">
        <is>
          <t>Please help, I am really freaked out. 39 YO white female; 5'5"/136 lbs; FL, USA; oral contraceptives &amp;amp; effexor; unremarkable medical history, except moderate dry eye and 2 past instances of giant papillary conjuctivitus in the last few years.
Dry eye syndrome made it too uncomfortable to continue with contacts, so I have been wearing glasses only for about 2 years now. Have not had a GPC diagnosis since I switched to glasses. I don't use any prescriptions for the dry eye, just fish oil and preservative free drops.
About 4 days ago, I noticed a foreign body sensation in my left eye. It felt just like when I get an eyelash in my eye. But no eyelash. Over the next few days, it comes and goes, but doesn't go away despite using lots of preservative free drops. If I had to pinpoint the spot, I would say under my upper eyelid. Today, Saturday, I'm expecting it will be better since I am not having to sit in front of my computer at work all day - but it actually feels slightly worse. The sensation is not painful, just annoying. There is no redness, watering, discharge, no crusting, no sensitivity to light - nothing like that. In fact, my left eye does not look any different from my right.
I am going out of town in a few days, so decide I should see someone. Since it's Saturday, my options are limited and I go to the vision center of a chain superstore and see an optometrist. He puts the dye in my eye, has me put my forehead and chin in the thing, and shines the light in my eye. He says there is a small "area of pooling" on my cornea. Initially, he says it does not look like herpes, as it does not appear "dendritic." However, he says if this was just dry-eye related irritation, it should have healed by now since I am relatively young and healthy (but I have been under heavy mental stress lately); he continues looking at my eye with the light, and eventually says that under magnification, the spot does appear dendritic and he is "95% sure" it is herpes. I was shocked, as I always thought ocular herpes presented in a much more dramatic fashion. He put me on antibiotic drops and valcyclovir.
I did not tell the optometrist this, but I was diagnosed with genital herpes about 15 years ago; I had specific testing that confirmed it was in fact HSV-II, not HSV-I. I have been asymptomatic since the first few years after diagnosis. Not on any suppressive meds. I've never had a cold sore on my mouth in my life. I've always known about the risk of cross-contamination to my eyes, and have taken care to avoid this. Though I can imagine scenarios where it could have happened, e.g., maybe I scratched an itch in my genital area while sleeping, then touched my eye? I am really freaked out that, on top of the dry eye, now I have this.
What are the chances this is really occular herpes and not just a random scratch or something dry-eye or GPC related? Any help much appreciated. Thank you.</t>
        </is>
      </c>
      <c r="D534" t="n">
        <v>1</v>
      </c>
      <c r="E534" t="n">
        <v>3</v>
      </c>
      <c r="F534">
        <f>HYPERLINK("https://www.reddit.com/r/eyetriage/comments/c485ge/ocular_herpes_diagnosis_should_i_get_a_second/")</f>
        <v/>
      </c>
      <c r="G534" t="inlineStr">
        <is>
          <t>2019-06-23 10:28:34</t>
        </is>
      </c>
      <c r="H534" t="inlineStr"/>
    </row>
    <row r="535">
      <c r="A535" t="inlineStr">
        <is>
          <t>c486x1</t>
        </is>
      </c>
      <c r="B535" t="inlineStr">
        <is>
          <t>Eye Injury Question / "Stuck" iris/pupil</t>
        </is>
      </c>
      <c r="C535" t="inlineStr">
        <is>
          <t>Hi,
21 days ago I was hit in my right eye with a baseball going about 80 miles an hour.  I had glasses on that absorbed some of the impact.   I had no vision at first and went to the ER.  My eye was full of blood and took 2 days to drain.   My pressure was in the 70s and I had significant inflammation.   I've had uveitis in the past and the inflammation was pretty similar.  I was put on steroid drops for that and on acetazolamide, brimonidine, dorzolamide and lumigan for the pressure.
The main concern those first two weeks was managing the pressure and inflammation.  Dozens of floaters showed up after 5 days and remain today.  I basically have a cloud of black spots in  my vision.
The other issue, and my primary concern, is that the muscle controlling the pupil size appears to be damaged.  My pupil/iris does not react to light, or lack of light.   It has been the exact same size since the injury.   My ophthalmologist says it appears the left side is trying to constrict when he shines a light on it but the right side (where the impact was) does nothing.  
He's told me all I can do is wait and I was just wondering if anyone has any experience with this type of injury and if they could give me a possible recovery path (and is there anything else I could be doing).
Also, my pressure and inflammation normalized last week.  I'm still on the drops and go back this week to see if I can start tapering off.
Any feedback is greatly appreciated.  
Thanks for your time,
Pete
[Here's how my eyes look when I look at light.   My right pupil never changes.](https://i.redd.it/cbu7534g55631.jpg)</t>
        </is>
      </c>
      <c r="D535" t="n">
        <v>3</v>
      </c>
      <c r="E535" t="n">
        <v>1</v>
      </c>
      <c r="F535">
        <f>HYPERLINK("https://www.reddit.com/r/eyetriage/comments/c486x1/eye_injury_question_stuck_irispupil/")</f>
        <v/>
      </c>
      <c r="G535" t="inlineStr">
        <is>
          <t>2019-06-23 10:31:17</t>
        </is>
      </c>
      <c r="H535" t="inlineStr"/>
    </row>
    <row r="536">
      <c r="A536" t="inlineStr">
        <is>
          <t>c48x3a</t>
        </is>
      </c>
      <c r="B536" t="inlineStr">
        <is>
          <t>mucus fishing syndrome? or allergic conjunctivitis?</t>
        </is>
      </c>
      <c r="C536" t="inlineStr">
        <is>
          <t>hi!! i'm glad i found this sub, i've had this problem with my eyes for awhile now &amp;amp; i'd really appreciate any advice i can get!! thank you in advance! 
i have this tendency for my eyes to get really, really itchy, especially the little "ball" on the inner corner of the eye. &amp;amp; once i start rubbing my eyes, i can't seem to stop because it's just really itchy &amp;amp; rubbing it makes it feel better temporarily. however, my eyes get bloodshot after &amp;amp; tend to water alot, producing sticky residue that constantly secretes out of my eyes. sometimes there's so much that it stings around my eyes, and my inner corners crack from constantly removing the sticky residue from my eyes. but! the worst issue i've been dealing with is the white, stringy mucus that secretes from my eyes. i constantly have to pull it out from my eyes, if not it feels painful when i close it &amp;amp; there's the constant feeling of something being in my eye. it's mostly white &amp;amp; stringy, and comes out from underneath my eyelids when i pull it. sometimes i try to rest my eyes for abit and a huge clump will come out. 
i've tried eye drops and eye washes, but this problem always seems to come back! i initially thought it was because of my makeup products but this happens even on days where i don't wear makeup. one thing though, is that this didn't happen when i stayed in my dorm room where there's no air conditioning and windows are always open, but when i'm at home in my air conditioned room, this happens almost on a daily basis. 
i've tried to do my research and found out about mucus fishing syndrome as well as allergic conjunctivitis. i'm not sure if it's either, or neither!! i'd really appreciate some advice or any help i can get regarding this. it's been getting so bad that i wake up with swollen eyes that are sealed shut from the crusted mucus on my eyelashes and eyelids. 
please help! thank you so much!! 🙏🏻</t>
        </is>
      </c>
      <c r="D536" t="n">
        <v>1</v>
      </c>
      <c r="E536" t="n">
        <v>7</v>
      </c>
      <c r="F536">
        <f>HYPERLINK("https://www.reddit.com/r/eyetriage/comments/c48x3a/mucus_fishing_syndrome_or_allergic_conjunctivitis/")</f>
        <v/>
      </c>
      <c r="G536" t="inlineStr">
        <is>
          <t>2019-06-23 11:16:22</t>
        </is>
      </c>
      <c r="H536" t="inlineStr"/>
    </row>
    <row r="537">
      <c r="A537" t="inlineStr">
        <is>
          <t>c4gyqi</t>
        </is>
      </c>
      <c r="B537" t="inlineStr">
        <is>
          <t>Corneal abrasion.</t>
        </is>
      </c>
      <c r="C537" t="inlineStr">
        <is>
          <t>Two weeks ago, my cornea lost some epithelial cells when I woke up with it stuck to my eyelid. I went to a nearby opthalmologist and he gave me antibiotic drops and told me to use my contacts like a bandage contact. That meant sleeping in them. I did this cautiously and my eye got better within a week. 
Last night I was drinking, apparently got dehydrated and when I woke up the next morning my right contact was stuck. I added a few drops but it still tore some cornea on my right eye. 
Now I know it was dangerous and not careful enough. But I freaked out and wasn't patient taking my contact out. 
I went to a doc in a box, showed him the drops the opthalmologist had prescribed and he gave me a new prescription. I've used those, but my question is. Should I also wear a contact when I sleep until I can get to the opthalmologist on Monday morning?</t>
        </is>
      </c>
      <c r="D537" t="n">
        <v>1</v>
      </c>
      <c r="E537" t="n">
        <v>0</v>
      </c>
      <c r="F537">
        <f>HYPERLINK("https://www.reddit.com/r/eyetriage/comments/c4gyqi/corneal_abrasion/")</f>
        <v/>
      </c>
      <c r="G537" t="inlineStr">
        <is>
          <t>2019-06-23 19:20:25</t>
        </is>
      </c>
      <c r="H537" t="inlineStr"/>
    </row>
    <row r="538">
      <c r="A538" t="inlineStr">
        <is>
          <t>c4hp7h</t>
        </is>
      </c>
      <c r="B538" t="inlineStr">
        <is>
          <t>Uneven eyelids? One eye slightly covered.</t>
        </is>
      </c>
      <c r="C538" t="inlineStr">
        <is>
          <t>Not sure if this is the right place to be asking about uneven eyelids! If it's not feel free to shoot me a message amd I'll move it asap. 
At this point it's closer to an aesthetic problem than a medical problem (in my non-professional opinion), but I have been noticing it more and more recently. For context I've had this issue as long as I can remember (one is a double eyelid and the other kind of folds over so part of my eye is covered, but not enough to noticeably block my vision). Not quite sure what to think of it, so I'm open to any ideas/speculations as to what could be the issue. 
Pictures of eyes linked: 
http://imgur.com/gallery/O3EUb2r</t>
        </is>
      </c>
      <c r="D538" t="n">
        <v>3</v>
      </c>
      <c r="E538" t="n">
        <v>1</v>
      </c>
      <c r="F538">
        <f>HYPERLINK("https://www.reddit.com/r/eyetriage/comments/c4hp7h/uneven_eyelids_one_eye_slightly_covered/")</f>
        <v/>
      </c>
      <c r="G538" t="inlineStr">
        <is>
          <t>2019-06-23 20:34:48</t>
        </is>
      </c>
      <c r="H538" t="inlineStr"/>
    </row>
    <row r="539">
      <c r="A539" t="inlineStr">
        <is>
          <t>c4nrco</t>
        </is>
      </c>
      <c r="B539" t="inlineStr">
        <is>
          <t>Eye floater that doesn't move.</t>
        </is>
      </c>
      <c r="C539" t="inlineStr">
        <is>
          <t>Hello everyone, a week ago I started noticing a tiny black spot near the center of my vision of my right eye that doesn't seem to move nor float. It only becomes obvious when I blink. It kind of looks like a tiny pixel and it's not going away. At first I thought that it was just another floater but then I started noticing that it didn't behave like a typical one. It doesn't do the drifting that floaters normally do, it's just there. As if it's stuck there.
I'm a 17 year old male, I have myopia, I have an eye grade of 350 (Left,) and 400 (Right,) I have anxiety and I think the stress from it is giving additional negative impact on my eyes. I'm really young and have a lot of dreams for my family and I, I don't want to go blind, not until I've achieved the dreams of mine and have finally made my family happy and proud of me. We don't have much money to go and see a professional opthalmologist and I don't want to make them worry about me just because of a black dot that could not be as serious as I think it is. I'm really getting bothered by this tiny dot in my vision and I'm worried that it might become worse if I don't figure out what's happening, I hope that it is not that serious. Does anyone have any thoughts? Please, help me!</t>
        </is>
      </c>
      <c r="D539" t="n">
        <v>2</v>
      </c>
      <c r="E539" t="n">
        <v>6</v>
      </c>
      <c r="F539">
        <f>HYPERLINK("https://www.reddit.com/r/eyetriage/comments/c4nrco/eye_floater_that_doesnt_move/")</f>
        <v/>
      </c>
      <c r="G539" t="inlineStr">
        <is>
          <t>2019-06-24 06:22:44</t>
        </is>
      </c>
      <c r="H539" t="inlineStr"/>
    </row>
    <row r="540">
      <c r="A540" t="inlineStr">
        <is>
          <t>c4thvx</t>
        </is>
      </c>
      <c r="B540" t="inlineStr">
        <is>
          <t>Does Pharmacologic Vitreolysis work for Eye Floaters?</t>
        </is>
      </c>
      <c r="C540" t="inlineStr">
        <is>
          <t>I have been suffering for multiple months from having dozens and dozens of floaters in eye each due to a posterior vitreous detachment (PVD).  It's been about 2 months and the floaters haven't subsided at all and they are constantly in my vision 24/7.  My quality of life has plummeted down to zero and I'm extremely depressed everyday because of this condition.  The eye doctor told me they had no idea why I had a PVD in my 30s when it normally happens at a much older age.
I told the doctor I can't deal with all of these floaters wrecking my vision.  The ophthalmologist said trying to do a regular vitroectomy, in which the vitreous is drained, would cause cataracts.  So first they suggested a YAG Laser Vitreolysis.  I talked the only YAG Laser Vitreolysis specialist in my area, and they confirmed the PVD in both eyes but said the floaters were "too big" to do that procedure.  They said if I were to have a vitroectomy it would cause cataracts and damage my vision.
This is why I want to find as much info about pharmacologic vitreolysis.  I've read that certain medicines can be injected into the eye to dissolve or breakup large floaters in the eye.  Is there any way I could find a doctor who could do the pharmacologic vitreolysis on my eyes?  Or at least do it in the eye with the largest floaters?</t>
        </is>
      </c>
      <c r="D540" t="n">
        <v>2</v>
      </c>
      <c r="E540" t="n">
        <v>3</v>
      </c>
      <c r="F540">
        <f>HYPERLINK("https://www.reddit.com/r/eyetriage/comments/c4thvx/does_pharmacologic_vitreolysis_work_for_eye/")</f>
        <v/>
      </c>
      <c r="G540" t="inlineStr">
        <is>
          <t>2019-06-24 11:57:41</t>
        </is>
      </c>
      <c r="H540" t="inlineStr"/>
    </row>
    <row r="541">
      <c r="A541" t="inlineStr">
        <is>
          <t>c4tjjk</t>
        </is>
      </c>
      <c r="B541" t="inlineStr">
        <is>
          <t>Rosy vision in the morning</t>
        </is>
      </c>
      <c r="C541" t="inlineStr">
        <is>
          <t>I've been experiencing occasional halos, blurred vision etc for the past couple of years. A lady who checked my vision said that it's near perfect and that I most probably have these symptoms due to neck problems. Lately I've having flashes of light when I go to sleep, I read that it may be because of tense muscles in neck or high blood pressure (I have both). So today I went to sleep at day, woke up to complete darkness but it was dark red. In light everything was slightly rosy. It went away in a couple of minutes but goddamn I hope it's not another problem on it's own</t>
        </is>
      </c>
      <c r="D541" t="n">
        <v>1</v>
      </c>
      <c r="E541" t="n">
        <v>6</v>
      </c>
      <c r="F541">
        <f>HYPERLINK("https://www.reddit.com/r/eyetriage/comments/c4tjjk/rosy_vision_in_the_morning/")</f>
        <v/>
      </c>
      <c r="G541" t="inlineStr">
        <is>
          <t>2019-06-24 12:00:22</t>
        </is>
      </c>
      <c r="H541" t="inlineStr"/>
    </row>
    <row r="542">
      <c r="A542" t="inlineStr">
        <is>
          <t>c50o8v</t>
        </is>
      </c>
      <c r="B542" t="inlineStr">
        <is>
          <t>Light/screen/text glare in one eye - no idea - very bothersome.</t>
        </is>
      </c>
      <c r="C542" t="inlineStr">
        <is>
          <t>(Long post but I try to be thorough. Thanks for reading.)
Hey all,
I've had a minor glasses prescription since like early high school. Something like -.50. Only really use the glasses for night driving, movie theaters, etc.
Six weeks ago I was in a really bad mood one evening (read: highest stress/anger I've had in a long time) and went for a walk to the beach to chill out. When I got to the beach I noticed that my vision didn't seem super clear, and specifically my left eye was the cause. It was as if I couldn't focus or see the beach clearly, even with my glasses. First time I ever noticed this. I shook it off and it seemingly went away.
Then I noticed it a few days later at Costco, like something was bothering my left eye and again things went out of focus/clarity. Then it seemingly went away again, but it began to occur more and more. 
I went to an optometrist and she gave me an exam and dilated my eyes, and found no issue. I then went to another optometrist two weeks later who was much more thorough, didn't dilate (expensive), and found nothing as well but told me it may be because of stress. This was a few weeks ago, and my symptoms haven't gone away at all even though I'm not really stressed out about it or in general. The second optometrist told me that she can refer me to an opthalmologist if it's still bothering me in a while, and for now I've taken matters into my own hand to do as much research as possible.
I got new glasses with a blue light filter to see if that helps, and it doesn't. Visual acuity improves due to the prescription, but the light/glare/etc. issue remains. I am on the computer for probably 10-12 hours per day.
The issue is constant. I think partly I just didn't notice it for a while and now that I notice, I can't not notice. But there is an actual issue here that I'd like to solve - I do not believe this is stress/anxiety-based.
Symptoms:
* **Left eye ONLY**
* When looking at any lights or screens (phone/computer), all the text is washed out / overexposed / glaring. There is slight discomfort, no pain.
* Hard to describe exact effect but "glare" seems to be the most accurate. It's like all lights are a little extra powerful/glowy in my left eye.
* Seeing infrequent afterimages. Again, left eye only.
* Color saturation is reduced in my left eye by about 20%. I believe this is not a loss of color, but an overall "gain" or veil of white/brightness/glare in my left eye.
* Sunglasses greatly reduce how noticeable the issue is during the day when I'm outside - the glare / washed out / overexposed effect persists, but it's just less bright.
* Prescription glasses help the general visual acuity in my left eye but do NOT resolve the glare/brightness issue.
I started to keep a log of my experiences to see if I could find any patterns, and noticed two things related to darkness improving it.
1. At night, if I'm in my bed on my phone in a dark room, looking at my phone, the issue is 90% solved. Almost nonexistant. I first noticed the improvement one evening when I was driving home from the gym around midnight and noticed that looking at my phone (when stopped) with my left eye wasn't an issue.
2. I learned about the pinhole test, and made a rudimentary test with a piece of card stock. This also solved 90% of the issue, no matter the time of day. 
This leads me to believe that there's some issue with filtering light in my left eye, too much light is getting in, or something related.
Any ideas?</t>
        </is>
      </c>
      <c r="D542" t="n">
        <v>1</v>
      </c>
      <c r="E542" t="n">
        <v>4</v>
      </c>
      <c r="F542">
        <f>HYPERLINK("https://www.reddit.com/r/eyetriage/comments/c50o8v/lightscreentext_glare_in_one_eye_no_idea_very/")</f>
        <v/>
      </c>
      <c r="G542" t="inlineStr">
        <is>
          <t>2019-06-24 19:14:03</t>
        </is>
      </c>
      <c r="H542" t="inlineStr"/>
    </row>
    <row r="543">
      <c r="A543" t="inlineStr">
        <is>
          <t>c5ki1i</t>
        </is>
      </c>
      <c r="B543" t="inlineStr">
        <is>
          <t>Contact vs. Glasses Prescription</t>
        </is>
      </c>
      <c r="C543" t="inlineStr">
        <is>
          <t>The power for my glasses is -5.75 for my right eye and -6.25 for my left eye. However, for my contacts, both are -5.50. I know that contacts will always have lower power than glasses because of the distance, but it seems strange to me that two eyes 0.50 apart wouldn't be different at all for contacts. Is this pretty normal? I do have astigmatism, and my left eye and right are different (full contact prescriptions are -5.50-0.75x90 for right and -5.50-0.75x120 for left); would that have anything to do with it? I tried to look online for an answer, but all I got was people talking about how contact lens Rx are always lower, so I'd appreciate if anyone had the answer to this! Thanks!</t>
        </is>
      </c>
      <c r="D543" t="n">
        <v>0</v>
      </c>
      <c r="E543" t="n">
        <v>2</v>
      </c>
      <c r="F543">
        <f>HYPERLINK("https://www.reddit.com/r/eyetriage/comments/c5ki1i/contact_vs_glasses_prescription/")</f>
        <v/>
      </c>
      <c r="G543" t="inlineStr">
        <is>
          <t>2019-06-25 20:33:55</t>
        </is>
      </c>
      <c r="H543" t="inlineStr"/>
    </row>
    <row r="544">
      <c r="A544" t="inlineStr">
        <is>
          <t>c5p6eq</t>
        </is>
      </c>
      <c r="B544" t="inlineStr">
        <is>
          <t>No contact lenses for my case?</t>
        </is>
      </c>
      <c r="C544" t="inlineStr">
        <is>
          <t>I have -1 in my right eye and -0,5 in the left one, I wear glasses but they are just not for me, an optician’s secretary told me that there are no contact lenses for my case , is it true?</t>
        </is>
      </c>
      <c r="D544" t="n">
        <v>1</v>
      </c>
      <c r="E544" t="n">
        <v>4</v>
      </c>
      <c r="F544">
        <f>HYPERLINK("https://www.reddit.com/r/eyetriage/comments/c5p6eq/no_contact_lenses_for_my_case/")</f>
        <v/>
      </c>
      <c r="G544" t="inlineStr">
        <is>
          <t>2019-06-26 05:24:02</t>
        </is>
      </c>
      <c r="H544" t="inlineStr"/>
    </row>
    <row r="545">
      <c r="A545" t="inlineStr">
        <is>
          <t>c5pon2</t>
        </is>
      </c>
      <c r="B545" t="inlineStr">
        <is>
          <t>Small Retinal Tear</t>
        </is>
      </c>
      <c r="C545" t="inlineStr">
        <is>
          <t xml:space="preserve"> 
33 yr/o male. Yesterday I went to my ophthalmologist (retinal specialist), and he noticed a very small tear in my left retina. It was not there 3 months ago (or the other ophthalmologist did not notice it.) He said we have two options- he can fix it right then and there, or we can wait a week or two to see if it shows signs of healing on its own. I opted to wait a week. Since then it is all I can think about. Maybe this sub can help clear my head a little.
\-How easy are retinal tears to repair? -How safe is the procedure? -What are the odds of getting another one? -I am very slightly nearsighted in my left eye (eye with the tear.) If he thought it was emergent, or if there was a significant chance of detachment, would he have said: "no we need to do this now"? -Will this help decrease the floaters and specks I see in that eye? -What causes this kind of thing to happen? I have not had any trauma, and not diabetic, etc?
Sorry for the long rant, I just did not expect this.</t>
        </is>
      </c>
      <c r="D545" t="n">
        <v>1</v>
      </c>
      <c r="E545" t="n">
        <v>10</v>
      </c>
      <c r="F545">
        <f>HYPERLINK("https://www.reddit.com/r/eyetriage/comments/c5pon2/small_retinal_tear/")</f>
        <v/>
      </c>
      <c r="G545" t="inlineStr">
        <is>
          <t>2019-06-26 06:15:08</t>
        </is>
      </c>
      <c r="H545" t="inlineStr"/>
    </row>
    <row r="546">
      <c r="A546" t="inlineStr">
        <is>
          <t>c5qugc</t>
        </is>
      </c>
      <c r="B546" t="inlineStr">
        <is>
          <t>[M19] Two unexplained blind spots in my left eye.</t>
        </is>
      </c>
      <c r="C546" t="inlineStr">
        <is>
          <t>A few years ago I noticed that I have two blind spots in my left eye. I am not sure if I have always had these. One seems to be on the usual location of your blindspot caused by the optic nerve, however it is a lot bigger than the one in my right eye. I also have a smaller blindspot close to the center of my vision. I have already visited the hospital and they concluded that there is nothing physically wrong with my eye after an eye exam.
I am still worried about it getting worse in the future though. At the hospital I didn't explain that one blind spot was on the natural location but enlarged and I feel like that might have been some crucial information. My last option is to go and see a neurologist since there is no physical problem as far as they could tell. I'm not sure what to do and what this is and I'm of scared of slowely going blind.
​
Male 19
5'8"
132lbs
No medication
As far as my eyes go I have visual snow and have had a migraine with an aura</t>
        </is>
      </c>
      <c r="D546" t="n">
        <v>2</v>
      </c>
      <c r="E546" t="n">
        <v>7</v>
      </c>
      <c r="F546">
        <f>HYPERLINK("https://www.reddit.com/r/eyetriage/comments/c5qugc/m19_two_unexplained_blind_spots_in_my_left_eye/")</f>
        <v/>
      </c>
      <c r="G546" t="inlineStr">
        <is>
          <t>2019-06-26 07:59:28</t>
        </is>
      </c>
      <c r="H546" t="inlineStr"/>
    </row>
    <row r="547">
      <c r="A547" t="inlineStr">
        <is>
          <t>c605a7</t>
        </is>
      </c>
      <c r="B547" t="inlineStr">
        <is>
          <t>Granular corneal dystrophy</t>
        </is>
      </c>
      <c r="C547" t="inlineStr">
        <is>
          <t>I have granular corneal dystrophy as does my mother.  Since the 1980's we have been told that a corneal transplant would be the treatment as the disease progresses.  Now she is 70 and in great health aside from her eyes. But the doctors  are now saying they don't want to do the transplants.  Why?  What are we missing?</t>
        </is>
      </c>
      <c r="D547" t="n">
        <v>1</v>
      </c>
      <c r="E547" t="n">
        <v>1</v>
      </c>
      <c r="F547">
        <f>HYPERLINK("https://www.reddit.com/r/eyetriage/comments/c605a7/granular_corneal_dystrophy/")</f>
        <v/>
      </c>
      <c r="G547" t="inlineStr">
        <is>
          <t>2019-06-26 20:02:05</t>
        </is>
      </c>
      <c r="H547" t="inlineStr"/>
    </row>
    <row r="548">
      <c r="A548" t="inlineStr">
        <is>
          <t>c622kz</t>
        </is>
      </c>
      <c r="B548" t="inlineStr">
        <is>
          <t>Floaters and a glow/flash in the periphery of my right eye</t>
        </is>
      </c>
      <c r="C548" t="inlineStr">
        <is>
          <t>Two days ago I saw for an hour or so black line floaters. New, and several.  All but the most annoying one, which was stationary, disappeared within a few minutes. 
The most annoying one disappeared by this morning.
Yesterday I notice a very thin glow/light on the periphery of the eye - top right, coming down and around the right side.  Mostly happens with quick eye movement, and I'm not sure I'd notice them if I weren't hyper focused on them at this point.  I don't notice it for a while, then think about, and start seeing the periphery flash again.
No vision loss, and no "curtain" I'm told is a tell tale sign of a detached retina.  
Will this go away on its own?   I had an eye exam (opthamologist) three month ago, and everything was fine.</t>
        </is>
      </c>
      <c r="D548" t="n">
        <v>1</v>
      </c>
      <c r="E548" t="n">
        <v>7</v>
      </c>
      <c r="F548">
        <f>HYPERLINK("https://www.reddit.com/r/eyetriage/comments/c622kz/floaters_and_a_glowflash_in_the_periphery_of_my/")</f>
        <v/>
      </c>
      <c r="G548" t="inlineStr">
        <is>
          <t>2019-06-26 23:32:32</t>
        </is>
      </c>
      <c r="H548" t="inlineStr"/>
    </row>
    <row r="549">
      <c r="A549" t="inlineStr">
        <is>
          <t>c69wyp</t>
        </is>
      </c>
      <c r="B549" t="inlineStr">
        <is>
          <t>Dim</t>
        </is>
      </c>
      <c r="C549" t="inlineStr">
        <is>
          <t>This question is for someone who seems to be going
blind in one eye, but the other eye is fine.  The blind eye can see fine in broad daylight but not in room light.  Everything is in focus, but just too dim.  It's not likely to be a cataract, because how dim it is depends partly on what time of day it is.  In the afternoon it's moderately dim, but in the morning it's so dim the person can't see any details at all out of that eye.  Eye drops don't seem to make any difference.  What eye diseases are most likely to cause those symptoms?</t>
        </is>
      </c>
      <c r="D549" t="n">
        <v>1</v>
      </c>
      <c r="E549" t="n">
        <v>1</v>
      </c>
      <c r="F549">
        <f>HYPERLINK("https://www.reddit.com/r/eyetriage/comments/c69wyp/dim/")</f>
        <v/>
      </c>
      <c r="G549" t="inlineStr">
        <is>
          <t>2019-06-27 12:34:35</t>
        </is>
      </c>
      <c r="H549" t="inlineStr"/>
    </row>
    <row r="550">
      <c r="A550" t="inlineStr">
        <is>
          <t>c6yokx</t>
        </is>
      </c>
      <c r="B550" t="inlineStr">
        <is>
          <t>How can PCO develop faster than the original cataract?</t>
        </is>
      </c>
      <c r="C550" t="inlineStr">
        <is>
          <t>If a cataract that took years to develop causes loss of vision, and then, shortly after cataract surgery, PCO starts causing even worse vision loss, it implies the PCO happens many times faster than the original cataract happened.  Why is that?</t>
        </is>
      </c>
      <c r="D550" t="n">
        <v>1</v>
      </c>
      <c r="E550" t="n">
        <v>2</v>
      </c>
      <c r="F550">
        <f>HYPERLINK("https://www.reddit.com/r/eyetriage/comments/c6yokx/how_can_pco_develop_faster_than_the_original/")</f>
        <v/>
      </c>
      <c r="G550" t="inlineStr">
        <is>
          <t>2019-06-29 06:00:48</t>
        </is>
      </c>
      <c r="H550" t="inlineStr"/>
    </row>
    <row r="551">
      <c r="A551" t="inlineStr">
        <is>
          <t>c70j70</t>
        </is>
      </c>
      <c r="B551" t="inlineStr">
        <is>
          <t>If you get a bill from an eye surgery center, and it mentions surgery in one of its line items, but doesn't mention the name of the surgeon, is it likely to be an incidental charge, or more likely to be the surgeon's fee?</t>
        </is>
      </c>
      <c r="C551" t="inlineStr">
        <is>
          <t>In other words, can you expect to get a surgeon's fee bill in addition to the surgery center bill?  Even if the surgeon has made no claim against your insurance nor sent you a bill in the few months after the surgery?</t>
        </is>
      </c>
      <c r="D551" t="n">
        <v>1</v>
      </c>
      <c r="E551" t="n">
        <v>2</v>
      </c>
      <c r="F551">
        <f>HYPERLINK("https://www.reddit.com/r/eyetriage/comments/c70j70/if_you_get_a_bill_from_an_eye_surgery_center_and/")</f>
        <v/>
      </c>
      <c r="G551" t="inlineStr">
        <is>
          <t>2019-06-29 08:52:00</t>
        </is>
      </c>
      <c r="H551" t="inlineStr"/>
    </row>
    <row r="552">
      <c r="A552" t="inlineStr">
        <is>
          <t>c77yri</t>
        </is>
      </c>
      <c r="B552" t="inlineStr">
        <is>
          <t>Red eyes problem</t>
        </is>
      </c>
      <c r="C552" t="inlineStr">
        <is>
          <t>So for the past few weeks, my eyes have been red. At first it looked like pink eye and my doctor gave me Tobradex; I used as prescribed and it got better. 
But my eyes continued to get red and itchy after, especially when I wake up in the morning or even after a nap, and they look smaller too.. I use OTC allergy drops and it helps but it doesn't really help the redness and my eyes still feel like gritty. I also get a sharp pain behind my top lids at times when I make sudden eye movements like up to down.
Some background: I've always had eye allergies in the spring but Ketotifen and a Claritin always did the job. But I've started a field engineering position in the past month and I'm outside for a few hours a day. I wear glasses but I don't wear sunglasses and I squint in the sun often. I wonder if it's a combination of my eyes getting sunburned (photokeratisis)+ construction dust + pollen? 
I've done a lot of research but I'm just not sure what it is. I currently don't have health insurance but I think I'm gonna have to make a specialist visit soon bc it's really bothering me now.
Any tips? TIA</t>
        </is>
      </c>
      <c r="D552" t="n">
        <v>1</v>
      </c>
      <c r="E552" t="n">
        <v>0</v>
      </c>
      <c r="F552">
        <f>HYPERLINK("https://www.reddit.com/r/eyetriage/comments/c77yri/red_eyes_problem/")</f>
        <v/>
      </c>
      <c r="G552" t="inlineStr">
        <is>
          <t>2019-06-29 19:32:49</t>
        </is>
      </c>
      <c r="H552" t="inlineStr"/>
    </row>
    <row r="553">
      <c r="A553" t="inlineStr">
        <is>
          <t>c78429</t>
        </is>
      </c>
      <c r="B553" t="inlineStr">
        <is>
          <t>supplements for eye health</t>
        </is>
      </c>
      <c r="C553" t="inlineStr">
        <is>
          <t>What are the thoughts on eye health supplements here like Occuvite/lutein? Are they worthwhile?  Over 50 and have floaters. Thank you!</t>
        </is>
      </c>
      <c r="D553" t="n">
        <v>1</v>
      </c>
      <c r="E553" t="n">
        <v>1</v>
      </c>
      <c r="F553">
        <f>HYPERLINK("https://www.reddit.com/r/eyetriage/comments/c78429/supplements_for_eye_health/")</f>
        <v/>
      </c>
      <c r="G553" t="inlineStr">
        <is>
          <t>2019-06-29 19:48:16</t>
        </is>
      </c>
      <c r="H553" t="inlineStr"/>
    </row>
    <row r="554">
      <c r="A554" t="inlineStr">
        <is>
          <t>c79i8v</t>
        </is>
      </c>
      <c r="B554" t="inlineStr">
        <is>
          <t>Eye floater that doesn't seem to move. (Update)</t>
        </is>
      </c>
      <c r="C554" t="inlineStr">
        <is>
          <t>Guys, remember when I reported about having a tiny black and pixel-like dot near the center of my vision? Well, 3 other dots suddenly appeared, so 4 in total. 1 in my left eye and 3 in my right. It seems to get worse when I'm stressed! Thoughts, anyone? Please!</t>
        </is>
      </c>
      <c r="D554" t="n">
        <v>1</v>
      </c>
      <c r="E554" t="n">
        <v>1</v>
      </c>
      <c r="F554">
        <f>HYPERLINK("https://www.reddit.com/r/eyetriage/comments/c79i8v/eye_floater_that_doesnt_seem_to_move_update/")</f>
        <v/>
      </c>
      <c r="G554" t="inlineStr">
        <is>
          <t>2019-06-29 22:21:42</t>
        </is>
      </c>
      <c r="H554" t="inlineStr"/>
    </row>
    <row r="555">
      <c r="A555" t="inlineStr">
        <is>
          <t>c7i349</t>
        </is>
      </c>
      <c r="B555" t="inlineStr">
        <is>
          <t>Is this allergies?</t>
        </is>
      </c>
      <c r="C555" t="inlineStr">
        <is>
          <t>Last night I was at an outdoor event and noticed by eyes getting a little itchy, when I got home I took my contacts out and by this time my eyes were still itching pretty bad. I put contact rewetting drops in as they were the only drops I had and it honestly seemed like it made them even worse. I did put a little more in but they were still super itchy, this morning they weren’t as bad but still uncomfortable, I waited several hours to put contacts in but had to as I was going to work out. The contacts honestly make my eyes feel a little better, not 110% but better for sure. Does this sound like allergies or something else? I was going to go buy some better drops but is there anything else I can do?</t>
        </is>
      </c>
      <c r="D555" t="n">
        <v>1</v>
      </c>
      <c r="E555" t="n">
        <v>2</v>
      </c>
      <c r="F555">
        <f>HYPERLINK("https://www.reddit.com/r/eyetriage/comments/c7i349/is_this_allergies/")</f>
        <v/>
      </c>
      <c r="G555" t="inlineStr">
        <is>
          <t>2019-06-30 11:55:41</t>
        </is>
      </c>
      <c r="H555" t="inlineStr"/>
    </row>
    <row r="556">
      <c r="A556" t="inlineStr">
        <is>
          <t>c7jx9w</t>
        </is>
      </c>
      <c r="B556" t="inlineStr">
        <is>
          <t>I don't know where to post this, so: I think I had a TBI years ago, I have recently read about Bynocular Vision Dysfunction and eye misalignment being a cause of many serious problems, such as concentration, balance, ability to comprehend things you read, and generally mess with cognative functions.</t>
        </is>
      </c>
      <c r="C556" t="inlineStr">
        <is>
          <t>Is this true about small eye misalignments?  It's been 16 years of hell for me; I've lost my entire life; haven't enjoyed 1 day since I was about 17 years old; not sure how I haven't killed myself yet; my brother has helped me financial the best he can but his health is getting bad.  I think I will have the decision of either getting treatment, which I can't afford, becoming homeless, which prior experience tells me I'll end up in the jail system for stealing food, or killing myself.  Option A would be my choice, but 16 years of a crap life, every-fucking-day, has killed my motivation to help myself.  Probably shouldn't post this, but.....  lol.</t>
        </is>
      </c>
      <c r="D556" t="n">
        <v>1</v>
      </c>
      <c r="E556" t="n">
        <v>0</v>
      </c>
      <c r="F556">
        <f>HYPERLINK("https://www.reddit.com/r/eyetriage/comments/c7jx9w/i_dont_know_where_to_post_this_so_i_think_i_had_a/")</f>
        <v/>
      </c>
      <c r="G556" t="inlineStr">
        <is>
          <t>2019-06-30 14:35:07</t>
        </is>
      </c>
      <c r="H556" t="inlineStr"/>
    </row>
    <row r="557">
      <c r="A557" t="inlineStr">
        <is>
          <t>c7t4lm</t>
        </is>
      </c>
      <c r="B557" t="inlineStr">
        <is>
          <t>Is there a difference between PVD and general floaters? Playing rugby and lifting with floaters?</t>
        </is>
      </c>
      <c r="C557" t="inlineStr">
        <is>
          <t>I started seeing floaters in my left eye last Wednesday and have been very distressed by them. My right eye is lazy and I also have OCD - both of which exacerbate my feelings on the matter.
I saw my optometrist and she dilated my eyes and said my retina looks fine so no worries there. She said I'd get used to the floaters but I have a hard time believing her.
I have been trying to do anything to avoid making them worse as it really upsets me. I play rugby, practice Brazilian Jiu-Jitsu, and lift weights. I have read that it is recommended to avoid these activities in the case of PVD.
Is PVD just a scientific phrase for seeing floaters? I'm having a little bit of trouble figuring out all the terminology. 
If my floaters are not PVD, would it still be recommended that I stop my contact sports to avoid making them worse?</t>
        </is>
      </c>
      <c r="D557" t="n">
        <v>1</v>
      </c>
      <c r="E557" t="n">
        <v>6</v>
      </c>
      <c r="F557">
        <f>HYPERLINK("https://www.reddit.com/r/eyetriage/comments/c7t4lm/is_there_a_difference_between_pvd_and_general/")</f>
        <v/>
      </c>
      <c r="G557" t="inlineStr">
        <is>
          <t>2019-07-01 07:18:13</t>
        </is>
      </c>
      <c r="H557" t="inlineStr"/>
    </row>
    <row r="558">
      <c r="A558" t="inlineStr">
        <is>
          <t>c7v246</t>
        </is>
      </c>
      <c r="B558" t="inlineStr">
        <is>
          <t>A few eye related questions</t>
        </is>
      </c>
      <c r="C558" t="inlineStr">
        <is>
          <t>Hi!
I’m legally blind, so I’m a little paranoid over losing what vision I do have, and I have a couple of questions
1)does having already damaged vision mean mine is more susceptible to further damage? My optic nerve was damaged via bleed to the brain at birth.
2) following on from that, what steps should I take to protect my vision? I’m really paranoid about brief exposures of sunlight, such as looking out of a window or a vehicle (don’t worry, I’m not the one driving) and catching a flash of the sun off the mirror or through the window. I currently try to avoid being in the sun much at all.</t>
        </is>
      </c>
      <c r="D558" t="n">
        <v>1</v>
      </c>
      <c r="E558" t="n">
        <v>4</v>
      </c>
      <c r="F558">
        <f>HYPERLINK("https://www.reddit.com/r/eyetriage/comments/c7v246/a_few_eye_related_questions/")</f>
        <v/>
      </c>
      <c r="G558" t="inlineStr">
        <is>
          <t>2019-07-01 09:27:34</t>
        </is>
      </c>
      <c r="H558" t="inlineStr"/>
    </row>
    <row r="559">
      <c r="A559" t="inlineStr">
        <is>
          <t>c81rb7</t>
        </is>
      </c>
      <c r="B559" t="inlineStr">
        <is>
          <t>Superficial Keratectomy</t>
        </is>
      </c>
      <c r="C559" t="inlineStr">
        <is>
          <t xml:space="preserve">
As the title says, I’ve hade superficial keratectomy in my right eye after a 3 month corneal erosion issue that seemed to be ruining my life.  I’m a 32 year old male and am currently wearing a bandage contact lens, as I have been during my erosion issues and through into and after my procedure. It’s two weeks now after the procedure and while My doctor has told me I can drive, I get tired quickly and often have trouble keeping a focus on anything that’s moving (this includes the road and all screens).  My eye seems lazy, and I personally always feel tired despite having been off all pain medication for well over a week now.   Is this level of ocular fatigue normal for recovery? 
Ps.  Following up with my doctor shortly, just thought I would ask here before my appointment.  
Thanks.</t>
        </is>
      </c>
      <c r="D559" t="n">
        <v>1</v>
      </c>
      <c r="E559" t="n">
        <v>0</v>
      </c>
      <c r="F559">
        <f>HYPERLINK("https://www.reddit.com/r/eyetriage/comments/c81rb7/superficial_keratectomy/")</f>
        <v/>
      </c>
      <c r="G559" t="inlineStr">
        <is>
          <t>2019-07-01 16:27:12</t>
        </is>
      </c>
      <c r="H559" t="inlineStr"/>
    </row>
    <row r="560">
      <c r="A560" t="inlineStr">
        <is>
          <t>c85bpd</t>
        </is>
      </c>
      <c r="B560" t="inlineStr">
        <is>
          <t>Is it possible to be nauseous 24/7 for almost 3 weeks for wrong prescription?</t>
        </is>
      </c>
      <c r="C560" t="inlineStr">
        <is>
          <t>Is it possible to be nauseous 24/7 for almost 3 weeks for wrong prescription?
I have GERD and I’ve changed my diet and everything and I thought that was the reason why I’m nauseous because of omeprazole and domperidone but my gastroenterologist said it shouldn’t be the cause of my nausea which I get the moment I wake up until I go to sleep. 
It’s basically every second of my life for the past 3 weeks and she said I might be wearing the wrong prescription and I only wear it when I’m on the computer, driving at night because my vision is honestly fine without it. But how can I be nauseous for such a long period of time and even when I just woke up? 
I’m at a lost because I don’t know what doctor to see and I just wanna feel normal again.</t>
        </is>
      </c>
      <c r="D560" t="n">
        <v>2</v>
      </c>
      <c r="E560" t="n">
        <v>4</v>
      </c>
      <c r="F560">
        <f>HYPERLINK("https://www.reddit.com/r/eyetriage/comments/c85bpd/is_it_possible_to_be_nauseous_247_for_almost_3/")</f>
        <v/>
      </c>
      <c r="G560" t="inlineStr">
        <is>
          <t>2019-07-01 22:30:58</t>
        </is>
      </c>
      <c r="H560" t="inlineStr"/>
    </row>
    <row r="561">
      <c r="A561" t="inlineStr">
        <is>
          <t>c8cdp8</t>
        </is>
      </c>
      <c r="B561" t="inlineStr">
        <is>
          <t>TRT causing PDS related ocular hypertension</t>
        </is>
      </c>
      <c r="C561" t="inlineStr">
        <is>
          <t>Evening all , 
Around 3 years ago i was diagnosed with PDS with eye pressure of 38 in my right eye and 33 in my left eye. As a result of this i have been on numerous eye drops to manage pressure somewhat..the latest batch having been Lantanoprost for a year which at the time to manage the pressure. 
Fast forward 1 year and i have been on TRT during this time due to secondary hypo gonadism. My dose is 125mg sustanon every 6 days which keeps me at a nice level.
Recently having an annual check up the optomotetrist has become concerned as my pressures have no elevated to 28 and 30 .  Once i  mentioned i was on the steriod medication eye brows were raised and they almost immediatley blamed this pressure raise on the TRT.
TRT is relativley unheard of here in the UK and frowned upon by alot of doctors as its not really undestood or considered neccesary in  our socialised health care system.
Does anyone out there have any data or even annecdotal evidence to back these claims of it causing a pressure rise ?</t>
        </is>
      </c>
      <c r="D561" t="n">
        <v>1</v>
      </c>
      <c r="E561" t="n">
        <v>2</v>
      </c>
      <c r="F561">
        <f>HYPERLINK("https://www.reddit.com/r/eyetriage/comments/c8cdp8/trt_causing_pds_related_ocular_hypertension/")</f>
        <v/>
      </c>
      <c r="G561" t="inlineStr">
        <is>
          <t>2019-07-02 10:53:02</t>
        </is>
      </c>
      <c r="H561" t="inlineStr"/>
    </row>
    <row r="562">
      <c r="A562" t="inlineStr">
        <is>
          <t>c8dc6a</t>
        </is>
      </c>
      <c r="B562" t="inlineStr">
        <is>
          <t>Can anyone give me advice what to do?</t>
        </is>
      </c>
      <c r="C562" t="inlineStr">
        <is>
          <t xml:space="preserve">
I have cataract in my good eye the other eye is completely blind. So, I want to drive cars, but the state requires me to have at least 40/20 eyesight and 106 degrees horizontal (Don’t really know what they are asking) something. My ophthalmologist suggested that I undergo cataract surgery for my only good eye.  He also said that if I do not act quickly, I might lose whatever little eyesight I currently have. 
The thing is good eye is the only one I have left, so if I go under surgery and the surgery is not successful, then I am blind – and I am really, really terrified for that prospect. I don’t know what to do, in one hand I want to improve my eyesight and that I can meet that state requirements and in the other hand, the surgery not being successful is real possibility and me becoming a blind guy. 
So what do you think? I know the decision is ultimately for me to make, if you were in my situation what would you do?</t>
        </is>
      </c>
      <c r="D562" t="n">
        <v>4</v>
      </c>
      <c r="E562" t="n">
        <v>14</v>
      </c>
      <c r="F562">
        <f>HYPERLINK("https://www.reddit.com/r/eyetriage/comments/c8dc6a/can_anyone_give_me_advice_what_to_do/")</f>
        <v/>
      </c>
      <c r="G562" t="inlineStr">
        <is>
          <t>2019-07-02 12:08:35</t>
        </is>
      </c>
      <c r="H562" t="inlineStr"/>
    </row>
    <row r="563">
      <c r="A563" t="inlineStr">
        <is>
          <t>c8e2sq</t>
        </is>
      </c>
      <c r="B563" t="inlineStr">
        <is>
          <t>Uveitic glaucoma, now getting Ahmed glaucoma valve implant. Anyone else?</t>
        </is>
      </c>
      <c r="C563" t="inlineStr">
        <is>
          <t>About a year and a half ago i got iritis in both eyes (they didn't find any underlying issues), it started to go away but then came back big time, so I've been using cortisone eye drops every single day in different amounts since then.
About maybe eight or so months ago my intra ocular pressure started to increase, I got eye drops to lower it, it helped for a while. IOP started to increase more and I got more eye drops to lower the pressure, eventually I had 4 different types of eye drops for the IOP only, but it still didn't seem to decrease enough, at worst it was around 37mmHg in the right eye, the left eye just behind, at best the right eye was at 23, now it's around 30 again in both and i am also eating Diamox to lower the pressure since 1,5 weeks back.
Cherry on top I also have cataract in both eyes now, I can still see okey without glasses though but doctors say i will need surgery for that too. Also the anterior uveitis /iritis spread, so it's now also inside the eye, the diagnosis for the inflammation is i think iridocyclitis now.
I work in medicine, nothing with eyes though, so I love to research these things but for this I am worried.
&amp;amp;#x200B;
Now to my actual questions:
In one week I am getting glaucoma surgery in the right eye, apparently the IOP has done a small amount of damage to the optic nerve already. I am scheduled for Ahmed glaucoma valve.
The thing is, I am only 32  years old, and these implants doesn't seem to be meant to last for a lifetime. I am super worried if this really is the right way to go, or if it will make more harm to my eyes than trying to keep controlling the uveitis and IOP and thus lose some vision from damage to the optic nerve? I will very likely have to do the left eye also.
&amp;amp;#x200B;
Is this too big of a surgery to do for so "little" of a problem, or am I only imagining there is no problem cause my brain/eyes is compensating the visual loss (which i can't really tell i have)? (I did have some seriously bad vision off and on, but I think that was from some of the eye drops maybe)
&amp;amp;#x200B;
I would love to talk to someone, or find a forum with people that has had this done, to know what to expect and what it can look like and so on, I am having a hard time finding patient experience stories, especially from younger people.</t>
        </is>
      </c>
      <c r="D563" t="n">
        <v>1</v>
      </c>
      <c r="E563" t="n">
        <v>8</v>
      </c>
      <c r="F563">
        <f>HYPERLINK("https://www.reddit.com/r/eyetriage/comments/c8e2sq/uveitic_glaucoma_now_getting_ahmed_glaucoma_valve/")</f>
        <v/>
      </c>
      <c r="G563" t="inlineStr">
        <is>
          <t>2019-07-02 12:47:07</t>
        </is>
      </c>
      <c r="H563" t="inlineStr"/>
    </row>
    <row r="564">
      <c r="A564" t="inlineStr">
        <is>
          <t>c8tp6z</t>
        </is>
      </c>
      <c r="B564" t="inlineStr">
        <is>
          <t>Visual Field Test Question</t>
        </is>
      </c>
      <c r="C564" t="inlineStr">
        <is>
          <t>I recently had my visual field test for suspected glaucoma and my right eye was within normal limits, with my left eye being borderline. For this test, I had to sit in a dark room with an eye patch, and the technician kept saying that my pupils were really big during the test. About a year and a half ago, I have a visual field test done in which my eyes were both more sensitive, but the lights were on and I believe my pupils were done. I’m concerned because last year, my central vision sensitivity was around 35-33, but this time it read from around 31-27. I was just wondering if my pupils sizes could affect the readings on this test or if there’s a difference between the results due to the lighting of the testing environment.</t>
        </is>
      </c>
      <c r="D564" t="n">
        <v>1</v>
      </c>
      <c r="E564" t="n">
        <v>10</v>
      </c>
      <c r="F564">
        <f>HYPERLINK("https://www.reddit.com/r/eyetriage/comments/c8tp6z/visual_field_test_question/")</f>
        <v/>
      </c>
      <c r="G564" t="inlineStr">
        <is>
          <t>2019-07-03 14:10:31</t>
        </is>
      </c>
      <c r="H564" t="inlineStr"/>
    </row>
    <row r="565">
      <c r="A565" t="inlineStr">
        <is>
          <t>c8u1ih</t>
        </is>
      </c>
      <c r="B565" t="inlineStr">
        <is>
          <t>Is it normal my axis has changed?</t>
        </is>
      </c>
      <c r="C565" t="inlineStr">
        <is>
          <t>I just came back from the optometrist.
Here is my new prescription:
OD (Right)  SPH-1.00 CYL-0.75 AXIS90
OS (Left) SPH-2.00 CYL-0.50 AXIS105
Here is the prescription from 2 years ago:
OD (Right) SPH-1.00 CYL-1.00 AXIS98
OS (Left) SPH-1.50 CYL-0.50 AXIS108
&amp;amp;#x200B;
&amp;amp;#x200B;
**My questions:** Is it normal my axis has changed?  If yes, how does it happen and what does it mean?  Does it make a big difference?
&amp;amp;#x200B;
Thank you!</t>
        </is>
      </c>
      <c r="D565" t="n">
        <v>1</v>
      </c>
      <c r="E565" t="n">
        <v>0</v>
      </c>
      <c r="F565">
        <f>HYPERLINK("https://www.reddit.com/r/eyetriage/comments/c8u1ih/is_it_normal_my_axis_has_changed/")</f>
        <v/>
      </c>
      <c r="G565" t="inlineStr">
        <is>
          <t>2019-07-03 14:39:29</t>
        </is>
      </c>
      <c r="H565" t="inlineStr"/>
    </row>
    <row r="566">
      <c r="A566" t="inlineStr">
        <is>
          <t>c8yzun</t>
        </is>
      </c>
      <c r="B566" t="inlineStr">
        <is>
          <t>Need help/advice: Onset of eye floaters and blurred peripheral vision (especially in the mornings) after treatment with SERM medication</t>
        </is>
      </c>
      <c r="C566" t="inlineStr">
        <is>
          <t>Hello,
I'm a 24 year old male that was treated with Raloxifene (SERM class drug) around 4 months ago (60mg/day). Around 15 days into my treatment, I've started noticing eye flashes in the nights (with closed eyes) and a large amount of eye floaters appearing in both of my eyes.
I've discontinued Raloxifene 2 days after the symptoms appeared after reading up on the possibility it was drug induced.
Since them, my peripheral field of vision in the mornings is heavily blurred (if I stipulate that I have a 120 degree vision span, this affects approximately 35 degrees starting from both sides, leaving me with 50 degress of clear image - like tunnel vision), which improves 30 minutes after I wake up and go about my day, but does not dissipate completely. I've also developed possible nearsightedness (?) as I really have to focus to see things that are close in adequate clarity (but am able to after 'compensating" with my eyes).
I've always had excellent eye sight prior to this incident.
My condition appears to be stable; no new floaters have developed and blurrynes of my vision is not getting worse. I've experienced no additional eye flashes.
I went to an optician who performed a retinal examination of one of my eyes (direct exam approach), but discovered no abnormalities.
I'm not sure if relevant but the flashes were really weird - like they weren't emanating from my eyes, but from my brain. Not sure if this makes any sense. Additionally, and again, not sure if relevant, but my E2 and T levels are consistently low and am discussing possible TRT with my endocrinologist.
My question is; What should I make of this? Does this indicate towards any pathology? Are there any additional tests I should do, or steps I need to take? Anything I should be particularly worried about or look out for?
Thank you so much.</t>
        </is>
      </c>
      <c r="D566" t="n">
        <v>1</v>
      </c>
      <c r="E566" t="n">
        <v>1</v>
      </c>
      <c r="F566">
        <f>HYPERLINK("https://www.reddit.com/r/eyetriage/comments/c8yzun/need_helpadvice_onset_of_eye_floaters_and_blurred/")</f>
        <v/>
      </c>
      <c r="G566" t="inlineStr">
        <is>
          <t>2019-07-03 23:04:11</t>
        </is>
      </c>
      <c r="H566" t="inlineStr"/>
    </row>
    <row r="567">
      <c r="A567" t="inlineStr">
        <is>
          <t>c91a2s</t>
        </is>
      </c>
      <c r="B567" t="inlineStr">
        <is>
          <t>Are there any common problems that sometimes happen during cataract surgery that make PCO more likely to happen?</t>
        </is>
      </c>
      <c r="C567" t="inlineStr">
        <is>
          <t>Or is PCO completely unrelated to what happens in the surgery?</t>
        </is>
      </c>
      <c r="D567" t="n">
        <v>0</v>
      </c>
      <c r="E567" t="n">
        <v>2</v>
      </c>
      <c r="F567">
        <f>HYPERLINK("https://www.reddit.com/r/eyetriage/comments/c91a2s/are_there_any_common_problems_that_sometimes/")</f>
        <v/>
      </c>
      <c r="G567" t="inlineStr">
        <is>
          <t>2019-07-04 04:01:38</t>
        </is>
      </c>
      <c r="H567" t="inlineStr"/>
    </row>
    <row r="568">
      <c r="A568" t="inlineStr">
        <is>
          <t>c92v5v</t>
        </is>
      </c>
      <c r="B568" t="inlineStr">
        <is>
          <t>Can a phone LED flashlight damage your eyes? Had some really close exposure and I'm worried.</t>
        </is>
      </c>
      <c r="C568" t="inlineStr">
        <is>
          <t>I had a retinal migraine for the first time ever last night, and it sort of freaked me out as I wasn't aware what was happening. I spoke to a friend explaining my worry and he said make sure that your eyes are still able to dilate. I wasn't really thinking about how dumb what I did next was - obviously I wouldn't do it again. 
Anyway, I essentially used the flashlight on my phone to make my eyes dilate and undilate. My phone was right up to my face, but wasn't directly facing my eye. I basically had it pressed perpendicular to my cheekbone, if that makes sense. I probably did this for 30-45 seconds. 
I've had afterimages from a light source before but the resulting one was huge and covered my entire vision field - it was extremely prominent on everything I looked at. It was sort of in the shape of an infinity sign, which I'm assuming is because of the angles. This was really scary. It slowly diminished over the course of the next 30 minutes or so, and I can't see it today.
However, I do feel quite light sensitive today. I've noticed that while I don't see afterimages with my eyes open, if I close my eyes after being in a bright room I can see outlines of a few of the light sources in the room (like windows) which I haven't had happen before. Have I done damage to my retina or eyes?
I'm hoping that I'm just being paranoid. Ironically, I went to my eye doctor just last week and he did a slit lamp exam because he was concerned after I casually mentioned having a bunch of floaters (everything was fine). That lamp was really bright - I'm assuming more so than my phone LED - but I'm a bit concerned as I don't remember having such an intense afterimage afterwards.
As such, I wouldn't mind someone else's opinion so I know if I should go back to an optician or not.</t>
        </is>
      </c>
      <c r="D568" t="n">
        <v>1</v>
      </c>
      <c r="E568" t="n">
        <v>6</v>
      </c>
      <c r="F568">
        <f>HYPERLINK("https://www.reddit.com/r/eyetriage/comments/c92v5v/can_a_phone_led_flashlight_damage_your_eyes_had/")</f>
        <v/>
      </c>
      <c r="G568" t="inlineStr">
        <is>
          <t>2019-07-04 06:55:06</t>
        </is>
      </c>
      <c r="H568" t="inlineStr"/>
    </row>
    <row r="569">
      <c r="A569" t="inlineStr">
        <is>
          <t>c9av22</t>
        </is>
      </c>
      <c r="B569" t="inlineStr">
        <is>
          <t>Help! Left eye twitch/flutter</t>
        </is>
      </c>
      <c r="C569" t="inlineStr">
        <is>
          <t>Hello everyone! As the title suggests, I’ve been dealing with a very persistent left under eye twitch for about a month straight. I’m at my wits end about it, and it’s giving me the worst anxiety. That being said, I did make a doctors appointment, but of course, it wasn’t doing it at the time of the appointment for the doctor to see. It was just a general checkup appointment, not an ophthalmologist appointment. I told her that I had a video of it but she just waved it off and didn’t seem too concerned about it. 
Now I know what everyone is gonna say, too much stress, fatigue, too much caffeine. I’ve completely stopped drinking coffee/caffeine since this whole thing started. I’d like to think I’ve been more stressed at certain points in my life than I am right this second, and my body has always dealt with it in different ways. 
Fatigue? It’s possible. I’ve been working 3am to after 12 pm for almost the whole month of June, right when this started. ONLY THING about that, is that 3am-12pm used to be my ‘normal’ shift for over a year and I’ve never had this problem. 
I’ve been taking magnesium/calcium supplements for about 5 days, 3 times a day. Because I’ve also read that a calcium/magnesium deficiency will cause it. 
My eye isn’t forcefully clamping shut or that part of my face isn’t forcefully moving. It’s just a little fluttery nerve under my left eye.. literally feels like a baby humming bird is trapped under my skin! At times it’s a lot worse than others, meaning if I show my boyfriend he says ‘uhh yeah that’s definitely noticeable’. Sometimes it’ll stop for the majority of the day and start up again around the evening time. 
I guess I’m just looking for reassurance that it WILL go away and maybe others have experienced this same thing, and what you did to help it go away? I’m sorry if this post is jumbled or jumps around. I feel like I’m going crazy trying to figure this stupid thing out! Am I just a worry wart? A paranoid Polly? Please Help! Thanks in advance!</t>
        </is>
      </c>
      <c r="D569" t="n">
        <v>1</v>
      </c>
      <c r="E569" t="n">
        <v>4</v>
      </c>
      <c r="F569">
        <f>HYPERLINK("https://www.reddit.com/r/eyetriage/comments/c9av22/help_left_eye_twitchflutter/")</f>
        <v/>
      </c>
      <c r="G569" t="inlineStr">
        <is>
          <t>2019-07-04 19:50:46</t>
        </is>
      </c>
      <c r="H569" t="inlineStr"/>
    </row>
    <row r="570">
      <c r="A570" t="inlineStr">
        <is>
          <t>c9cbr2</t>
        </is>
      </c>
      <c r="B570" t="inlineStr">
        <is>
          <t>Been under a lot of stress lately and have had a hard time focusing on text.</t>
        </is>
      </c>
      <c r="C570" t="inlineStr">
        <is>
          <t>This past week I have been under an enormous amount of stress and I noticed a couple days ago I had a very hard time focusing on text on my cellphone or computer screen.   I have experienced this in the evenings before when my eyes were tired, but this time it's been several days and it doesn't seem to be letting up.  Is it possibly CRVO or BRVO?   I have also noticed my right eyelid has been twitching for the past week.  Could it just be eye strain?  My eyes just aren't able to stay focused for as long as they used to be able to.   The only reason I wonder about CRVO or BRVO is I'm sure that my blood pressure has been through the roof this past week.  
I saw and optometrist last week and everything was fine.  I mentioned the occasional difficulty focusing and they said new contacts should solve the problem.  I just don't know if this is something that would be considered an emergency (I have work travel planned and cannot easily make an appointment for the next couple weeks without cancelling work trips), or if it's something I can wait on.</t>
        </is>
      </c>
      <c r="D570" t="n">
        <v>0</v>
      </c>
      <c r="E570" t="n">
        <v>32</v>
      </c>
      <c r="F570">
        <f>HYPERLINK("https://www.reddit.com/r/eyetriage/comments/c9cbr2/been_under_a_lot_of_stress_lately_and_have_had_a/")</f>
        <v/>
      </c>
      <c r="G570" t="inlineStr">
        <is>
          <t>2019-07-04 22:49:15</t>
        </is>
      </c>
      <c r="H570" t="inlineStr"/>
    </row>
    <row r="571">
      <c r="A571" t="inlineStr">
        <is>
          <t>c9p5gd</t>
        </is>
      </c>
      <c r="B571" t="inlineStr">
        <is>
          <t>Best solution for starbursts caused by large pupils?</t>
        </is>
      </c>
      <c r="C571" t="inlineStr">
        <is>
          <t>I'm 26 and I've been wearing contacts since I was 12. My current prescription is -4.00 in each eye. I have super mild astigmatism in both eyes, but my optometrist told me to not worry about it at all. Starting from about a year ago, I've noticed my night vision is much worse than it used to be-- every light has a huge starburst around it and everything seems very dim, like I'm wearing sunglasses at night. More recently, I've noticed problems with focusing on things. My eyes seem to rapidly shift in and out of focus constantly unless I'm concentrating all my energy on keeping them focused. 
I recently had my yearly eye exam, mentioned these concerns, and after a thorough exam my optometrist said my eyes were perfectly healthy. When testing my vision, doing the standard "read the lowest line you can read" test, I could read the lowest line but again I was having issues with focus so I could technically read it but my eyes wouldn't focus on it long enough for me to read all of it. The doctor put some drops in my eyes to temporarily disable the focusing mechanism in my eyes (unsure what they were, he said it was similar to dilation, and it did in fact make my pupils super dilated), but I was still having focusing issues.
He had me try out some different brands of contacts, and I went back to see him twice more, with no alleviation of my symptoms, but at this point the only thing that was really bothering me to the point where I won't just accept it is the starbursts I see at night. I love driving, especially at night, but it's become harder and harder for me to drive because I live in the city and there are lights everywhere. I no longer can see what oncoming cars look like; I just see huge starbursts. I feel like I'm sunblinded walking around at night. I asked my optometrist why and he said it's because my pupils are large, and he recommended a $400 pair of glasses that has a special coating on it to prevent starbursts (DriveSafe). I'm 26 years old, and a grad student. I can't afford a $400 pair of glasses when I just spent $600 for contacts and $200 on eye exams! I've had large pupils my whole life (people often commented on them when I was younger) so I'm wondering why this is just now becoming an issue. My night vision used to be perfect. My prescription hasn't changed in years. My doctor claims the medications I'm on wouldn't cause this (Modafinil and gabapentin) but I'm not sure I believe that because this problem started happening around the time I started taking the gabapentin.
tl;dr: My large pupils are causing nighttime starbursts and poor night vision. Is there any solution to this problem that won't cost me a fortune?</t>
        </is>
      </c>
      <c r="D571" t="n">
        <v>1</v>
      </c>
      <c r="E571" t="n">
        <v>3</v>
      </c>
      <c r="F571">
        <f>HYPERLINK("https://www.reddit.com/r/eyetriage/comments/c9p5gd/best_solution_for_starbursts_caused_by_large/")</f>
        <v/>
      </c>
      <c r="G571" t="inlineStr">
        <is>
          <t>2019-07-05 20:49:12</t>
        </is>
      </c>
      <c r="H571" t="inlineStr"/>
    </row>
    <row r="572">
      <c r="A572" t="inlineStr">
        <is>
          <t>c9q1gc</t>
        </is>
      </c>
      <c r="B572" t="inlineStr">
        <is>
          <t>Dancing lights as a kid, yes it's random.</t>
        </is>
      </c>
      <c r="C572" t="inlineStr">
        <is>
          <t>This is the closest subreddit I could find after a dozen google searches that didn't really have an answer. As a kid, and also sometimes during the last few years (22yo), I'd look at a colorful object or even a black and white pattern and light would bounce and dance back and forth across it wherever I tracked. It was especially noticeable with a Nascar Jeff Gordon comforter I had during winters, as it was light blue, red, and checked flags. It was almost as if I was tripping but sans the whole stereotypical spinning upside down pinwheel effect. Does anyone know what would cause this? Anytime I've explained it to someone I just get weird looks.</t>
        </is>
      </c>
      <c r="D572" t="n">
        <v>1</v>
      </c>
      <c r="E572" t="n">
        <v>0</v>
      </c>
      <c r="F572">
        <f>HYPERLINK("https://www.reddit.com/r/eyetriage/comments/c9q1gc/dancing_lights_as_a_kid_yes_its_random/")</f>
        <v/>
      </c>
      <c r="G572" t="inlineStr">
        <is>
          <t>2019-07-05 22:38:22</t>
        </is>
      </c>
      <c r="H572" t="inlineStr"/>
    </row>
    <row r="573">
      <c r="A573" t="inlineStr">
        <is>
          <t>c9q4yp</t>
        </is>
      </c>
      <c r="B573" t="inlineStr">
        <is>
          <t>For years, would only change my one a day contacts about once a month, Why did I never have problems?</t>
        </is>
      </c>
      <c r="C573" t="inlineStr">
        <is>
          <t>Not looking for preaching here, Realize that what I did was incredibly unintelligent and could have blinded me. Wondering medically why I managed to get away with it.  
\-----------------------
&amp;amp;#x200B;
Recently switched to 30 day extended wear contacts and have started to change my eye life around treating them properly.
&amp;amp;#x200B;
But literally for years, I wore the same Acuve Moist for weeks at a time day and night.   
Went to the eye doctor about once every 2 years and never had any problems.  I have also never had need for Eye Drops or dry eyes problems etc.    
Everything I\`ve read makes it seem like I should have had horrible eye infections or blinded.</t>
        </is>
      </c>
      <c r="D573" t="n">
        <v>2</v>
      </c>
      <c r="E573" t="n">
        <v>5</v>
      </c>
      <c r="F573">
        <f>HYPERLINK("https://www.reddit.com/r/eyetriage/comments/c9q4yp/for_years_would_only_change_my_one_a_day_contacts/")</f>
        <v/>
      </c>
      <c r="G573" t="inlineStr">
        <is>
          <t>2019-07-05 22:50:58</t>
        </is>
      </c>
      <c r="H573" t="inlineStr"/>
    </row>
    <row r="574">
      <c r="A574" t="inlineStr">
        <is>
          <t>c9wxvx</t>
        </is>
      </c>
      <c r="B574" t="inlineStr">
        <is>
          <t>New flashing lights for approx. two weeks</t>
        </is>
      </c>
      <c r="C574" t="inlineStr">
        <is>
          <t>Female, 30s, HLA-B27 positive with history of uveitis and recurrent headaches, neck pain and eye pain. History of prednisone use but not on anything currently. Last uveitis flare was in December. 
The past couple weeks, I've had something new come to my attention, and I don't believe I've had this issue before. I've started seeing flashes in my peripheral vision. Some of these are just fast flickers. Some are vertical bolts of light. They are pretty instantaneous. They come in spurts of two or three over several minutes, and then go away for a couple days.  I'm definitely dealing with some kind of "flare" of stuff with some neck pain and skin lesions. Floaters in general have become more obvious too, but I've learned to ignore them over time. 
I'm asking here FIRST before calling up the ophthalmologist because I'm currently on medicaid while in school and having serious billing issues with them/my providers.  Want to see if this is something that needs more urgent attention or if it can wait a little while. 
Should I go to a doctor soon or is this nothing to be concerned about? Thank you in advance.</t>
        </is>
      </c>
      <c r="D574" t="n">
        <v>2</v>
      </c>
      <c r="E574" t="n">
        <v>3</v>
      </c>
      <c r="F574">
        <f>HYPERLINK("https://www.reddit.com/r/eyetriage/comments/c9wxvx/new_flashing_lights_for_approx_two_weeks/")</f>
        <v/>
      </c>
      <c r="G574" t="inlineStr">
        <is>
          <t>2019-07-06 11:34:47</t>
        </is>
      </c>
      <c r="H574" t="inlineStr"/>
    </row>
    <row r="575">
      <c r="A575" t="inlineStr">
        <is>
          <t>ca0bee</t>
        </is>
      </c>
      <c r="B575" t="inlineStr">
        <is>
          <t>Blurred Vision and Pain Behind Eye</t>
        </is>
      </c>
      <c r="C575" t="inlineStr">
        <is>
          <t>32, Female,  Race:  Indian,  Location: USA
I started having pain behind left eye about 10 days ago (started noticing around 27-28 June).  I would like to know how serious the problem might be and where I should seek treatment.
I am in between jobs  and I am without insurance at the moment.   I would like to know how urgently I need care.   I will have insurance in October. 
Symptoms in Left Eye --
* Pain behind left eye - feels like pressure on the eye (started June 27)
* Pain when looking sideways or up and down without turning head (started June 27)
* Pain on forehead, temple around left eye. Initially felt relief when massaged the temples (as some online articles suggested). Later massages felt more painful. (started June 29)
* Pain when focusing on an object or written material (noticed June 30)
* Light sensitivity (noticed June 29-30) Sunglasses help a little.
* Pain in forehead and behind eye when head was moved quickly to look around, especially in brightly lit rooms (eg. gym).
* Blurred and distorted vision with left eye alone - first noticed a few days ago. Makes hard to read text with left eye alone, seems to distort color, I see white patches/spots when I focus on any object - this is especially noticeable when I look at some printed material. A plain colored object just looks blurry.
* No redness or change in appearance
Possibly Relevant Information -
In the previous week (June 24 to 28) I rode motorbike for 2 hours everyday with no sunglasses, requiring me to squint in the bright sunlight.
Experienced similar pain behind both eyes as described in points 1, 2, 3 on June 5 - 8. Background - very little sleep during travel to Israel and jetlag. I did not notice any blurry vision (but I did not check).
In the past week, experienced allergy symptoms - itchy eyes, sneezing and runny nose - the symptoms went away with antihistamines.
Last summer suffered from dry eyes - use of OTC eye drops cured it
No known trauma/injury</t>
        </is>
      </c>
      <c r="D575" t="n">
        <v>1</v>
      </c>
      <c r="E575" t="n">
        <v>9</v>
      </c>
      <c r="F575">
        <f>HYPERLINK("https://www.reddit.com/r/eyetriage/comments/ca0bee/blurred_vision_and_pain_behind_eye/")</f>
        <v/>
      </c>
      <c r="G575" t="inlineStr">
        <is>
          <t>2019-07-06 16:41:45</t>
        </is>
      </c>
      <c r="H575" t="inlineStr"/>
    </row>
    <row r="576">
      <c r="A576" t="inlineStr">
        <is>
          <t>ca1pbh</t>
        </is>
      </c>
      <c r="B576" t="inlineStr">
        <is>
          <t>Haven't really worn sunglasses during my life so far. Is my risk of ARMD increased with a possibility of occurring at an earlier age?</t>
        </is>
      </c>
      <c r="C576" t="inlineStr">
        <is>
          <t>I'm 26 years old, and I haven't really started wearing glasses regularly until a couple of months ago. Has the exposure to UV/blue light over all this time - from playing sports outside to going to the beach to driving with the sun in my vision - possibly increased my chances of developing macular degeneration and even accelerated its development? Maybe rather than getting it at age 70, I get it as early as 50 or something like that? It seems like studies haven't conclusively established a causal relationship between UV/blue light and ARMD, but the association remains strong.</t>
        </is>
      </c>
      <c r="D576" t="n">
        <v>1</v>
      </c>
      <c r="E576" t="n">
        <v>3</v>
      </c>
      <c r="F576">
        <f>HYPERLINK("https://www.reddit.com/r/eyetriage/comments/ca1pbh/havent_really_worn_sunglasses_during_my_life_so/")</f>
        <v/>
      </c>
      <c r="G576" t="inlineStr">
        <is>
          <t>2019-07-06 19:07:28</t>
        </is>
      </c>
      <c r="H576" t="inlineStr"/>
    </row>
    <row r="577">
      <c r="A577" t="inlineStr">
        <is>
          <t>ca59l5</t>
        </is>
      </c>
      <c r="B577" t="inlineStr">
        <is>
          <t>Does a posterior vitreous detachment get worse before it gets better?</t>
        </is>
      </c>
      <c r="C577" t="inlineStr">
        <is>
          <t>I posted a couple weeks ago and did see my doctor.  Yes it was PVD.
Twice prior to seeing him I had what looked like a squid squirting ink from the lower inner corner of my right eye.  The first time it diffused right away.  A day later it still mostly went way, but I had fine line lights in the periphery of the same eye.
On my way to the doctor's office it happened again.  Sight was better for a couple days, The it happened again, and the floaters were worse.  Over the next three days things got better each day, then it happened again yesterday.
Is this normal?  
My doctor told me to come back if I had the curtain symptom and or flashes elsewhere.  I haven't.  Does PVD continue and at some point get better?</t>
        </is>
      </c>
      <c r="D577" t="n">
        <v>2</v>
      </c>
      <c r="E577" t="n">
        <v>4</v>
      </c>
      <c r="F577">
        <f>HYPERLINK("https://www.reddit.com/r/eyetriage/comments/ca59l5/does_a_posterior_vitreous_detachment_get_worse/")</f>
        <v/>
      </c>
      <c r="G577" t="inlineStr">
        <is>
          <t>2019-07-07 03:02:40</t>
        </is>
      </c>
      <c r="H577" t="inlineStr"/>
    </row>
    <row r="578">
      <c r="A578" t="inlineStr">
        <is>
          <t>ca7aid</t>
        </is>
      </c>
      <c r="B578" t="inlineStr">
        <is>
          <t>Sun was in my eyes a few times. Will this damage my eyes?</t>
        </is>
      </c>
      <c r="C578" t="inlineStr">
        <is>
          <t>So while I was throwing the football around with my friends, the sun kept getting into my eyes while I went to catch it. It wasn’t for very long, but it happened multiple times. It was like 9-10 AM and the sun rises at around 6:30-7 where I am. So it was about 3 hours after sunrise.</t>
        </is>
      </c>
      <c r="D578" t="n">
        <v>2</v>
      </c>
      <c r="E578" t="n">
        <v>10</v>
      </c>
      <c r="F578">
        <f>HYPERLINK("https://www.reddit.com/r/eyetriage/comments/ca7aid/sun_was_in_my_eyes_a_few_times_will_this_damage/")</f>
        <v/>
      </c>
      <c r="G578" t="inlineStr">
        <is>
          <t>2019-07-07 07:18:08</t>
        </is>
      </c>
      <c r="H578" t="inlineStr"/>
    </row>
    <row r="579">
      <c r="A579" t="inlineStr">
        <is>
          <t>cacgck</t>
        </is>
      </c>
      <c r="B579" t="inlineStr">
        <is>
          <t>Automatic diabetic retinopathy detection</t>
        </is>
      </c>
      <c r="C579" t="inlineStr">
        <is>
          <t>Hey, Reddit!
I have created a program that detects diabetic retinopathy. It is quite simple - you just upload a picture. e.g.
&amp;amp;#x200B;
https://i.redd.it/sa1gcwb2by831.png
The program will rate each image for the severity of [diabetic retinopathy](https://nei.nih.gov/health/diabetic/retinopathy) on a scale of 0 to 4:
0 - No DR
1 - Mild
2 - Moderate
3 - Severe
4 - Proliferative DR
It uses neural nets and scored just above 77  based on the quadratic weighted kappa.
Here is the [Link(500MB)](https://www.dropbox.com/sh/1fly8u5n81cxqtk/AAD1jp0z_TMqEbODGuDr_EiIa?dl=0) 
Hit me up if you need a mac or Linux version.
Cheers,
Vadim</t>
        </is>
      </c>
      <c r="D579" t="n">
        <v>2</v>
      </c>
      <c r="E579" t="n">
        <v>0</v>
      </c>
      <c r="F579">
        <f>HYPERLINK("https://www.reddit.com/r/eyetriage/comments/cacgck/automatic_diabetic_retinopathy_detection/")</f>
        <v/>
      </c>
      <c r="G579" t="inlineStr">
        <is>
          <t>2019-07-07 14:48:15</t>
        </is>
      </c>
      <c r="H579" t="inlineStr"/>
    </row>
    <row r="580">
      <c r="A580" t="inlineStr">
        <is>
          <t>camprs</t>
        </is>
      </c>
      <c r="B580" t="inlineStr">
        <is>
          <t>So I went to the ophthalmologist and..</t>
        </is>
      </c>
      <c r="C580" t="inlineStr">
        <is>
          <t>....she checked me out and told me that I had a "micro abscess in the cornea". Well I tried to do some research and all I get can get is info on ulcers. Can somebody confirm that it is the same thing?
If it helps, here is what she got me: moxifloxacin, sodium hyaluronate and gentamycin.</t>
        </is>
      </c>
      <c r="D580" t="n">
        <v>1</v>
      </c>
      <c r="E580" t="n">
        <v>8</v>
      </c>
      <c r="F580">
        <f>HYPERLINK("https://www.reddit.com/r/eyetriage/comments/camprs/so_i_went_to_the_ophthalmologist_and/")</f>
        <v/>
      </c>
      <c r="G580" t="inlineStr">
        <is>
          <t>2019-07-08 08:47:25</t>
        </is>
      </c>
      <c r="H580" t="inlineStr"/>
    </row>
    <row r="581">
      <c r="A581" t="inlineStr">
        <is>
          <t>capyy3</t>
        </is>
      </c>
      <c r="B581" t="inlineStr">
        <is>
          <t>Piggyback IOL vs monofocal please help</t>
        </is>
      </c>
      <c r="C581" t="inlineStr">
        <is>
          <t>In February I was diagnosed with uveitis/vitritis and a cataract in my R eye. Other than that I’m perfectly healthy. I’m 32 female. Never wore glasses. I went to a local private hospital (I live in England and have insurance) and in April they put and ozurdex implant which improved inflammation. On 17 May they implanted a monofocal IOL. I did ask for a spectacle independence and suggested a trifocal lens but was advised that monofocal was the best option for me. Now following the op I have a double vision when reading, drooping eyelid R eye, enlarged pupil in R eye, halos and glare. I see much worse than prior to op. Plus cannot read. Also need a YAG capsulotomy which is OK and the consultant booked if for August. He also tried to convince me that everything is great and that I now see better but I actually can see worse than before op. So I went for A second opinion. Firstly they said that August is too early for YAG and I should wait for longer. Secondly they referred me to a neurologist for eyelid issue. The second hospital also advised that they don’t see any contradictions why the first hospital refused a trifocal. They also referred me to a retina specialist and They also said that they can implant a piggyback trifocal to improve my vision of retinal specialist will approve. I am lost now. I would like to be spectacle independent like before the op. What would you advise and why? Have you got experience with that? Is piggybank better than initially trifocal? Thank you . I’m leaning towards piggyback now but think I made a mistake by listening to the first hospital initially and going with their advise and a monofocal.</t>
        </is>
      </c>
      <c r="D581" t="n">
        <v>1</v>
      </c>
      <c r="E581" t="n">
        <v>3</v>
      </c>
      <c r="F581">
        <f>HYPERLINK("https://www.reddit.com/r/eyetriage/comments/capyy3/piggyback_iol_vs_monofocal_please_help/")</f>
        <v/>
      </c>
      <c r="G581" t="inlineStr">
        <is>
          <t>2019-07-08 12:51:08</t>
        </is>
      </c>
      <c r="H581" t="inlineStr"/>
    </row>
    <row r="582">
      <c r="A582" t="inlineStr">
        <is>
          <t>cassoy</t>
        </is>
      </c>
      <c r="B582" t="inlineStr">
        <is>
          <t>Twitching eyelid</t>
        </is>
      </c>
      <c r="C582" t="inlineStr">
        <is>
          <t>Why would an eye twitch when I close my eyes? Not just one eye, it only twitches when I close both eyes. And it’s not just by blinking, like, if I’m startled and close my eyes from the startle reflex then the bottom eyelid of my eye quivers for a couple of minutes. 
This started as a general random twitch about six months ago. At first it would just twitch randomly, and now it’s only under that specific scenario. 
Just some background: I have terrible anxiety/depression/panic attacks. I also have a one year old daughter, dealing with a lot of piling debt and didn’t sleep well for a long time because I worked at night and slept during the day. I also eat like trash, have high blood pressure for my age (24M)
If it means anything, I’ve been to my Ophthalmologist five times since January due to a car wreck that gave me eye floaters. I had a CT scan of my head after the wreck too and no concussion, tumors, lesions or anything scary like that. 
I know what you’re thinking, chronic stress, sleep debt, probably a mineral deficiency and me excessively worrying about it. But, I just want to ask and see if it’s truly just a combination of all of these things, or maybe something more insidious, or maybe I’ve just developed a nervous tick?
Thanks for reading, and thank you for your time!</t>
        </is>
      </c>
      <c r="D582" t="n">
        <v>1</v>
      </c>
      <c r="E582" t="n">
        <v>1</v>
      </c>
      <c r="F582">
        <f>HYPERLINK("https://www.reddit.com/r/eyetriage/comments/cassoy/twitching_eyelid/")</f>
        <v/>
      </c>
      <c r="G582" t="inlineStr">
        <is>
          <t>2019-07-08 16:37:11</t>
        </is>
      </c>
      <c r="H582" t="inlineStr"/>
    </row>
    <row r="583">
      <c r="A583" t="inlineStr">
        <is>
          <t>cb55jd</t>
        </is>
      </c>
      <c r="B583" t="inlineStr">
        <is>
          <t>Completely numb corneas / no corneal reflex?</t>
        </is>
      </c>
      <c r="C583" t="inlineStr">
        <is>
          <t>My eyes have been red/dry/gooey lately and I realized I can’t feel my corneas or blink when my eye is touched. What is this a sign of?</t>
        </is>
      </c>
      <c r="D583" t="n">
        <v>2</v>
      </c>
      <c r="E583" t="n">
        <v>1</v>
      </c>
      <c r="F583">
        <f>HYPERLINK("https://www.reddit.com/r/eyetriage/comments/cb55jd/completely_numb_corneas_no_corneal_reflex/")</f>
        <v/>
      </c>
      <c r="G583" t="inlineStr">
        <is>
          <t>2019-07-09 11:57:49</t>
        </is>
      </c>
      <c r="H583" t="inlineStr"/>
    </row>
    <row r="584">
      <c r="A584" t="inlineStr">
        <is>
          <t>cb9f70</t>
        </is>
      </c>
      <c r="B584" t="inlineStr">
        <is>
          <t>Lots of Duane’s questions!</t>
        </is>
      </c>
      <c r="C584" t="inlineStr">
        <is>
          <t>I have Duane’s Syndrome—I have no clue what type because I was diagnosed when I was 3 or 4.  I can’t move my right eye to the right, so it’s mainly a minor annoyance when I drive.
For the past 2-3 days, I’ve had a small blurred spot that doesn’t move in the left corner of my right eye’s field of vision.  Could this have something to do with Duane’s?  Or, did I just irritate my eye and am reading a coincidence as causation?  Warm compresses seem to really help.
While I’m here, I’ve noticed as I’ve aged—I’m 35–my right eye shape looks very slightly progressively different than my left eye shape.  I know this can be an issue with Duane’s, but I’m just curious about why?  Is my muscle atrophying?
I’ve heard it’s pretty rare—or at least they’ve told me that anytime I’ve talked to a optometrist!  Thanks for your help!</t>
        </is>
      </c>
      <c r="D584" t="n">
        <v>1</v>
      </c>
      <c r="E584" t="n">
        <v>0</v>
      </c>
      <c r="F584">
        <f>HYPERLINK("https://www.reddit.com/r/eyetriage/comments/cb9f70/lots_of_duanes_questions/")</f>
        <v/>
      </c>
      <c r="G584" t="inlineStr">
        <is>
          <t>2019-07-09 17:33:04</t>
        </is>
      </c>
      <c r="H584" t="inlineStr"/>
    </row>
    <row r="585">
      <c r="A585" t="inlineStr">
        <is>
          <t>cb9hs5</t>
        </is>
      </c>
      <c r="B585" t="inlineStr">
        <is>
          <t>Need help/advice: Onset of eye floaters and blurred peripheral vision (especially in the mornings) after treatment with SERM medication</t>
        </is>
      </c>
      <c r="C585" t="inlineStr">
        <is>
          <t xml:space="preserve">
1
Need help/advice: Onset of eye floaters and blurred peripheral vision (especially in the mornings) after treatment with SERM medication
CLOSE
r/eyetriage
•Posted byu/Rnee45
5 days ago
Need help/advice: Onset of eye floaters and blurred peripheral vision (especially in the mornings) after treatment with SERM medication
Hello,
I'm a 24 year old male that was treated with Raloxifene (SERM class drug) around 4 months ago (60mg/day). Around 15 days into my treatment, I've started noticing eye flashes in the nights (with closed eyes) and a large amount of eye floaters appearing in both of my eyes.
I've discontinued Raloxifene 2 days after the symptoms appeared after reading up on the possibility it was drug induced.
Since them, my peripheral field of vision in the mornings is heavily blurred (if I stipulate that I have a 120 degree vision span, this affects approximately 35 degrees starting from both sides, leaving me with 50 degress of clear image - like tunnel vision), which improves 30 minutes after I wake up and go about my day, but does not dissipate completely. I've also developed possible nearsightedness (?) as I really have to focus to see things that are close in adequate clarity (but am able to after 'compensating" with my eyes).
I've always had excellent eye sight prior to this incident.
My condition appears to be stable; no new floaters have developed and blurrynes of my vision is not getting worse. I've experienced no additional eye flashes.
I went to an optician who performed a retinal examination of one of my eyes (direct exam approach), but discovered no abnormalities.
I'm not sure if relevant but the flashes were really weird - like they weren't emanating from my eyes, but from my brain. Not sure if this makes any sense. Additionally, and again, not sure if relevant, but my E2 and T levels are consistently low and am discussing possible TRT with my endocrinologist.
My question is; What should I make of this? Does this indicate towards any pathology? Are there any additional tests I should do, or steps I need to take? Anything I should be particularly worried about or look out for?
Thank you so much.</t>
        </is>
      </c>
      <c r="D585" t="n">
        <v>1</v>
      </c>
      <c r="E585" t="n">
        <v>2</v>
      </c>
      <c r="F585">
        <f>HYPERLINK("https://www.reddit.com/r/eyetriage/comments/cb9hs5/need_helpadvice_onset_of_eye_floaters_and_blurred/")</f>
        <v/>
      </c>
      <c r="G585" t="inlineStr">
        <is>
          <t>2019-07-09 17:39:32</t>
        </is>
      </c>
      <c r="H585" t="inlineStr"/>
    </row>
    <row r="586">
      <c r="A586" t="inlineStr">
        <is>
          <t>cbb3dl</t>
        </is>
      </c>
      <c r="B586" t="inlineStr">
        <is>
          <t>Do I need glasses?</t>
        </is>
      </c>
      <c r="C586" t="inlineStr">
        <is>
          <t>Hi, I'm a 16 year old boi and recently I've come to the notice that I have astigmatism. The powers are -0.25 and -0.5 ( R and L ). A month ago it was double of this... The question is that do I need glasses or will it just go away? I don't experience headaches, although slight brain fog.</t>
        </is>
      </c>
      <c r="D586" t="n">
        <v>1</v>
      </c>
      <c r="E586" t="n">
        <v>3</v>
      </c>
      <c r="F586">
        <f>HYPERLINK("https://www.reddit.com/r/eyetriage/comments/cbb3dl/do_i_need_glasses/")</f>
        <v/>
      </c>
      <c r="G586" t="inlineStr">
        <is>
          <t>2019-07-09 20:03:50</t>
        </is>
      </c>
      <c r="H586" t="inlineStr"/>
    </row>
    <row r="587">
      <c r="A587" t="inlineStr">
        <is>
          <t>cbble5</t>
        </is>
      </c>
      <c r="B587" t="inlineStr">
        <is>
          <t>How to apply eye ointment?</t>
        </is>
      </c>
      <c r="C587" t="inlineStr">
        <is>
          <t>Hi I have stye in my right eyelid for a few days. No big deal.
Doctor gave me an eyedrop and eye ointment. Do I need to apply them both on the unaffected eye too?
Thanks for your time</t>
        </is>
      </c>
      <c r="D587" t="n">
        <v>1</v>
      </c>
      <c r="E587" t="n">
        <v>3</v>
      </c>
      <c r="F587">
        <f>HYPERLINK("https://www.reddit.com/r/eyetriage/comments/cbble5/how_to_apply_eye_ointment/")</f>
        <v/>
      </c>
      <c r="G587" t="inlineStr">
        <is>
          <t>2019-07-09 20:50:50</t>
        </is>
      </c>
      <c r="H587" t="inlineStr"/>
    </row>
    <row r="588">
      <c r="A588" t="inlineStr">
        <is>
          <t>cbfm4g</t>
        </is>
      </c>
      <c r="B588" t="inlineStr">
        <is>
          <t>Question about Optometrists comments</t>
        </is>
      </c>
      <c r="C588" t="inlineStr">
        <is>
          <t>Hello, I went to get an eye test for my drivers license. The optometrist said part of my eye, the yellow circle on the photograph (not sure what it’s called!) looked thinner on one side. We did a peripheral vision test, I had to click when the lights flickered and she said everything was fine but we would have to monitor it every two years. Another optometrist said it’s really common and nothing to worry about but I’m not convinced. I’ve booked with my usual specialized eye clinic to check me out, last appointment 2017.
Does anyone know what this is?
Thank you, I’m quite freaked out.</t>
        </is>
      </c>
      <c r="D588" t="n">
        <v>1</v>
      </c>
      <c r="E588" t="n">
        <v>4</v>
      </c>
      <c r="F588">
        <f>HYPERLINK("https://www.reddit.com/r/eyetriage/comments/cbfm4g/question_about_optometrists_comments/")</f>
        <v/>
      </c>
      <c r="G588" t="inlineStr">
        <is>
          <t>2019-07-10 04:36:49</t>
        </is>
      </c>
      <c r="H588" t="inlineStr"/>
    </row>
    <row r="589">
      <c r="A589" t="inlineStr">
        <is>
          <t>cbmnmj</t>
        </is>
      </c>
      <c r="B589" t="inlineStr">
        <is>
          <t>Myopia getting better - follow up appointment next week but mystified.</t>
        </is>
      </c>
      <c r="C589" t="inlineStr">
        <is>
          <t>Went to my DO today because I recently had a physical and noticed my right eye was blurry.  DO double and triple checked - my right eye has gotten better - so much that my prescription would need to be weakened.   He mentioned a couple things that could have caused this.
1. Cataracts (he did not see a sign of this) 
2. Stress causing swelling behind my retina (didn't see this as well) 
3. Cornea change due to trauma (no trauma to speak of)
In the end he measured both my corneas - and noticed that my right one is flatter.  Keratoconus was mentioned as a reason that the cornea changes shape (no sign of it) but he stated that this makes the eye more peaked rather than less peaked.  Right now he is unsure of why - I have a follow up appointment next week and a possible specialist appointment with a cornea expert - but I wanted to see if anyone had any idea what could cause this.</t>
        </is>
      </c>
      <c r="D589" t="n">
        <v>2</v>
      </c>
      <c r="E589" t="n">
        <v>7</v>
      </c>
      <c r="F589">
        <f>HYPERLINK("https://www.reddit.com/r/eyetriage/comments/cbmnmj/myopia_getting_better_follow_up_appointment_next/")</f>
        <v/>
      </c>
      <c r="G589" t="inlineStr">
        <is>
          <t>2019-07-10 14:21:54</t>
        </is>
      </c>
      <c r="H589" t="inlineStr"/>
    </row>
    <row r="590">
      <c r="A590" t="inlineStr">
        <is>
          <t>cbmvj0</t>
        </is>
      </c>
      <c r="B590" t="inlineStr">
        <is>
          <t>Is there any possibility for worsening glaucoma with laser cataract surgery?</t>
        </is>
      </c>
      <c r="C590" t="inlineStr">
        <is>
          <t xml:space="preserve"> Hope things are going well! I had a quick question regarding an upcoming surgery for my mother -- she has severe glaucoma and is also struggling with cataracts. We want to get her cataract surgery but are unsure whether or not laser cataract surgery would be best given her situation. Is there any chance that laser surgery could make her glaucoma worse? I've read articles regarding laser-induced glaucoma and am just nervous about this possibility. Thank you so much and hope you all have a great rest of the week!</t>
        </is>
      </c>
      <c r="D590" t="n">
        <v>1</v>
      </c>
      <c r="E590" t="n">
        <v>5</v>
      </c>
      <c r="F590">
        <f>HYPERLINK("https://www.reddit.com/r/eyetriage/comments/cbmvj0/is_there_any_possibility_for_worsening_glaucoma/")</f>
        <v/>
      </c>
      <c r="G590" t="inlineStr">
        <is>
          <t>2019-07-10 14:39:34</t>
        </is>
      </c>
      <c r="H590" t="inlineStr"/>
    </row>
    <row r="591">
      <c r="A591" t="inlineStr">
        <is>
          <t>cbnsri</t>
        </is>
      </c>
      <c r="B591" t="inlineStr">
        <is>
          <t>Peacock feather patterned floaters</t>
        </is>
      </c>
      <c r="C591" t="inlineStr">
        <is>
          <t>Lately I've experienced at random -- floaters in my peripherals that resemble the peacock eyes in their feathers. It's completely at random, they don't intrude directly in my line of sight, and they seem pretty equally spaced. Almost like a peripheral wallpaper. They're always black and white and don't very long. I can't find anything like it. 
I'm wondering if this is an opthalmological problem, or more likely something neurological.</t>
        </is>
      </c>
      <c r="D591" t="n">
        <v>1</v>
      </c>
      <c r="E591" t="n">
        <v>1</v>
      </c>
      <c r="F591">
        <f>HYPERLINK("https://www.reddit.com/r/eyetriage/comments/cbnsri/peacock_feather_patterned_floaters/")</f>
        <v/>
      </c>
      <c r="G591" t="inlineStr">
        <is>
          <t>2019-07-10 15:57:40</t>
        </is>
      </c>
      <c r="H591" t="inlineStr"/>
    </row>
    <row r="592">
      <c r="A592" t="inlineStr">
        <is>
          <t>cbrfxm</t>
        </is>
      </c>
      <c r="B592" t="inlineStr">
        <is>
          <t>Need serious help pls</t>
        </is>
      </c>
      <c r="C592" t="inlineStr">
        <is>
          <t>My left eye's top left side hurts , when i bend down it hurts plus feels like something is coming down. This started all of a sudden when i came from a trip , this pain was non existent 2 days back but my right eyes were red and still is. Pls help me, i cant ask my parents as they will panic and situation will get worse for me.</t>
        </is>
      </c>
      <c r="D592" t="n">
        <v>1</v>
      </c>
      <c r="E592" t="n">
        <v>1</v>
      </c>
      <c r="F592">
        <f>HYPERLINK("https://www.reddit.com/r/eyetriage/comments/cbrfxm/need_serious_help_pls/")</f>
        <v/>
      </c>
      <c r="G592" t="inlineStr">
        <is>
          <t>2019-07-10 21:49:00</t>
        </is>
      </c>
      <c r="H592" t="inlineStr"/>
    </row>
    <row r="593">
      <c r="A593" t="inlineStr">
        <is>
          <t>cbxi58</t>
        </is>
      </c>
      <c r="B593" t="inlineStr">
        <is>
          <t>High hyperopia - any remedy?</t>
        </is>
      </c>
      <c r="C593" t="inlineStr">
        <is>
          <t>I just came back from my doctor and frankly, I'm a little disappointed.
I suffer from high hyperopia (+9.0 in left eye, +6.5 in the right). Of course I've been suffering from this ever since I was a child and I've been wearing contact lenses for the past few years.
Even with my contact lenses, my vision is far from ideal (50% visual acuity if I'm not mistaken) and my eyes get pretty irritated and tired from the contacts. She prescribed a treatment for the irritation and changed some of my diopters, and we discussed surgery.
I go to the specialist once a year and sometimes we end up discussing eye surgery. I'm 23 now, and when I was younger, we discussed the possibility of laser surgery to completely remove the need for contacts and/or glasses.
Today, though, I found out Lasek/Lasik can only ''remove' approximately 4.5 diopters, so I'd be left with a +4.5 on one eye, and +2 in the other. The alternative she mentioned was a surgery called lens implant, which would correct my vision up to a point where I wouldn't need glasses anymore, but wouldn't recommend this either. Her reasoning was because of my eyes dimensions, fitting the artificial lens could create some pressure which, in the long term, would lead to more problems.
Should I go to another specialist for a second opinion? I've only been to one in the past 10 or more years, and frankly I trust this doctor completely.  But in my line of work, many hours a day of reading are required and because of my poor vision, and doing the work gets increasingly difficult in my condition. A surgery would have been ideal. Are there any other alternatives? Have you heard of LASEK/LASIK or any other procedure correcting more than 4 diopters?</t>
        </is>
      </c>
      <c r="D593" t="n">
        <v>1</v>
      </c>
      <c r="E593" t="n">
        <v>1</v>
      </c>
      <c r="F593">
        <f>HYPERLINK("https://www.reddit.com/r/eyetriage/comments/cbxi58/high_hyperopia_any_remedy/")</f>
        <v/>
      </c>
      <c r="G593" t="inlineStr">
        <is>
          <t>2019-07-11 09:12:57</t>
        </is>
      </c>
      <c r="H593" t="inlineStr"/>
    </row>
    <row r="594">
      <c r="A594" t="inlineStr">
        <is>
          <t>cbxpju</t>
        </is>
      </c>
      <c r="B594" t="inlineStr">
        <is>
          <t>Cataract surgery at 30</t>
        </is>
      </c>
      <c r="C594" t="inlineStr">
        <is>
          <t xml:space="preserve"> 
Hey all,
I had uveitis as a teen and as a result, now have cataracts at 30.
I'm having trouble deciding if i should set my toric IOLs to near or distance. I just keep thinking about makeup and looking at my phone. I'm already nearsighted, so I thought choosing set to near would be best, but the actual in focus spot isn't very large.
anyone have any recommendations? I'm terribly nervous and being disappointed in my decision.</t>
        </is>
      </c>
      <c r="D594" t="n">
        <v>1</v>
      </c>
      <c r="E594" t="n">
        <v>5</v>
      </c>
      <c r="F594">
        <f>HYPERLINK("https://www.reddit.com/r/eyetriage/comments/cbxpju/cataract_surgery_at_30/")</f>
        <v/>
      </c>
      <c r="G594" t="inlineStr">
        <is>
          <t>2019-07-11 09:29:00</t>
        </is>
      </c>
      <c r="H594" t="inlineStr"/>
    </row>
    <row r="595">
      <c r="A595" t="inlineStr">
        <is>
          <t>cby6r9</t>
        </is>
      </c>
      <c r="B595" t="inlineStr">
        <is>
          <t>Varying astimatism</t>
        </is>
      </c>
      <c r="C595" t="inlineStr">
        <is>
          <t>Hello,
&amp;amp;#x200B;
 Since February, I have varying levels of astigmatism, especially far away.   (I'm 23)
At first it was only on the right eye, but a few weeks later, the left was also affected.  
This evolves over days, sometimes I have almost perfect vision in both eyes, sometime something like 10/20 on one eye and 16/20 on the other. It slightly worsens over time. 
I had an appointment with my ophthalmologist  last month, he checked all the basic stuff and the background of my  eye, without any visible disease / problem. He said I should come back next month, with anesthetic eye drops.
Astigmatism is usually diagnosed  way earlier and doesn't change that much.
&amp;amp;#x200B;
What worries me is that I can't find a single related thread. I'd like to have some informations about that.</t>
        </is>
      </c>
      <c r="D595" t="n">
        <v>2</v>
      </c>
      <c r="E595" t="n">
        <v>4</v>
      </c>
      <c r="F595">
        <f>HYPERLINK("https://www.reddit.com/r/eyetriage/comments/cby6r9/varying_astimatism/")</f>
        <v/>
      </c>
      <c r="G595" t="inlineStr">
        <is>
          <t>2019-07-11 10:06:18</t>
        </is>
      </c>
      <c r="H595" t="inlineStr"/>
    </row>
    <row r="596">
      <c r="A596" t="inlineStr">
        <is>
          <t>cc0t7h</t>
        </is>
      </c>
      <c r="B596" t="inlineStr">
        <is>
          <t>Central Vision Issues</t>
        </is>
      </c>
      <c r="C596" t="inlineStr">
        <is>
          <t>I’ve been having worsening central vision issues and all of my doctors have been stumped. I’m wondering if anybody here can give me any insight. I’ll post a rough timeline below. Sorry for the long format.
1. Diagnosed with Pigment Dispersion Syndrome June 2017, and was treated with Alphagan and Dorzolamide. I’ve also had permanent haloes from these drops since then.
2. August 2017, I got uveitis in the eye I was taking eyedrops in. It went away within a few days, then I was put on Betagan.
3. November 2017, my doctor switched me to Lumigan. Start noticing my night vision is getting worse, but my doctor tells me it’s probably not the Lumigan, as I was only taking it in one eye.
4. Get full work up from neuro-ophthalmologist January 2018, who notices I have some bilateral nuclearization of lenses and macular thickening, but my photoreceptor layer was normal and the thickening was close to the same in each side.
5. Around this time, I notice that I have dark central vision when I wake up, but I goes away within a few minutes. I also have prolonged after images.
6. April 2019 I’m put on Lumigan in my other eye due to high pressures from another uveitis flare up.
7. Over time, I notice that my night vision is worse, I can now see those central spots in in dim light, not just morning. Vision in general looks staticky, and I go back to Betagan in May of 2019. Stopping the Lumigan made my visual acuity somewhat more clear, but my night vision and static vision is about the same.
I’ve seen several ophthalmologists and glaucoma doctors and none of them have been able to give me an answer. I had my vitamins checked, which came back normal. I was only taking Lumigan in one eye when these issues started, so everybody has told me it can’t be that.</t>
        </is>
      </c>
      <c r="D596" t="n">
        <v>1</v>
      </c>
      <c r="E596" t="n">
        <v>0</v>
      </c>
      <c r="F596">
        <f>HYPERLINK("https://www.reddit.com/r/eyetriage/comments/cc0t7h/central_vision_issues/")</f>
        <v/>
      </c>
      <c r="G596" t="inlineStr">
        <is>
          <t>2019-07-11 13:25:23</t>
        </is>
      </c>
      <c r="H596" t="inlineStr"/>
    </row>
    <row r="597">
      <c r="A597" t="inlineStr">
        <is>
          <t>cc211w</t>
        </is>
      </c>
      <c r="B597" t="inlineStr">
        <is>
          <t>Travel and retinal detachment</t>
        </is>
      </c>
      <c r="C597" t="inlineStr">
        <is>
          <t>Hello,
My girlfriend is currently living in a foreign country and has begun to present symptoms of retinal detachment (family’s history of retinal issues and has had a persistent blurry spot for weeks). She called her ophthalmologist who told her it may indeed be retinal detachment but obviously she can not diagnose until they are in person. The issue is, the only way for GF to get back to her eye doc is via plane and she is having trouble finding anyone in the country she is currently in who can help her. What can she do? If she flies anyway, how likely would that be to damage her eyes permanently if it really is retinal detachment?
Thank you</t>
        </is>
      </c>
      <c r="D597" t="n">
        <v>1</v>
      </c>
      <c r="E597" t="n">
        <v>3</v>
      </c>
      <c r="F597">
        <f>HYPERLINK("https://www.reddit.com/r/eyetriage/comments/cc211w/travel_and_retinal_detachment/")</f>
        <v/>
      </c>
      <c r="G597" t="inlineStr">
        <is>
          <t>2019-07-11 15:02:44</t>
        </is>
      </c>
      <c r="H597" t="inlineStr"/>
    </row>
    <row r="598">
      <c r="A598" t="inlineStr">
        <is>
          <t>cc4vha</t>
        </is>
      </c>
      <c r="B598" t="inlineStr">
        <is>
          <t>Why does my contact feel like it’s poking me only when I’m really tired?</t>
        </is>
      </c>
      <c r="C598" t="inlineStr">
        <is>
          <t>During the day it’s fine but when I’m tired my right eye feels like the contact so poking me a bit. I even tried changing to a new contact and it still does this. It’s so weird.</t>
        </is>
      </c>
      <c r="D598" t="n">
        <v>1</v>
      </c>
      <c r="E598" t="n">
        <v>3</v>
      </c>
      <c r="F598">
        <f>HYPERLINK("https://www.reddit.com/r/eyetriage/comments/cc4vha/why_does_my_contact_feel_like_its_poking_me_only/")</f>
        <v/>
      </c>
      <c r="G598" t="inlineStr">
        <is>
          <t>2019-07-11 19:20:43</t>
        </is>
      </c>
      <c r="H598" t="inlineStr"/>
    </row>
    <row r="599">
      <c r="A599" t="inlineStr">
        <is>
          <t>cc5sfc</t>
        </is>
      </c>
      <c r="B599" t="inlineStr">
        <is>
          <t>Boyfriend with lagophthalmos</t>
        </is>
      </c>
      <c r="C599" t="inlineStr">
        <is>
          <t>Hi, as the title states, my boyfriend's eyelid does not completely close while he sleeps, leaving him to have dry, itchy, red eyes during the day. He is not interested in using surgical/medical tape on his eyelids to sleep because he worries about eyelash loss. I was looking for advice on an eye mask to try. I saw some on Amazon but they appeared to have mixed reviews.</t>
        </is>
      </c>
      <c r="D599" t="n">
        <v>1</v>
      </c>
      <c r="E599" t="n">
        <v>1</v>
      </c>
      <c r="F599">
        <f>HYPERLINK("https://www.reddit.com/r/eyetriage/comments/cc5sfc/boyfriend_with_lagophthalmos/")</f>
        <v/>
      </c>
      <c r="G599" t="inlineStr">
        <is>
          <t>2019-07-11 20:51:59</t>
        </is>
      </c>
      <c r="H599" t="inlineStr"/>
    </row>
    <row r="600">
      <c r="A600" t="inlineStr">
        <is>
          <t>ccah73</t>
        </is>
      </c>
      <c r="B600" t="inlineStr">
        <is>
          <t>Itchy red eyes every morning with MUCUS STRINGS</t>
        </is>
      </c>
      <c r="C600" t="inlineStr">
        <is>
          <t>Please help. Every morning I wake up my left eye especially is bloodshot and very itchy. I usually pull out a string of mucus from it every morning as well. I’ve tried Alaway for allergy, and it helps temporarily but that’s it— Can anyone help? Home remedy ?</t>
        </is>
      </c>
      <c r="D600" t="n">
        <v>1</v>
      </c>
      <c r="E600" t="n">
        <v>2</v>
      </c>
      <c r="F600">
        <f>HYPERLINK("https://www.reddit.com/r/eyetriage/comments/ccah73/itchy_red_eyes_every_morning_with_mucus_strings/")</f>
        <v/>
      </c>
      <c r="G600" t="inlineStr">
        <is>
          <t>2019-07-12 05:54:07</t>
        </is>
      </c>
      <c r="H600" t="inlineStr"/>
    </row>
    <row r="601">
      <c r="A601" t="inlineStr">
        <is>
          <t>ccaycg</t>
        </is>
      </c>
      <c r="B601" t="inlineStr">
        <is>
          <t>Sudden intolerance to Astigmatism correction? Insight requested.</t>
        </is>
      </c>
      <c r="C601" t="inlineStr">
        <is>
          <t>TL;DR at bottom.
Got back from eye doc after having terrible strain, headaches, and nausea with glasses I’ve been wearing for a year or so. Prior to this past month, I didn’t have any noticeable issues with these glasses/lenses other than some tired eyes at times (who doesn’t?). My right eye while wearing my glasses over the past month has had a pulling sensation, making me feel nauseous, and giving bad headaches. Visual quality has been fine, not blurry, but something has been off with that eye. I even went back to an older pair from two years ago to try but the right eye continued to be an issue and I have been told that both of my pairs of glasses had the same cylinder correction for the right eye.
After one attempt at making new lenses with different a power which didn’t work (right eye continued to be an issue), he and the master optician at the office believe my right eye is not tolerating the astigmatism cylinder correction of -1.25 I had in it any longer. He said he knocked the cylinder down significantly in that eye and even went from -2.00 to -1.75 diopters in that eye. I could not tell the difference between -1.75 and -2.00 diopters so he put me at -1.75 for this new pair that was ordered. While the vision isn’t 4KHD, I could still read the letters he was asking me to read, even if a little blurry at that distance in that eye.  The cylinder is now down from -1.25 to -.50 or -.25 in that right eye (I can’t remember which one he said).  He explained it is about getting me comfortable at this point since I keep having that strain and he believes it’s the cylinder. When he ups the cylinder on that right eye, the letters on the chart are crisp and ultra clear, but it feels like it’s pulling or wonky. He also said he hopes that my eyes can hopefully get used to this new prescription. The optician also did some measurements with my frames on and “raised the centers slightly.”
I’m 32 years old, fit and in shape, and my recent blood panel tests two months ago for work came back with (to quote my PCP doctor) “great and normal results”. In the past 2-3 years I have changed my diet, exercise more frequently, stabilized at a healthy weight, got counseling, and improved my overall lifestyle and quality of life. I’m not on any medications. I bring this up because the doc asked if anything changed in my health. He said my vision had gotten somewhat better from looking over my history. And that this can be an art at time rather than an exact science. He didn’t really know why this sudden intolerance seems to be the issue. 
Has anyone ever seen someone suddenly not tolerate astigmatism correction in a pair of lenses that have been fine for a long time, or suddenly have sensations of being “overcorrected”?
Shout out to my doc that explains things so well that I can relay all this information with hopefully correct terminology.
TL;DR
Has anyone ever heard of someone suddenly not tolerating astigmatism correction that was comfortable previously?</t>
        </is>
      </c>
      <c r="D601" t="n">
        <v>1</v>
      </c>
      <c r="E601" t="n">
        <v>10</v>
      </c>
      <c r="F601">
        <f>HYPERLINK("https://www.reddit.com/r/eyetriage/comments/ccaycg/sudden_intolerance_to_astigmatism_correction/")</f>
        <v/>
      </c>
      <c r="G601" t="inlineStr">
        <is>
          <t>2019-07-12 06:37:50</t>
        </is>
      </c>
      <c r="H601" t="inlineStr"/>
    </row>
    <row r="602">
      <c r="A602" t="inlineStr">
        <is>
          <t>ccbupa</t>
        </is>
      </c>
      <c r="B602" t="inlineStr">
        <is>
          <t>Central Serous Chorioretinopathy , Retinal Adema</t>
        </is>
      </c>
      <c r="C602" t="inlineStr">
        <is>
          <t>Hi everyone - hoping someone can share their knowledge, experience, or expertise with Central Serous Chorioretinopathy or Retinal Adema (my doctor mentioned both). I've been diagnosed with the condition about a month ago and had a test to confirm (the fluid injected in my my arm - unsure what the procedure is called). Ive also received a focal laser photocoagulation treatment to the eye about a week ago - the Dr. recommended it - but the symptoms have not improved. The laser treatment only took a minute but really irritated my eye, but doesn't seem like anything improved and I'm hoping it didn't make it worse.
I've always had good vision, never needed glasses, etc, so having this condition has really messed me up at work and in my personal life ( I work at a computer all day and reading the screen is difficult with a half blurry eye and I play tennis, which makes tracking the ball extremely difficult). I catch myself closing th bad eye regularly just so I can focus in on what I'm doing or reading. Needless to say it has been challenging to go from good vision to 50 percent of my regular vision.
Does anyone know how what else I can do to help improve this situation? I feel helpless and almost feel like it will never heal on it's own, particularly because it came out of nowhere. Every morning I wake up hoping to see normally again, but to no avail thusfar.  
Any thoughts, ideas, experience, or anything to share would be helpful...thanks all!</t>
        </is>
      </c>
      <c r="D602" t="n">
        <v>1</v>
      </c>
      <c r="E602" t="n">
        <v>3</v>
      </c>
      <c r="F602">
        <f>HYPERLINK("https://www.reddit.com/r/eyetriage/comments/ccbupa/central_serous_chorioretinopathy_retinal_adema/")</f>
        <v/>
      </c>
      <c r="G602" t="inlineStr">
        <is>
          <t>2019-07-12 07:53:13</t>
        </is>
      </c>
      <c r="H602" t="inlineStr"/>
    </row>
    <row r="603">
      <c r="A603" t="inlineStr">
        <is>
          <t>cce4lr</t>
        </is>
      </c>
      <c r="B603" t="inlineStr">
        <is>
          <t>Swollen lump in corner of eye (with photo). Eye doctor visit needed?</t>
        </is>
      </c>
      <c r="C603" t="inlineStr">
        <is>
          <t>Noticed this a few days ago. It appears to be on the eye and not the eyelid. No pain and I haven't had something similar before. Any help would be much appreciated! [https://imgur.com/jqKicNw](https://imgur.com/jqKicNw)</t>
        </is>
      </c>
      <c r="D603" t="n">
        <v>0</v>
      </c>
      <c r="E603" t="n">
        <v>8</v>
      </c>
      <c r="F603">
        <f>HYPERLINK("https://www.reddit.com/r/eyetriage/comments/cce4lr/swollen_lump_in_corner_of_eye_with_photo_eye/")</f>
        <v/>
      </c>
      <c r="G603" t="inlineStr">
        <is>
          <t>2019-07-12 10:48:05</t>
        </is>
      </c>
      <c r="H603" t="inlineStr"/>
    </row>
    <row r="604">
      <c r="A604" t="inlineStr">
        <is>
          <t>cclp64</t>
        </is>
      </c>
      <c r="B604" t="inlineStr">
        <is>
          <t>Risks and benefits of hydrus stent versus goniotomy for glaucoma treatment during cataract surgery?</t>
        </is>
      </c>
      <c r="C604" t="inlineStr">
        <is>
          <t xml:space="preserve"> Thank you all so much for your previous help! Currently weighing risks and benefits for goniotomy versus a hydrus (or iStent) stent during cataract surgery for my mother's concurrent severe NT glaucoma, and am completely stuck on to pursue. Would it be possible to get a small idea of risks and benefits of each? Thank you so much!</t>
        </is>
      </c>
      <c r="D604" t="n">
        <v>1</v>
      </c>
      <c r="E604" t="n">
        <v>3</v>
      </c>
      <c r="F604">
        <f>HYPERLINK("https://www.reddit.com/r/eyetriage/comments/cclp64/risks_and_benefits_of_hydrus_stent_versus/")</f>
        <v/>
      </c>
      <c r="G604" t="inlineStr">
        <is>
          <t>2019-07-12 22:26:28</t>
        </is>
      </c>
      <c r="H604" t="inlineStr"/>
    </row>
    <row r="605">
      <c r="A605" t="inlineStr">
        <is>
          <t>ccml5o</t>
        </is>
      </c>
      <c r="B605" t="inlineStr">
        <is>
          <t>Black flickering out of corner of eye</t>
        </is>
      </c>
      <c r="C605" t="inlineStr">
        <is>
          <t>Hi,
As per the title, I have been noticing this very small black bit of flickering/jumping in the peripheral vision of my right eye when I'm looking forward, and it makes me feel like something is moving there when there's none, and when I look right there's obviously nothing there and the flickering stops because my eye has moved. 
What should I do? Is this serious? I have previously seen my optometrist about sporadic white flashing in both eyes a handful of times with nothing coming of it, no rips/detachments etc nor any abnormalities.
I'm worried, so please give me some advice.
I am: 24F, East Asian, around 350 degrees myopic both eyes, light astigmatism in one or both eyes (can't remember), and right eye while wearing swimming goggles in the pool was kicked once (so suction forces and the force of the kick etc). Right eye is dry. (Can provide more info if necessary)
Thanks all (and if anyone could tell me what that kick could have done to my right eye, that would help too, because my optometrist finds nothing wrong but I've always felt my right eye has been different since being kicked -- less tear production/drier, feels harder to the touch, feels bulgier, shape is different from left eye &amp;amp; especially when I look up the irises in both eyes don't match completely where they are pointed, and when seeing out of my right eye alone it always feel more uncomfortable and less clear than its counterpart)</t>
        </is>
      </c>
      <c r="D605" t="n">
        <v>1</v>
      </c>
      <c r="E605" t="n">
        <v>3</v>
      </c>
      <c r="F605">
        <f>HYPERLINK("https://www.reddit.com/r/eyetriage/comments/ccml5o/black_flickering_out_of_corner_of_eye/")</f>
        <v/>
      </c>
      <c r="G605" t="inlineStr">
        <is>
          <t>2019-07-13 00:22:46</t>
        </is>
      </c>
      <c r="H605" t="inlineStr"/>
    </row>
    <row r="606">
      <c r="A606" t="inlineStr">
        <is>
          <t>ccv3c7</t>
        </is>
      </c>
      <c r="B606" t="inlineStr">
        <is>
          <t>Sun reflecting off of car windshields bad for eyes?</t>
        </is>
      </c>
      <c r="C606" t="inlineStr">
        <is>
          <t>Sometimes the car in front of me will reflect the sun directly into my eyes and it’s very bright. I’m scared this is causing my eyes to get damaged cause it feels like staring at the sun. Are my eyes getting ruined from this?</t>
        </is>
      </c>
      <c r="D606" t="n">
        <v>0</v>
      </c>
      <c r="E606" t="n">
        <v>7</v>
      </c>
      <c r="F606">
        <f>HYPERLINK("https://www.reddit.com/r/eyetriage/comments/ccv3c7/sun_reflecting_off_of_car_windshields_bad_for_eyes/")</f>
        <v/>
      </c>
      <c r="G606" t="inlineStr">
        <is>
          <t>2019-07-13 15:00:20</t>
        </is>
      </c>
      <c r="H606" t="inlineStr"/>
    </row>
    <row r="607">
      <c r="A607" t="inlineStr">
        <is>
          <t>cd0stf</t>
        </is>
      </c>
      <c r="B607" t="inlineStr">
        <is>
          <t>Can glaucoma cause tiredness ?</t>
        </is>
      </c>
      <c r="C607" t="inlineStr">
        <is>
          <t>2 months ago I visited my ophthalmologist. She said there was something wrong with my optic nerve and that I might have glaucoma. The actual screening is in 1 week and I wanted to ask if glaucoma can cause tiredness. 
My eyes are constantly tired, I have trouble to concentrate and my eyes hurt when I got to sleep. I often feel pressure around my eyes. The tiredness thing is really weird though. I get it when I'm just looking outside e.g. on some trees. I'm also really sensitive to light.
I read that if I feel the symptoms its already pretty advanced, so I wanted to ask if there is anything I can do to stop it until next week. Or if that doesn't sound like glaucoma, what other eye disease it could be since I honestly don't want to wait months before I get another appointment.
Thanks for all the help.</t>
        </is>
      </c>
      <c r="D607" t="n">
        <v>2</v>
      </c>
      <c r="E607" t="n">
        <v>3</v>
      </c>
      <c r="F607">
        <f>HYPERLINK("https://www.reddit.com/r/eyetriage/comments/cd0stf/can_glaucoma_cause_tiredness/")</f>
        <v/>
      </c>
      <c r="G607" t="inlineStr">
        <is>
          <t>2019-07-14 01:39:02</t>
        </is>
      </c>
      <c r="H607" t="inlineStr"/>
    </row>
    <row r="608">
      <c r="A608" t="inlineStr">
        <is>
          <t>cd1rfv</t>
        </is>
      </c>
      <c r="B608" t="inlineStr">
        <is>
          <t>Eyesight suddenly improved?</t>
        </is>
      </c>
      <c r="C608" t="inlineStr">
        <is>
          <t>I recently went in to get my eye exam, I was previously at -2.75 lenses in both eyes. Usually, each time I go in, my prescription seems to get slightly worse by -0.25, but this time my optometrist said I had suddenly improved (-1.25).
She wasn't sure why i had suddenly changed, and suggested getting a 3d retinal scan, which I did, but because it's a sunday I haven't got results back.
&amp;amp;#x200B;
How normal is this type of change? Should I be worried? any chance of my eyesight continuing to improve?  I'm 25 years old if that helps. I'll contact my optometrist on Monday, but any information would be really helpful, because I can only find some information about improving eyesight in patients over 60 years old. Thanks!</t>
        </is>
      </c>
      <c r="D608" t="n">
        <v>1</v>
      </c>
      <c r="E608" t="n">
        <v>3</v>
      </c>
      <c r="F608">
        <f>HYPERLINK("https://www.reddit.com/r/eyetriage/comments/cd1rfv/eyesight_suddenly_improved/")</f>
        <v/>
      </c>
      <c r="G608" t="inlineStr">
        <is>
          <t>2019-07-14 03:57:25</t>
        </is>
      </c>
      <c r="H608" t="inlineStr"/>
    </row>
    <row r="609">
      <c r="A609" t="inlineStr">
        <is>
          <t>cd3g23</t>
        </is>
      </c>
      <c r="B609" t="inlineStr">
        <is>
          <t>Phototoxicity</t>
        </is>
      </c>
      <c r="C609" t="inlineStr">
        <is>
          <t>Would brief direct exposure to an LED headlamp result in retinal damage?</t>
        </is>
      </c>
      <c r="D609" t="n">
        <v>1</v>
      </c>
      <c r="E609" t="n">
        <v>7</v>
      </c>
      <c r="F609">
        <f>HYPERLINK("https://www.reddit.com/r/eyetriage/comments/cd3g23/phototoxicity/")</f>
        <v/>
      </c>
      <c r="G609" t="inlineStr">
        <is>
          <t>2019-07-14 07:13:22</t>
        </is>
      </c>
      <c r="H609" t="inlineStr"/>
    </row>
    <row r="610">
      <c r="A610" t="inlineStr">
        <is>
          <t>cd7muc</t>
        </is>
      </c>
      <c r="B610" t="inlineStr">
        <is>
          <t>Got hit in eye with soccer ball, will eye be ok?</t>
        </is>
      </c>
      <c r="C610" t="inlineStr">
        <is>
          <t>Got hit in my right eye with a soccer ball yesterday, not at full speed but fast enough to stun me for a bit. My eye doesn’t hurt but if I close my eyes really hard I’ll see a tiny blob of white, other than it’s not noticeable. Will it go away? I can’t go to the doctor because I’m out of country.</t>
        </is>
      </c>
      <c r="D610" t="n">
        <v>3</v>
      </c>
      <c r="E610" t="n">
        <v>3</v>
      </c>
      <c r="F610">
        <f>HYPERLINK("https://www.reddit.com/r/eyetriage/comments/cd7muc/got_hit_in_eye_with_soccer_ball_will_eye_be_ok/")</f>
        <v/>
      </c>
      <c r="G610" t="inlineStr">
        <is>
          <t>2019-07-14 13:14:05</t>
        </is>
      </c>
      <c r="H610" t="inlineStr"/>
    </row>
    <row r="611">
      <c r="A611" t="inlineStr">
        <is>
          <t>cdkcdj</t>
        </is>
      </c>
      <c r="B611" t="inlineStr">
        <is>
          <t>Possible severe corneal abrasion</t>
        </is>
      </c>
      <c r="C611" t="inlineStr">
        <is>
          <t>Hello. So at 0900 on Friday July 12 I hit my left eye direct on with the corner of a bag of dog food. It was extremely painful at the time, and resulted in blurred vision. From my cursory research I read that most corneal abrasions heal within 24-48 hours, some take 72 hours.
Currently 76 hours later, and some of my symptoms persist. I am 100% pain free. There is no indication of inflammation, infection, or any erythema. A non-medical photo of my eye is unimpressive. The current symptoms that persist are:
Mild blurry vision, exclusively in the left eye, with far sight. My immediate near-sighted vision is completely fine, but anything past 12 inches in front of me becomes blurry, and the distortion increases the farther away the object is.
Should I consult an ophthalmologist or does this sound like a severe corneal abrasion that is going to take a bit longer to heal?</t>
        </is>
      </c>
      <c r="D611" t="n">
        <v>1</v>
      </c>
      <c r="E611" t="n">
        <v>5</v>
      </c>
      <c r="F611">
        <f>HYPERLINK("https://www.reddit.com/r/eyetriage/comments/cdkcdj/possible_severe_corneal_abrasion/")</f>
        <v/>
      </c>
      <c r="G611" t="inlineStr">
        <is>
          <t>2019-07-15 10:20:17</t>
        </is>
      </c>
      <c r="H611" t="inlineStr"/>
    </row>
    <row r="612">
      <c r="A612" t="inlineStr">
        <is>
          <t>cdqgi5</t>
        </is>
      </c>
      <c r="B612" t="inlineStr">
        <is>
          <t>Corneal abrasion caused by dog scratch. Few minor questions...</t>
        </is>
      </c>
      <c r="C612" t="inlineStr">
        <is>
          <t>Long story short, I have a very small (9 lb) lap dog that is a sweetie but a bit protective of me. My husband likes to mess with her nearly every morning by hitting me with a pillow or just poking at me while trying to wake me up. She never bites just barks a bit and ends up doing more harm to me by jumping all over me to get between us and that includes jumping over my face. It is honestly cute or at least it was until this morning when I turned my head with my eyes open at the same time as she jumped over my head and she got me in the right eye with her nails. 
I’ve thought I have had a scratch in my eye before but I had NO idea!! After a couple hours of sharp, stabbing pain (I imagine having a knife shoved through my eye would feel similar), uncontrollable eyelid twitching, and extreme watering all further aggregated by light, I called my optometrist who was able to see me right away. I was given some numbing drops while there and told they would wear off shortly unfortunately but I enjoyed it while it lasted. She said I have a rather large abrasion that is shaped similar to a “W” and that my dog “really got me.” 
She placed a contact bandage and told me to leave it in (including sleep) for 24 hours and then I could remove it. 
I was prescribed antibiotic drops especially due to the fact I was scratched by an animal which elevates the risk of infection. The pharmacy had to order the drops so I won’t be able to pick them up until tomorrow. 
She told me that taking ibuprofen and Tylenol concurrently would provide the best relief and that I could take 1000 mg Tylenol with 800 mg ibuprofen during the first day or two (at most). I did that combo right after my morning appointment but only recently took 400 mg ibuprofen with no additional Tylenol because, well, I like my functioning liver. I’m always paranoid about taking meds.
This feeling is pure hell but I think I will manage. I have just a few minor questions, though.
1. I work at a computer daily with two monitors. I dimmed both monitors, turned off my fluorescent office light and used only a desk lamp, and wore sunglasses inside all day. It made the discomfort tolerable enough. However, is computer work at all detrimental to the healing process? 
2. Similar to above, is it better to carry on as normal or should I purposely be resting my eye with lid closed? I’m afraid my eye will dry during sleep but hopeful the contact bandage will help prevent undoing any overnight healing by opening my eyes in the morning.
I suppose I’m concerned that staring at a computer all day may not be the best idea.</t>
        </is>
      </c>
      <c r="D612" t="n">
        <v>2</v>
      </c>
      <c r="E612" t="n">
        <v>0</v>
      </c>
      <c r="F612">
        <f>HYPERLINK("https://www.reddit.com/r/eyetriage/comments/cdqgi5/corneal_abrasion_caused_by_dog_scratch_few_minor/")</f>
        <v/>
      </c>
      <c r="G612" t="inlineStr">
        <is>
          <t>2019-07-15 18:27:49</t>
        </is>
      </c>
      <c r="H612" t="inlineStr"/>
    </row>
    <row r="613">
      <c r="A613" t="inlineStr">
        <is>
          <t>cdqhol</t>
        </is>
      </c>
      <c r="B613" t="inlineStr">
        <is>
          <t>Central Serous</t>
        </is>
      </c>
      <c r="C613" t="inlineStr">
        <is>
          <t>Hello, I am 33 and been diagnosed with CSR in left eye since 05/12/2019 (2 months). At first I thought it was something related to my high blood pressure (I take meds since 26yr) or using computer all day (work and gaming).
Doctor told me it was related to stress. Maybe I was stressed with work, after all my palpebra was trembling in the right eye. I had 2 visits to the same doctor, one 1 day after the blurry vision which he recommended me 3 months of diuretics and the last visit 1 month later recommended to take prednisone 20mg basically for 20 days, I din't take. What the hell is that? Isn't prednisone steroid? I know its realted to CSR.. Can someone help me?</t>
        </is>
      </c>
      <c r="D613" t="n">
        <v>1</v>
      </c>
      <c r="E613" t="n">
        <v>2</v>
      </c>
      <c r="F613">
        <f>HYPERLINK("https://www.reddit.com/r/eyetriage/comments/cdqhol/central_serous/")</f>
        <v/>
      </c>
      <c r="G613" t="inlineStr">
        <is>
          <t>2019-07-15 18:30:45</t>
        </is>
      </c>
      <c r="H613" t="inlineStr"/>
    </row>
    <row r="614">
      <c r="A614" t="inlineStr">
        <is>
          <t>cdxvyr</t>
        </is>
      </c>
      <c r="B614" t="inlineStr">
        <is>
          <t>Wife got a detached retina. Hoping for some assurance.</t>
        </is>
      </c>
      <c r="C614" t="inlineStr">
        <is>
          <t>Hi all. So my wife is 22 years old. Her left eye is already bad supposedly nerves never grew in it so she is effectively blind in the left eye. She was at the amusement park for the day, on the way back she saw a shadow go over her good eye and was concerned. We were all hoping it was heat related so we waited until morning to see if that was it. 
Morning comes and the issue is still there so we take her to the eye specialist and they find out she has a detached retina. They tell us to go to their retina specialist and he tells us what surgery she will require. 
She got a gas bubble put in as well as a buckle. I do believe the doctor said something about a laser as well. She’s going to need to keep her head down for a while so the bubble stays in place where it needs to be. 
We went for her follow up visit the next morning and the doctor that performed the operation says the surgery went perfectly and that it looks exactly like it’s supposed to. I have to give her two bottles of drops 3x a day. 
Anyway I just want maybe some reassurance that her good eye after it heals will be ok. I’m just really hoping she doesn’t go blind in it and I’m kind of worried.</t>
        </is>
      </c>
      <c r="D614" t="n">
        <v>5</v>
      </c>
      <c r="E614" t="n">
        <v>1</v>
      </c>
      <c r="F614">
        <f>HYPERLINK("https://www.reddit.com/r/eyetriage/comments/cdxvyr/wife_got_a_detached_retina_hoping_for_some/")</f>
        <v/>
      </c>
      <c r="G614" t="inlineStr">
        <is>
          <t>2019-07-16 07:38:56</t>
        </is>
      </c>
      <c r="H614" t="inlineStr"/>
    </row>
    <row r="615">
      <c r="A615" t="inlineStr">
        <is>
          <t>ce19kt</t>
        </is>
      </c>
      <c r="B615" t="inlineStr">
        <is>
          <t>17F, problem with focusing on close objects, no history of hypermetropia, please help.</t>
        </is>
      </c>
      <c r="C615" t="inlineStr">
        <is>
          <t>recently i’ve noticed that my eyes don’t automatically focus on objects that are close by which is usually always writing because i’m a student and i write a lot. i don’t have presbyopia and i’m only 17 so i don’t think that’s what it is. it’s not like i cannot focus at all on the writing, it’s just that my eyes don’t do it unless i sort of put effort into focusing them and then when i relax, they go back into the unfocused state. but by effort, i don’t mean squinting my eyes, i just do something that i don’t really know how to describe. basically it takes effort for me to focus on nearby objects which wasn’t a problem earlier. could this be because of too much screen time, or is it a different issue? 
i can’t find any info on it online, and just wanted to know if anybody had any idea as to what could be happening here, before i went to my ophthalmologist. 
ps - i do have myopia, borderline retinal/eye pressure (that’s what my doc calls it), dry eyes, and retinal lattices, if in case that’s of any relevance. 
thank you for any and all information that you could provide.</t>
        </is>
      </c>
      <c r="D615" t="n">
        <v>2</v>
      </c>
      <c r="E615" t="n">
        <v>4</v>
      </c>
      <c r="F615">
        <f>HYPERLINK("https://www.reddit.com/r/eyetriage/comments/ce19kt/17f_problem_with_focusing_on_close_objects_no/")</f>
        <v/>
      </c>
      <c r="G615" t="inlineStr">
        <is>
          <t>2019-07-16 11:50:53</t>
        </is>
      </c>
      <c r="H615" t="inlineStr"/>
    </row>
    <row r="616">
      <c r="A616" t="inlineStr">
        <is>
          <t>ce9t1j</t>
        </is>
      </c>
      <c r="B616" t="inlineStr">
        <is>
          <t>What's a good scleral lense fitting clinic in Seattle?</t>
        </is>
      </c>
      <c r="C616" t="inlineStr">
        <is>
          <t>I'm not sure how to find a location with experience fitting scleral lenses. Any recommendations? I live in Seattle.</t>
        </is>
      </c>
      <c r="D616" t="n">
        <v>1</v>
      </c>
      <c r="E616" t="n">
        <v>1</v>
      </c>
      <c r="F616">
        <f>HYPERLINK("https://www.reddit.com/r/eyetriage/comments/ce9t1j/whats_a_good_scleral_lense_fitting_clinic_in/")</f>
        <v/>
      </c>
      <c r="G616" t="inlineStr">
        <is>
          <t>2019-07-17 00:55:43</t>
        </is>
      </c>
      <c r="H616" t="inlineStr"/>
    </row>
    <row r="617">
      <c r="A617" t="inlineStr">
        <is>
          <t>ced0a9</t>
        </is>
      </c>
      <c r="B617" t="inlineStr">
        <is>
          <t>What eye test did I fail?</t>
        </is>
      </c>
      <c r="C617" t="inlineStr">
        <is>
          <t>27, Male
I just had an eye exam where one of the trials was identifying an elevated or depressed circle in a diamond shape containing four circles, one at each corner. 
I got 4/9, really struggling even after the first one. The optometrist briefly mentioned it was testing for “3D vision”.
I was curious what exactly the test was for an why I did so terribly. Thanks!</t>
        </is>
      </c>
      <c r="D617" t="n">
        <v>2</v>
      </c>
      <c r="E617" t="n">
        <v>2</v>
      </c>
      <c r="F617">
        <f>HYPERLINK("https://www.reddit.com/r/eyetriage/comments/ced0a9/what_eye_test_did_i_fail/")</f>
        <v/>
      </c>
      <c r="G617" t="inlineStr">
        <is>
          <t>2019-07-17 06:42:28</t>
        </is>
      </c>
      <c r="H617" t="inlineStr"/>
    </row>
    <row r="618">
      <c r="A618" t="inlineStr">
        <is>
          <t>cevlyx</t>
        </is>
      </c>
      <c r="B618" t="inlineStr">
        <is>
          <t>Bulging eyes operation health insurance</t>
        </is>
      </c>
      <c r="C618" t="inlineStr">
        <is>
          <t>I have Endocrine orbitopathy (bulging eyes)since a year now and i cant look in the mirror anymore. I always see another person. My question is if health insurance will help with a Endocrine orbitopathy operation.
I have pain from time to time and dry eyes but my looks made me anti social. I quit my job and im mostly home. For my friends its not that bad but me personaly it destroyes.</t>
        </is>
      </c>
      <c r="D618" t="n">
        <v>5</v>
      </c>
      <c r="E618" t="n">
        <v>2</v>
      </c>
      <c r="F618">
        <f>HYPERLINK("https://www.reddit.com/r/eyetriage/comments/cevlyx/bulging_eyes_operation_health_insurance/")</f>
        <v/>
      </c>
      <c r="G618" t="inlineStr">
        <is>
          <t>2019-07-18 10:37:19</t>
        </is>
      </c>
      <c r="H618" t="inlineStr"/>
    </row>
    <row r="619">
      <c r="A619" t="inlineStr">
        <is>
          <t>cf54yi</t>
        </is>
      </c>
      <c r="B619" t="inlineStr">
        <is>
          <t>Best Eye hospitals in India | Best ophthalmology hospitals in India</t>
        </is>
      </c>
      <c r="C619" t="inlineStr">
        <is>
          <t xml:space="preserve"> 
Medobal will offer a full complement of services you might need from best eye hospitals in India. These includes Screening and treatment for common eye diseases (e.g., cataract, glaucoma, diabetes-related eye problem and many others). Most of the international patients come to India for eye-related problems. So our aim is to provide the latest facilities from [best Ophthalmology hospitals in India](https://www.medobal.com/ophthalmology-hospitals-in-india.html).</t>
        </is>
      </c>
      <c r="D619" t="n">
        <v>0</v>
      </c>
      <c r="E619" t="n">
        <v>0</v>
      </c>
      <c r="F619">
        <f>HYPERLINK("https://www.reddit.com/r/eyetriage/comments/cf54yi/best_eye_hospitals_in_india_best_ophthalmology/")</f>
        <v/>
      </c>
      <c r="G619" t="inlineStr">
        <is>
          <t>2019-07-19 01:51:22</t>
        </is>
      </c>
      <c r="H619" t="inlineStr"/>
    </row>
    <row r="620">
      <c r="A620" t="inlineStr">
        <is>
          <t>cfjj8u</t>
        </is>
      </c>
      <c r="B620" t="inlineStr">
        <is>
          <t>Foreign objects in eye (hydrophobic substance included)</t>
        </is>
      </c>
      <c r="C620" t="inlineStr">
        <is>
          <t>I made some soapnut shampoo with essential oils and got some in my eye. I looked online to see if any of these ingredients were worrisome and saw that essential oils could cause damage if not dealt with. I saw instructions to use vegetable oil as it’s a fat and the oils would be attracted to it. However, I only have olive oil. I went ahead and did it since I figured the same thing applied, then rinsed with saline and applied an ophthalmic antibiotic ointment just in case. My eye still feels irritated.
Is any of this ill advised? I’m due to see an optometrist anyway so I’ll still make an appointment; but is there something I should be doing in the meantime?</t>
        </is>
      </c>
      <c r="D620" t="n">
        <v>2</v>
      </c>
      <c r="E620" t="n">
        <v>0</v>
      </c>
      <c r="F620">
        <f>HYPERLINK("https://www.reddit.com/r/eyetriage/comments/cfjj8u/foreign_objects_in_eye_hydrophobic_substance/")</f>
        <v/>
      </c>
      <c r="G620" t="inlineStr">
        <is>
          <t>2019-07-20 01:24:47</t>
        </is>
      </c>
      <c r="H620" t="inlineStr"/>
    </row>
    <row r="621">
      <c r="A621" t="inlineStr">
        <is>
          <t>cfmgr9</t>
        </is>
      </c>
      <c r="B621" t="inlineStr">
        <is>
          <t>I have recurrent episcleritis and 3 doctors haven’t been able to help yet.</t>
        </is>
      </c>
      <c r="C621" t="inlineStr">
        <is>
          <t>I’ll try to keep the summary brief:
Normally in one eye at a time, but switches between both eyes.
Sometimes nodular, sometimes not depending on the attack.
Causes some pain and discomfort, but manageable with ibruprofen.
Going on for 4 yrs. longest stretch without an attack is about a month.
I’m male, 37, generally good health not on any prescription meds.
Doctors prescribed artificial tears: no effect.
Also prescribed steroid drops: ocular pressure went through the roof, and only limited improvement.
Also prescribed steroid drops for ‘steroid responders’: pressures still went through the roof, limited improvement.
Huge bloodwork panel done: all negative for systemic autoimmune stuff.
Is there anything more to be done/tried at this point? Is it worth seeing a rheumatologist?</t>
        </is>
      </c>
      <c r="D621" t="n">
        <v>2</v>
      </c>
      <c r="E621" t="n">
        <v>9</v>
      </c>
      <c r="F621">
        <f>HYPERLINK("https://www.reddit.com/r/eyetriage/comments/cfmgr9/i_have_recurrent_episcleritis_and_3_doctors/")</f>
        <v/>
      </c>
      <c r="G621" t="inlineStr">
        <is>
          <t>2019-07-20 07:35:19</t>
        </is>
      </c>
      <c r="H621" t="inlineStr"/>
    </row>
    <row r="622">
      <c r="A622" t="inlineStr">
        <is>
          <t>cfro2m</t>
        </is>
      </c>
      <c r="B622" t="inlineStr">
        <is>
          <t>I have always had one eye seeing more in red and the other in blue sometimes. What is it?</t>
        </is>
      </c>
      <c r="C622" t="inlineStr">
        <is>
          <t>Some time ago I spoke to my friend about it and they told me they don't have it. I thought it's a normal thing everyone experiences. As I said I always had it and I don't have any other vision problems. When I google I only find info about glaucoma and my sight is neither yellow nor it is recent...</t>
        </is>
      </c>
      <c r="D622" t="n">
        <v>2</v>
      </c>
      <c r="E622" t="n">
        <v>3</v>
      </c>
      <c r="F622">
        <f>HYPERLINK("https://www.reddit.com/r/eyetriage/comments/cfro2m/i_have_always_had_one_eye_seeing_more_in_red_and/")</f>
        <v/>
      </c>
      <c r="G622" t="inlineStr">
        <is>
          <t>2019-07-20 15:18:12</t>
        </is>
      </c>
      <c r="H622" t="inlineStr"/>
    </row>
    <row r="623">
      <c r="A623" t="inlineStr">
        <is>
          <t>cfssqk</t>
        </is>
      </c>
      <c r="B623" t="inlineStr">
        <is>
          <t>Why You Should Have an In-Office Visit For Your Contatcts</t>
        </is>
      </c>
      <c r="C623" t="inlineStr">
        <is>
          <t>**\*\*\*Original, unpublished, non-promotional, remove if not allowed\*\*\***
&amp;amp;#x200B;
It can be quite tempting to escape the hassle of going to your eye doctor to get fitted for your contact lenses. That would mean: no waiting for appointments, no taking time off work or school, no commuting, no paying for doctor’s fees.
Sounds convenient? You bet. But doing so also nullifies the very measures that were meant to protect your eyes from the risks of illegal over-the-counter (OTC) contact lenses.
There are currently 45 million Americans wearing contact lenses.1 While contact lenses have greatly improved quality of life for 150 million people across the world, they’re also not without risk, especially when used with no proper medical supervision.
# Contact lenses are regulated medical devices
Corrective contact lenses were first classified as a class III medical device by the FDA in 1976, alongside pacemakers and external defibrillators. But the past 20 years has seen the rise of non-corrective, decorative and cosmetic contact lenses that regulators likely never saw coming.
Accompanying the unregulated dispensing of contact lenses was a troubling increase in cases of microbial keratitis among contact lens users.2 This prompted the FDA in 2005 to classify all contact lenses, whether corrective, cosmetic or decorative, as medical devices that can only be sold with a valid prescription from a licensed eye doctor.3
But despite federal regulation, illegal contact lenses still manage to make their way to gas stations, flea markets, beauty salons, and convenience stores and are available over the internet for as low as $5 or $10 a pair.11
These products don’t go through the rigorous process required for FDA approval, yet, 28% of those who use non-corrective contact lenses purchase them from questionable non-medical sources without a prescription from their eye doctor.10
A big part of the problem is that the majority of users don’t know that contact lenses are actually regulated medical devices until they develop a serious complication. Vendors themselves believe that because decorative contact lenses don’t correct vision, they don’t require the same level of medical care.14
What users and vendors alike don’t realize is that contact lenses are regulated not because they are corrective or non-corrective, but because of the risks that come from wearing them.
# Contact lenses are not a “one-size-fits-all” merchandise
If you’ve ever worn underwear that was two sizes too small, rest assured it’s nothing compared to wearing ill-fitting contact lenses.
Whether you need corrective lenses for your vision or decorative lenses to spruce up your Halloween costume, you will need to undergo a comprehensive eye exam performed by an eye doctor.
During the exam, the eye doctor will perform a variety of tests to determine your visual acuity and suitability for contact lenses. The doctor will also measure the curvature of the cornea to ensure the best possible lens fit.
Skipping this exam is literally sight-threatening. Ill-fitting contact lenses can not only easily scrape the surface of the eye and cause severe pain and inflammation, they also provide the perfect breeding ground for infections. In the worst case scenario, wearing ill-fitting contact lenses can lead to microbial keratitis, which is a major cause of blindness.4,12,13
All of this can occur within hours of wearing the contact lens, as has been documented in a case series published in *Eye &amp;amp; Contact Lens: Science &amp;amp; Clinical Practice* in 2005.11 It comes as no surprise that about 130.4 per 100, 000 contact lens users compared with only 14.0 per 100, 000 non-users develop microbial keratitis every year.7 Moreover, decorative lens users are five times more likely to develop microbial keratitis than soft contact lens users.
# Over-the-counter contact lenses are contaminated
When you talk about counterfeit and illegal medical devices or supplies, it’s safe to assume that they’re contaminated and will do more harm than good.
In 2017, the FDA tested over 300 unapproved and counterfeit non-corrective contact lenses and found that 60% of counterfeit lenses and 27% of unapproved lenses were positive for microbial contamination. At least 29 different brands were included, and 48% of them were tested positive for microorganisms associated with eye infections including microbial keratitis and bacterial endophthalmitis.8
# Professional guidance is paramount
Proper medical guidance has been proven crucial in preventing contact lense-related complications. Ironic but somehow unfortunately expected, non-compliance among patients already under professional medical care runs between 40-91%.9 This number is believed to be even higher among users of  OTC contact lenses because they never receive proper instructions in the first place, which is another good reason why you should have an in-office visit for your contacts.
&amp;amp;#x200B;
&amp;gt;With \_\_\_\_\_\_\_\_ Lenses , there’s no need to take a blind shot at your future. While there’s not much we can do about counterfeit and illegal contact lenses, we can offer you a clear shot at freedom and a future where the only limit is the one you make.  
&amp;gt;  
&amp;gt;Since being approved by the FDA for myopia treatment in 2002, \_\_\_\_\_\_\_\_\_\_ Lenses have helped 1.5 million people across 50 countries see their future without limits. Unlike glasses or traditional contact lenses, Paragon CRT® Lenses do not get in the way of an active lifestyle.
&amp;amp;#x200B;
&amp;amp;#x200B;
References
\[1\] Center for Devices and Radiological Health. (n.d.). Decorative, Non-corrective Contact Lenses - Guidance. Retrieved from [https://www.fda.gov/regulatory-information/search-fda-guidance-documents/decorative-non-corrective-contact-lenses](https://www.fda.gov/regulatory-information/search-fda-guidance-documents/decorative-non-corrective-contact-lenses)
\[2\] Contact Lens–Related Corneal Infections - United States, 2005–2015 | MMWR. (n.d.). Retrieved from [https://www.cdc.gov/mmwr/volumes/65/wr/mm6532a2.htm](https://www.cdc.gov/mmwr/volumes/65/wr/mm6532a2.htm)
\[3\] Fashionable, Nonprescription Contact Lenses May Pose A Danger To Your Eyesight. (2003, October 14). Retrieved from[ https://www.sciencedaily.com/releases/2003/10/031014072038.htm](https://www.sciencedaily.com/releases/2003/10/031014072038.htm)
\[4\] Abdelkader, A. (2014). Cosmetic soft contact lens associated ulcerative keratitis in Southern Saudi Arabia. *Middle East African Journal of Ophthalmology,* *21*(3), 232. doi:10.4103/0974-9233.134677
\[5\] Berenson, A. B., Chang, M., Hirth, J. M., &amp;amp; Merkley, K. H. (2019, 02). Use and misuse of cosmetic contact lenses among US adolescents in Southeast Texas. *Adolescent Health, Medicine and Therapeutics,* *Volume 10*, 1-6. doi:10.2147/ahmt.s196573
\[6\] Buehler, P. O. (1992, 11). The Increased Risk of Ulcerative Keratitis Among Disposable Soft Contact Lens Users. *Archives of Ophthalmology,* *110*(11), 1555. doi:10.1001/archopht.1992.01080230055019
\[7\] Jeng, B. H. (2010, 08). Epidemiology of Ulcerative Keratitis in Northern California. *Archives of Ophthalmology,* *128*(8), 1022. doi:10.1001/archophthalmol.2010.144
\[8\] Land, A. D., Penno, K. L., &amp;amp; Brzezinski, J. L. (2017, 05). Identification of Microorganisms Isolated From Counterfeit and Unapproved Decorative Contact Lenses. *Journal of Forensic Sciences,* *63*(2), 635-639. doi:10.1111/1556-4029.13553
\[9\] Robertson, D. M., &amp;amp; Cavanagh, H. D. (2011, 09). Non-Compliance with Contact Lens Wear and Care Practices: A Comparative Analysis. *Optometry and Vision Science,* 1. doi:10.1097/opx.0b013e3182333cf9
\[10\] So, you want decorative contacts for Halloween? What to know. (n.d.). Retrieved from [https://www.aoa.org/patients-and-public/caring-for-your-vision/contact-lenses/decorative-lens-warning](https://www.aoa.org/patients-and-public/caring-for-your-vision/contact-lenses/decorative-lens-warning)
\[11\] Steinemann, T. L., Pinninti, U., Szczotka, L. B., Eiferman, R. A., &amp;amp; Price, F. W. (2003, 10). Ocular Complications Associated with the Use of Cosmetic Contact Lenses from Unlicensed Vendors. *Eye &amp;amp; Contact Lens: Science &amp;amp; Clinical Practice,* *29*(4), 196-200. doi:10.1097/00140068-200310000-00002
\[12\] Loh K, Agarwal P. Contact lens related corneal ulcer. *Malays Fam Physician*. 2010 Apr 30;5(1):6-8. PubMed PMID: 25606178; PubMed Central PMCID: PMC4170392.
\[13\] Ayesha, M. Z., Umi Kalthum, M. N., Jemaima, C. H., &amp;amp; Faridah, H. A. (2015). Night market contact lens-related corneal ulcer: Should we increase public awareness?. *Malaysian family physician : the official journal of the Academy of Family Physicians of Malaysia*, *10*(1), 47–49.
\[14\] Berenson, A. B., Chang, M., Hirth, J. M., &amp;amp; Merkley, K. H. (2019). Use and misuse of cosmetic contact lenses among US adolescents in Southeast Texas. *Adolescent health, medicine and therapeutics*, *10*, 1–6. doi:10.2147/AHMT.S196573</t>
        </is>
      </c>
      <c r="D623" t="n">
        <v>13</v>
      </c>
      <c r="E623" t="n">
        <v>2</v>
      </c>
      <c r="F623">
        <f>HYPERLINK("https://www.reddit.com/r/eyetriage/comments/cfssqk/why_you_should_have_an_inoffice_visit_for_your/")</f>
        <v/>
      </c>
      <c r="G623" t="inlineStr">
        <is>
          <t>2019-07-20 17:09:31</t>
        </is>
      </c>
      <c r="H623" t="inlineStr"/>
    </row>
    <row r="624">
      <c r="A624" t="inlineStr">
        <is>
          <t>cftge0</t>
        </is>
      </c>
      <c r="B624" t="inlineStr">
        <is>
          <t>Is this only me?</t>
        </is>
      </c>
      <c r="C624" t="inlineStr">
        <is>
          <t>My vision is never completely clear. Like if I look at a blank white wall, there are thousands of "flashes" over my vision so I don't see solid white. The flashes have color but they see to come and go very quickly. Also, all lights seem to have starbursts- every single one. I am very young, less than 18 years old. I am curious what this is and if it could possibly be something more serious. I wear contact lens.
Also, I don't know if this can be related to my eyesight, but I can never really "see" for lack of a better word. My vision is clear but it's like what it isn't actually registering to me.</t>
        </is>
      </c>
      <c r="D624" t="n">
        <v>1</v>
      </c>
      <c r="E624" t="n">
        <v>2</v>
      </c>
      <c r="F624">
        <f>HYPERLINK("https://www.reddit.com/r/eyetriage/comments/cftge0/is_this_only_me/")</f>
        <v/>
      </c>
      <c r="G624" t="inlineStr">
        <is>
          <t>2019-07-20 18:17:19</t>
        </is>
      </c>
      <c r="H624" t="inlineStr"/>
    </row>
    <row r="625">
      <c r="A625" t="inlineStr">
        <is>
          <t>cg0euk</t>
        </is>
      </c>
      <c r="B625" t="inlineStr">
        <is>
          <t>Inflamed eye, no major symptoms, several professionals are at a loss. It's been nearly two months and it's not getting any better. Help?</t>
        </is>
      </c>
      <c r="C625" t="inlineStr">
        <is>
          <t>The only symptoms I have are inflamed eyes (left is worse than the right), swollen caruncle and a gland next to the caruncle - both of which are swollen when I wake up in the morning and calm down throughout the day. Also, there's some light flakes on the lashes which come and go and itching which mostly happens after I use an eye wash.
The common denominator all professionals mentioned was dryness, but I've been using eye drops and eye mists for over a month now and my symptoms are still the same. However, when I use baby shampoo to wash my eyes my left eye starts watering I can feel some kind of liquid (maybe discharge?) near the caruncle. I've also been using cold pressed castor oil on and off to see if it helps at all but I can't tell the difference.
There's no burning, no redness other than that around the swollen caruncle, no mucus, no other obvious symptoms. Just the swollen eye/eyelid, swollen caruncle and the fact that it's been like this for 1-2 months with no signs of improvement. I've stopped wearing contact lenses and makeup for as long as it's been like this, but even that's not helping to make things go back to normal.</t>
        </is>
      </c>
      <c r="D625" t="n">
        <v>2</v>
      </c>
      <c r="E625" t="n">
        <v>8</v>
      </c>
      <c r="F625">
        <f>HYPERLINK("https://www.reddit.com/r/eyetriage/comments/cg0euk/inflamed_eye_no_major_symptoms_several/")</f>
        <v/>
      </c>
      <c r="G625" t="inlineStr">
        <is>
          <t>2019-07-21 08:48:47</t>
        </is>
      </c>
      <c r="H625" t="inlineStr"/>
    </row>
    <row r="626">
      <c r="A626" t="inlineStr">
        <is>
          <t>cgo0e6</t>
        </is>
      </c>
      <c r="B626" t="inlineStr">
        <is>
          <t>question about flashing lights</t>
        </is>
      </c>
      <c r="C626" t="inlineStr">
        <is>
          <t>so over the last few weeks ive been experiencing little white lightning bolts entering my vison with increasing frequency i also have severe myopia and moderate stage glaucoma with moderate peripheral vision loss not looking for a diagnosis today i had one of these as a dime size flash but thats not normal right? .. im making a appointment in the morning . however is this something i should be rushing to the er for? im just worried about losing more vision .</t>
        </is>
      </c>
      <c r="D626" t="n">
        <v>1</v>
      </c>
      <c r="E626" t="n">
        <v>2</v>
      </c>
      <c r="F626">
        <f>HYPERLINK("https://www.reddit.com/r/eyetriage/comments/cgo0e6/question_about_flashing_lights/")</f>
        <v/>
      </c>
      <c r="G626" t="inlineStr">
        <is>
          <t>2019-07-22 21:40:15</t>
        </is>
      </c>
      <c r="H626" t="inlineStr"/>
    </row>
    <row r="627">
      <c r="A627" t="inlineStr">
        <is>
          <t>cgquxv</t>
        </is>
      </c>
      <c r="B627" t="inlineStr">
        <is>
          <t>Can spherical power automatically reduce?</t>
        </is>
      </c>
      <c r="C627" t="inlineStr">
        <is>
          <t>I have been wearing spectacles since 2010 (I was 12). My first prescription had spherical power of +0.25 on my left eye and +0.50 on my right eye, no cylindrical power. However my last two prescriptions do not have any sphere in my left eye, just cylindrical power of -1.5 while my right eye still has +0.50 sph with -1.5 cyl. Is it possible for the spherical power to disappear or was it a mistake?
I see fine with my spectacles on but I can't help but wonder if this was a mistake on my doctor's part. I did go to a different doctor since 2016 for a few reasons and my current prescription is from another optometrist because I moved to a new city.</t>
        </is>
      </c>
      <c r="D627" t="n">
        <v>1</v>
      </c>
      <c r="E627" t="n">
        <v>0</v>
      </c>
      <c r="F627">
        <f>HYPERLINK("https://www.reddit.com/r/eyetriage/comments/cgquxv/can_spherical_power_automatically_reduce/")</f>
        <v/>
      </c>
      <c r="G627" t="inlineStr">
        <is>
          <t>2019-07-23 03:27:13</t>
        </is>
      </c>
      <c r="H627" t="inlineStr"/>
    </row>
    <row r="628">
      <c r="A628" t="inlineStr">
        <is>
          <t>cgx95v</t>
        </is>
      </c>
      <c r="B628" t="inlineStr">
        <is>
          <t>Is this ok</t>
        </is>
      </c>
      <c r="C628" t="inlineStr">
        <is>
          <t>Weird eye thing blue</t>
        </is>
      </c>
      <c r="D628" t="n">
        <v>1</v>
      </c>
      <c r="E628" t="n">
        <v>0</v>
      </c>
      <c r="F628">
        <f>HYPERLINK("https://www.reddit.com/r/eyetriage/comments/cgx95v/is_this_ok/")</f>
        <v/>
      </c>
      <c r="G628" t="inlineStr">
        <is>
          <t>2019-07-23 12:31:13</t>
        </is>
      </c>
      <c r="H628" t="inlineStr"/>
    </row>
    <row r="629">
      <c r="A629" t="inlineStr">
        <is>
          <t>cgyrj9</t>
        </is>
      </c>
      <c r="B629" t="inlineStr">
        <is>
          <t>Finding the right ophthalmologist</t>
        </is>
      </c>
      <c r="C629" t="inlineStr">
        <is>
          <t>No idea if this is the right place to ask, my apologies.
So I have a pretty severe case of Congenital Glaucoma. Had it since I was like 8 years old, and have been back and forth between so many docs over the years. My most recent doctor, he was a good guy and his office was part of an medical school and had resources and stuff, all pluses. But he retired recently and didn't have a replacement. No one told me (argh), so I basically got the rug pulled out under me, currently am without an eye doc.
His office referred me to another ophthalmologist at a nearby hospital, and he was all like "oh I can't treat your case, you need a sub-specialist (whatever that means, he was super vague) so I'm going to refer you to this other medical school nearby that has qualifications and resources."
Okay cool. Buuut then I get a call today and turns out he recommended me to  somewhere completely different. A WAY further drive (um dude, how am I gonna get my eyes dilated and get rides?), and upon Googling it, nothing says it's a medical school or even all that qualified. I'm convinced he just saw me as another customer and threw me at some friend of his for a referral commission, if that is even a thing. 
I dunno, I'm at my wits end here. Just HOW do you find an appropriate ophthalmologist? What specific qualifications should I be looking for with severe Congenital Glaucoma? What do I even do anymore, man? :-/</t>
        </is>
      </c>
      <c r="D629" t="n">
        <v>1</v>
      </c>
      <c r="E629" t="n">
        <v>5</v>
      </c>
      <c r="F629">
        <f>HYPERLINK("https://www.reddit.com/r/eyetriage/comments/cgyrj9/finding_the_right_ophthalmologist/")</f>
        <v/>
      </c>
      <c r="G629" t="inlineStr">
        <is>
          <t>2019-07-23 14:27:26</t>
        </is>
      </c>
      <c r="H629" t="inlineStr"/>
    </row>
    <row r="630">
      <c r="A630" t="inlineStr">
        <is>
          <t>cgzpt3</t>
        </is>
      </c>
      <c r="B630" t="inlineStr">
        <is>
          <t>surgery for non-accommodative esotropia(lazy eye) gone wrong?</t>
        </is>
      </c>
      <c r="C630" t="inlineStr">
        <is>
          <t>I'm sorry if I don't have all the terminology right, please feel free to correct me if I'm butchering it. My 2.5 year old son had surgery for his lazy eye 8 days ago and since waking up his eyes have turned outwards. His opthamologist measured his eyes twice before surgery and got the measurement of 25 the first time and then 35 the second time. She operated for the 35 and now his eyes are measuring 8 (exotropic). My concern in hindsight is that she didn't do her due diligence and measure his eyes enough times before operating. She assured me today that measuring 10 either way(eyes in or out) even if that is normal but could this have been avoided? How many times patients eye measured before surgery on average? Should I find a new opthamologist to do his follow-up appointments?</t>
        </is>
      </c>
      <c r="D630" t="n">
        <v>2</v>
      </c>
      <c r="E630" t="n">
        <v>0</v>
      </c>
      <c r="F630">
        <f>HYPERLINK("https://www.reddit.com/r/eyetriage/comments/cgzpt3/surgery_for_nonaccommodative_esotropialazy_eye/")</f>
        <v/>
      </c>
      <c r="G630" t="inlineStr">
        <is>
          <t>2019-07-23 15:44:37</t>
        </is>
      </c>
      <c r="H630" t="inlineStr"/>
    </row>
    <row r="631">
      <c r="A631" t="inlineStr">
        <is>
          <t>chcnu0</t>
        </is>
      </c>
      <c r="B631" t="inlineStr">
        <is>
          <t>Appearance of “wet” line floater in vision</t>
        </is>
      </c>
      <c r="C631" t="inlineStr">
        <is>
          <t>Sufferer of what I think is eye floaters. I mentioned to my ophthalmologist that the floater in my left eye only drifts into my vision (from left to right) when I move my head left to right. It drifts in and then drinks back to the left. It appears as a grey crescent shape with a dark circle halfway down the crescent. It looks sort of “wet”. I was told that this particular shape and appearance is sign of PVD or partial PVD. In your practice, have you heard this. And why is this particular shape/appearance specific to PVD, especially the wet line part?</t>
        </is>
      </c>
      <c r="D631" t="n">
        <v>1</v>
      </c>
      <c r="E631" t="n">
        <v>3</v>
      </c>
      <c r="F631">
        <f>HYPERLINK("https://www.reddit.com/r/eyetriage/comments/chcnu0/appearance_of_wet_line_floater_in_vision/")</f>
        <v/>
      </c>
      <c r="G631" t="inlineStr">
        <is>
          <t>2019-07-24 12:21:50</t>
        </is>
      </c>
      <c r="H631" t="inlineStr"/>
    </row>
    <row r="632">
      <c r="A632" t="inlineStr">
        <is>
          <t>chfq6u</t>
        </is>
      </c>
      <c r="B632" t="inlineStr">
        <is>
          <t>I have a "lattice" in my eye. What does that mean?</t>
        </is>
      </c>
      <c r="C632" t="inlineStr">
        <is>
          <t>I'm a 21F. My dad has FEVR on the FDZ4, and had a detachment in both eyes in his early 20s. He had a surgery of some kind to reattch them somewhat. My ophthalmologist is fairly certain I also have FEVR, although I haven't had the genetic testing to prove it.
Today at my appointment she mentioned I have a lattice in the peripheral of my right eye. She also mentioned something about a hole, but honestly I was too preoccupied with the blinding light in my eye to remember the exact words. She said to come back in a year.
I assume its nothing to worry about, since she wants to see me back a year from now. That, or there isn't anything that can be done about it anyways.
Am I likely to get a detatchment? What does the recovery look like now compared to almost 30 years ago?</t>
        </is>
      </c>
      <c r="D632" t="n">
        <v>3</v>
      </c>
      <c r="E632" t="n">
        <v>4</v>
      </c>
      <c r="F632">
        <f>HYPERLINK("https://www.reddit.com/r/eyetriage/comments/chfq6u/i_have_a_lattice_in_my_eye_what_does_that_mean/")</f>
        <v/>
      </c>
      <c r="G632" t="inlineStr">
        <is>
          <t>2019-07-24 16:22:20</t>
        </is>
      </c>
      <c r="H632" t="inlineStr"/>
    </row>
    <row r="633">
      <c r="A633" t="inlineStr">
        <is>
          <t>chkgqr</t>
        </is>
      </c>
      <c r="B633" t="inlineStr">
        <is>
          <t>Turquoise coloured stains from eye</t>
        </is>
      </c>
      <c r="C633" t="inlineStr">
        <is>
          <t>I've been getting turquoise coloured stains on tissues when I use it to wipe my eyes. The blue is actually a very nice shade but I couldn't find any info about it online. What does it mean?
https://i.imgur.com/V6aPShQ.jpg</t>
        </is>
      </c>
      <c r="D633" t="n">
        <v>2</v>
      </c>
      <c r="E633" t="n">
        <v>1</v>
      </c>
      <c r="F633">
        <f>HYPERLINK("https://www.reddit.com/r/eyetriage/comments/chkgqr/turquoise_coloured_stains_from_eye/")</f>
        <v/>
      </c>
      <c r="G633" t="inlineStr">
        <is>
          <t>2019-07-25 00:23:26</t>
        </is>
      </c>
      <c r="H633" t="inlineStr"/>
    </row>
    <row r="634">
      <c r="A634" t="inlineStr">
        <is>
          <t>chmda7</t>
        </is>
      </c>
      <c r="B634" t="inlineStr">
        <is>
          <t>Could my White Dot Syndrome actually be eye sarcoidosis?</t>
        </is>
      </c>
      <c r="C634" t="inlineStr">
        <is>
          <t>Hello everyone!
I'm a 24 year old female who is slightly shortsighted. 
Five years ago in 2014, I got a very small spot in my eye near my focus point. My eyes didn't seem infected at the time nor did I feel ill. Even OCT didn't show any abnormalities. Only a year later I got the diagnosis White Dot Syndrome. In the mean time I would get new spots daily, most of which would vanish after a few seconds. Very few stayed. If I could guess, I think in 5 years I got maybe 6 or 7 permanent spots. Most of them in my right eye.
Since the appearance of spots has been roughly constant over the past few years, I never felt the WDS diagnosis fit me very well. I did notice, however, that I seemed to have a higher chance of getting permanent spots while having a cold or feeling ill. I also get more spots that vanish after a few seconds at these times. 
One year ago I got the diagnosis sarcoidosis (Löfgren syndrome). This diagnosis fits me like a glove. They asked me if I noticed some changes in my eyes. I said, "No. Nothing changed recently. However, I do have the White Dot Syndrome."
Recently I was reading into both conditions and noticed they both have a thing in common: granuloma.
Some change I want to add: I wear contacts and since a few months, I will get an allergic reaction to them which makes my eyes feel tired and a little dry, but not red or itchy. Antihistamines help a lot. This might be completely irrelevant, but I don't know that haha. 
Could my symptoms be more fitting to eye sarcoidosis after all and if so, should I notify my doctor about it?</t>
        </is>
      </c>
      <c r="D634" t="n">
        <v>1</v>
      </c>
      <c r="E634" t="n">
        <v>4</v>
      </c>
      <c r="F634">
        <f>HYPERLINK("https://www.reddit.com/r/eyetriage/comments/chmda7/could_my_white_dot_syndrome_actually_be_eye/")</f>
        <v/>
      </c>
      <c r="G634" t="inlineStr">
        <is>
          <t>2019-07-25 04:19:53</t>
        </is>
      </c>
      <c r="H634" t="inlineStr"/>
    </row>
    <row r="635">
      <c r="A635" t="inlineStr">
        <is>
          <t>chx8kv</t>
        </is>
      </c>
      <c r="B635" t="inlineStr">
        <is>
          <t>Meibomian Gland Dysfunction suffers who wear contacts, did you stop wearing them due to the discomfort, if so, were you able to return to normal wear after consistent, at-home treatment (warm compresses and better eye lid care)?</t>
        </is>
      </c>
      <c r="C635" t="inlineStr">
        <is>
          <t>I was recently made aware I have MGD, my eye doc treated me for seasonal allergies (w a steroid and non-steroid drop, neither made a difference) for about 3 months before mentioning MGD, I don’t wear my contacts anymore bc it is so uncomfortable but I would like to be able to again one day. I have just started the warm compresses so I haven’t seen much changes yet but curious about how those who have MGD treat it at home and if you were able to wear contacts comfortably again. Thanks!</t>
        </is>
      </c>
      <c r="D635" t="n">
        <v>1</v>
      </c>
      <c r="E635" t="n">
        <v>3</v>
      </c>
      <c r="F635">
        <f>HYPERLINK("https://www.reddit.com/r/eyetriage/comments/chx8kv/meibomian_gland_dysfunction_suffers_who_wear/")</f>
        <v/>
      </c>
      <c r="G635" t="inlineStr">
        <is>
          <t>2019-07-25 19:43:38</t>
        </is>
      </c>
      <c r="H635" t="inlineStr"/>
    </row>
    <row r="636">
      <c r="A636" t="inlineStr">
        <is>
          <t>chzhv0</t>
        </is>
      </c>
      <c r="B636" t="inlineStr">
        <is>
          <t>I am starting to see a lot of floaters in my right eye including black spots. Should I be concerned?</t>
        </is>
      </c>
      <c r="C636" t="inlineStr">
        <is>
          <t>They don't appear if I focus on something but they  do appear if I move my eye around. Is this a sign of something more serious? I'm 21 years old, myopic with +0.50 sph and -1.5 cyl.</t>
        </is>
      </c>
      <c r="D636" t="n">
        <v>1</v>
      </c>
      <c r="E636" t="n">
        <v>3</v>
      </c>
      <c r="F636">
        <f>HYPERLINK("https://www.reddit.com/r/eyetriage/comments/chzhv0/i_am_starting_to_see_a_lot_of_floaters_in_my/")</f>
        <v/>
      </c>
      <c r="G636" t="inlineStr">
        <is>
          <t>2019-07-25 23:51:43</t>
        </is>
      </c>
      <c r="H636" t="inlineStr"/>
    </row>
    <row r="637">
      <c r="A637" t="inlineStr">
        <is>
          <t>ci2hm7</t>
        </is>
      </c>
      <c r="B637" t="inlineStr">
        <is>
          <t>IOL for cataracts after LASIK</t>
        </is>
      </c>
      <c r="C637" t="inlineStr">
        <is>
          <t>I am 54 and had LASIK about 13 years ago for my nearsightedness and astigmatism. Walked out with 20/10 vision which lasted until about 4 years ago. I started needing glasses for night driving and that slowly progressed to needing glasses again all the time. My astigmatism is back to about a 1.0 and 1.75. I never thought it was odd that my vision changed. A couple of months ago my doc said I had cataracts developing, mostly in the center of my vision which was why we were having trouble correcting my vision with glasses. So I'm scheduled for cataract surgery. She suggested multifocal but I did not want to lose more night vision (definitely lost some with the LASIK) so I've opted for a mono toric IOL and am content to deal with reading glasses. I've been doing so much reading on all this however and now I'm really wondering why my vision didn't stay relatively consistent after the LASIK. Was it the cataracts already? And if my astigmatism is coming from cataracts, what happens when the lens is removed? Wouldn't that change the kind of IOL I need? Is this something ophthalmologists normally/regularly take into account and adjust for somehow?</t>
        </is>
      </c>
      <c r="D637" t="n">
        <v>2</v>
      </c>
      <c r="E637" t="n">
        <v>8</v>
      </c>
      <c r="F637">
        <f>HYPERLINK("https://www.reddit.com/r/eyetriage/comments/ci2hm7/iol_for_cataracts_after_lasik/")</f>
        <v/>
      </c>
      <c r="G637" t="inlineStr">
        <is>
          <t>2019-07-26 05:52:51</t>
        </is>
      </c>
      <c r="H637" t="inlineStr"/>
    </row>
    <row r="638">
      <c r="A638" t="inlineStr">
        <is>
          <t>ci7d4z</t>
        </is>
      </c>
      <c r="B638" t="inlineStr">
        <is>
          <t>Mom diagnosed with Occult Macular Dystrophy</t>
        </is>
      </c>
      <c r="C638" t="inlineStr">
        <is>
          <t>Does anyone know of any research studies in progress or experimental treatments or anything? The doctors say they can’t do anything for her.</t>
        </is>
      </c>
      <c r="D638" t="n">
        <v>2</v>
      </c>
      <c r="E638" t="n">
        <v>0</v>
      </c>
      <c r="F638">
        <f>HYPERLINK("https://www.reddit.com/r/eyetriage/comments/ci7d4z/mom_diagnosed_with_occult_macular_dystrophy/")</f>
        <v/>
      </c>
      <c r="G638" t="inlineStr">
        <is>
          <t>2019-07-26 12:33:59</t>
        </is>
      </c>
      <c r="H638" t="inlineStr"/>
    </row>
    <row r="639">
      <c r="A639" t="inlineStr">
        <is>
          <t>cigkir</t>
        </is>
      </c>
      <c r="B639" t="inlineStr">
        <is>
          <t>Is this a blocked tear duct?</t>
        </is>
      </c>
      <c r="C639" t="inlineStr">
        <is>
          <t>For 7 weeks I've had an inflamed eye which I only noticed when my caruncle on both eyes became incredibly swollen. I stopped wearing contacts and makeup because I knew that was making it worse.
Every medical professional I went to said it was dry eyes so I used hot compress after hot compress, dry eye drops, antibiotic eye drops, currently on hayfever eye drops, eye mist, ibuprofen, etc. but nothing worked. The most recent medical professional I went to said my tear duct might be swollen.
Today I woke up with my eye feeling worse than ever. The inflammation and the pressure on my head was so painful. Instead of using a typical hot compress, I just put my hot cup of tea to my eye out of sheer desperation for heat and heavy pressure. Soon after I felt a mini gush of what I think we're tears from the corner of my eye. Is that normal for a blocked tear duct?</t>
        </is>
      </c>
      <c r="D639" t="n">
        <v>1</v>
      </c>
      <c r="E639" t="n">
        <v>1</v>
      </c>
      <c r="F639">
        <f>HYPERLINK("https://www.reddit.com/r/eyetriage/comments/cigkir/is_this_a_blocked_tear_duct/")</f>
        <v/>
      </c>
      <c r="G639" t="inlineStr">
        <is>
          <t>2019-07-27 04:48:06</t>
        </is>
      </c>
      <c r="H639" t="inlineStr"/>
    </row>
    <row r="640">
      <c r="A640" t="inlineStr">
        <is>
          <t>cihrm4</t>
        </is>
      </c>
      <c r="B640" t="inlineStr">
        <is>
          <t>Unclear about risks of showering with contacts . . .</t>
        </is>
      </c>
      <c r="C640" t="inlineStr">
        <is>
          <t>[This article](https://www.livescience.com/65916-parasitic-eye-infection-showering-with-contact-lenses.html) describes a guy who got a cornea infection and went blind and somehow associates it with showering with contacts.
I'm really unclear about the role the shower plays.
Does showering actually increase the risk of an infection somehow? Or is this just clickbait and the shower had nothing to do with the infection? Or did the infection actually come from the shower somehow?
Anybody care to shed a little light?</t>
        </is>
      </c>
      <c r="D640" t="n">
        <v>4</v>
      </c>
      <c r="E640" t="n">
        <v>10</v>
      </c>
      <c r="F640">
        <f>HYPERLINK("https://www.reddit.com/r/eyetriage/comments/cihrm4/unclear_about_risks_of_showering_with_contacts/")</f>
        <v/>
      </c>
      <c r="G640" t="inlineStr">
        <is>
          <t>2019-07-27 06:54:35</t>
        </is>
      </c>
      <c r="H640" t="inlineStr"/>
    </row>
    <row r="641">
      <c r="A641" t="inlineStr">
        <is>
          <t>ciiu6c</t>
        </is>
      </c>
      <c r="B641" t="inlineStr">
        <is>
          <t>Wearing glasses made me light sensitive</t>
        </is>
      </c>
      <c r="C641" t="inlineStr">
        <is>
          <t>I started having some problems with working on computers last year December, this January. I had no idea what the problem was though so I opted for trying glasses. Biggest mistake of my life so far. In hindsight now I know that the computers exhausted my photoreceptors.
Nonetheless, as I had no idea what was going on, only that my eyes would hurt when using computers. I though wearing glasses might fix the issue. Well it only fixed an extremely marginal near-sightedness (-0,5 and -0,25) for when I put it on but other than that it only had negative consequences.
I could feel that simply by wearing these newly bought pair of glasses, my eyes would hurt. Not only in front of a computer but anywhere I wore them. I thought my eyes would just need to get used to them so I decided to keep them on for an entire day. Mistake. 
When at the end of the day I took the glasses off, I would see an afterimage of a light beam for almost 10 minutes and traces of moving objects as well. Really not good. And now here I am half a yearl later, curing myself as no doctors could say anything since they could not yet take a look at my photoreceptor cells, so I had to start figuring out what the problem was. The latter symptom still hasn't gone away completely though it seems to have eased.
I had no problem with light beforehand but now I [do.](https://do.Blue) I've tried blue light filters, but healthy eating seems to help the most. Any further advice?</t>
        </is>
      </c>
      <c r="D641" t="n">
        <v>0</v>
      </c>
      <c r="E641" t="n">
        <v>6</v>
      </c>
      <c r="F641">
        <f>HYPERLINK("https://www.reddit.com/r/eyetriage/comments/ciiu6c/wearing_glasses_made_me_light_sensitive/")</f>
        <v/>
      </c>
      <c r="G641" t="inlineStr">
        <is>
          <t>2019-07-27 08:30:42</t>
        </is>
      </c>
      <c r="H641" t="inlineStr"/>
    </row>
    <row r="642">
      <c r="A642" t="inlineStr">
        <is>
          <t>ciivp8</t>
        </is>
      </c>
      <c r="B642" t="inlineStr">
        <is>
          <t>Why is a posterior vitreous detachment in one eye more likely to happen in the other eye within a year?</t>
        </is>
      </c>
      <c r="C642" t="inlineStr">
        <is>
          <t>I saw this on WebMD.  
What % have it happen in the other eye?
Is it always as bad as the first eye?
For me, it's been a month since my right eye had a PVD, and it's finally gotten better in the last couple days.  For most of the past month it was like a thin layer of Vaseline was spread across my right eye.  Things got better for a couple days, then worse.  Rinse, repeat, and after a month, It's finally better, but I'm still concerned about future "events" in my right eye, and was very troubled when I read a PVD in the other eye is likely within the next year.</t>
        </is>
      </c>
      <c r="D642" t="n">
        <v>1</v>
      </c>
      <c r="E642" t="n">
        <v>2</v>
      </c>
      <c r="F642">
        <f>HYPERLINK("https://www.reddit.com/r/eyetriage/comments/ciivp8/why_is_a_posterior_vitreous_detachment_in_one_eye/")</f>
        <v/>
      </c>
      <c r="G642" t="inlineStr">
        <is>
          <t>2019-07-27 08:34:09</t>
        </is>
      </c>
      <c r="H642" t="inlineStr"/>
    </row>
    <row r="643">
      <c r="A643" t="inlineStr">
        <is>
          <t>cijquc</t>
        </is>
      </c>
      <c r="B643" t="inlineStr">
        <is>
          <t>Do I need to get refitted if I'm gonna wear a different brand of soft contact lens?</t>
        </is>
      </c>
      <c r="C643" t="inlineStr">
        <is>
          <t>A few weeks ago I was fitted for soft contact lenses and the dr gave me a monthly contact lens. She didn't tell me my BC and I forgot to ask. I'd like to switch to a different brand of daily lens now and I was wondering, assuming my dr will give me my BC, can I just order my lenses online then, or should I be refitted since I'm switching brands.
I also noticed most types of soft CLs have only like 2 or 3 BC values, so they won't have my exact BC probably. Given that, do I need to be refitted or can I just take the value closest to my BC?</t>
        </is>
      </c>
      <c r="D643" t="n">
        <v>1</v>
      </c>
      <c r="E643" t="n">
        <v>5</v>
      </c>
      <c r="F643">
        <f>HYPERLINK("https://www.reddit.com/r/eyetriage/comments/cijquc/do_i_need_to_get_refitted_if_im_gonna_wear_a/")</f>
        <v/>
      </c>
      <c r="G643" t="inlineStr">
        <is>
          <t>2019-07-27 09:44:53</t>
        </is>
      </c>
      <c r="H643" t="inlineStr"/>
    </row>
    <row r="644">
      <c r="A644" t="inlineStr">
        <is>
          <t>cituos</t>
        </is>
      </c>
      <c r="B644" t="inlineStr">
        <is>
          <t>Double Vision at a certain distance when driving</t>
        </is>
      </c>
      <c r="C644" t="inlineStr">
        <is>
          <t>Hi any suggestions about this? This is for my mum she's in her 80's and has this problem when driving that "the lines on the road go crossed" in her words but only at a certain distance away (around the mid distance - a few hundred meters perhaps). She's got glasses but they don't seem to fix it - she has astigmatism - one eye is worse. She had cataract surgery a year or so ago, but this precedes the cataracts.  She is seeing her surgeon again soon, and her optometrist but they don't seem to have helped. I was wondering if you good folk have any suggestions on how to proceed. Maybe she's just old and has to suck it up, but thought I'd give this a try. If she covers up her left eye - the one with astigmatism it goes away she says. She also has a bit of light sensitivity at night time as well. tia</t>
        </is>
      </c>
      <c r="D644" t="n">
        <v>1</v>
      </c>
      <c r="E644" t="n">
        <v>10</v>
      </c>
      <c r="F644">
        <f>HYPERLINK("https://www.reddit.com/r/eyetriage/comments/cituos/double_vision_at_a_certain_distance_when_driving/")</f>
        <v/>
      </c>
      <c r="G644" t="inlineStr">
        <is>
          <t>2019-07-28 02:23:29</t>
        </is>
      </c>
      <c r="H644" t="inlineStr"/>
    </row>
    <row r="645">
      <c r="A645" t="inlineStr">
        <is>
          <t>ciucrs</t>
        </is>
      </c>
      <c r="B645" t="inlineStr">
        <is>
          <t>Sudden ptosis in child</t>
        </is>
      </c>
      <c r="C645" t="inlineStr">
        <is>
          <t>Hi guys,
So last Wednesday my son woke up with a droopy left upper eye lid. He is 14 months old and had never noticed any problems before. It got better over the next 24 hours, but again yesterday I notice it has returned.
I can't see any other issues with his eye, his pupil seems fine and eyes are moving around normal as far as I can see. His behaviour is the same so I don't think he is in pain.
Have been ready some scary things about 3rd nerve palsies. Will take him tomorrow to the doctor, but do I have reason to be worried?</t>
        </is>
      </c>
      <c r="D645" t="n">
        <v>1</v>
      </c>
      <c r="E645" t="n">
        <v>4</v>
      </c>
      <c r="F645">
        <f>HYPERLINK("https://www.reddit.com/r/eyetriage/comments/ciucrs/sudden_ptosis_in_child/")</f>
        <v/>
      </c>
      <c r="G645" t="inlineStr">
        <is>
          <t>2019-07-28 03:33:23</t>
        </is>
      </c>
      <c r="H645" t="inlineStr"/>
    </row>
    <row r="646">
      <c r="A646" t="inlineStr">
        <is>
          <t>cj41jc</t>
        </is>
      </c>
      <c r="B646" t="inlineStr">
        <is>
          <t>Sun in eyes while driving</t>
        </is>
      </c>
      <c r="C646" t="inlineStr">
        <is>
          <t>I’m very sorry for posting about this again. Some people are calling me a troll for posting so many times, but I just have terrible anxiety about this stuff. So while driving today, the side mirror of the car was reflecting the sun directly into my eyes and it was blinding when switching lanes. Other times I would be driving directly towards the sun and the sun visor wouldn’t completely block it cause the sun was slightly to the right of it. I’m very scared because I was being forced to look towards the sun for many seconds at a time and it might damage my vision.</t>
        </is>
      </c>
      <c r="D646" t="n">
        <v>1</v>
      </c>
      <c r="E646" t="n">
        <v>0</v>
      </c>
      <c r="F646">
        <f>HYPERLINK("https://www.reddit.com/r/eyetriage/comments/cj41jc/sun_in_eyes_while_driving/")</f>
        <v/>
      </c>
      <c r="G646" t="inlineStr">
        <is>
          <t>2019-07-28 17:51:07</t>
        </is>
      </c>
      <c r="H646" t="inlineStr"/>
    </row>
    <row r="647">
      <c r="A647" t="inlineStr">
        <is>
          <t>cj96w5</t>
        </is>
      </c>
      <c r="B647" t="inlineStr">
        <is>
          <t>Soap in eye</t>
        </is>
      </c>
      <c r="C647" t="inlineStr">
        <is>
          <t>Sorry if this seems like a silly question but I woke up in the middle of the night and felt like there was something on my face so I went to the bathroom and in my haste/half-asleep state took some hand soap and started washing my face. Then I realized that hand soap is probably not the best thing to stick in my face and splashed some water to wash it off.
I noticed my eye starting to feel irritated (though to be honest it had been feeling uncomfortable before I went to bed). I didn’t know if I had gotten soap in my eye (I think I may have half opened my eyes after I splashed my face but don’t think I felt any immediate crazy soap burning feeling.) But I panicked anyway and took some eye wetting drops and like poured them into my eye to try and wash it out in case there was soap. Then I tried to go back to sleep but my eye was still feeling uncomfortable. I waited a while (maybe like 45 minutes?) hoping it would go away and I put some more drops in during this time but it was still sore. So then I rinsed my eye with some water.
It’s still feeling uncomfortable and now I don’t know what to do. Did the drops I put in first interact badly with the soap and cause a dangerous reaction in my eye? Did I wait too long to wash with water? Should I wash it more? Should I see s doctor?</t>
        </is>
      </c>
      <c r="D647" t="n">
        <v>0</v>
      </c>
      <c r="E647" t="n">
        <v>1</v>
      </c>
      <c r="F647">
        <f>HYPERLINK("https://www.reddit.com/r/eyetriage/comments/cj96w5/soap_in_eye/")</f>
        <v/>
      </c>
      <c r="G647" t="inlineStr">
        <is>
          <t>2019-07-29 03:02:16</t>
        </is>
      </c>
      <c r="H647" t="inlineStr"/>
    </row>
    <row r="648">
      <c r="A648" t="inlineStr">
        <is>
          <t>cjdurm</t>
        </is>
      </c>
      <c r="B648" t="inlineStr">
        <is>
          <t>Eyes bulging no hope</t>
        </is>
      </c>
      <c r="C648" t="inlineStr">
        <is>
          <t>Since a year my eyes are bulging and it is really a big differents. The doctors if been to did bloodtest and mri. And nothing. I have no hope left. I dont work i almost cry when i see how i changed when i look in the mirror. I dont wanna live like this i just wanna look normal again. I have no fucking answers. Something hit my eye hard and 2 months after that i began. I dont go outside anymore. My hapiness is taken away by my bulging eyes. Doctors told me to visit a psychosomatic hospital. That dosnt help my eye problems.</t>
        </is>
      </c>
      <c r="D648" t="n">
        <v>2</v>
      </c>
      <c r="E648" t="n">
        <v>1</v>
      </c>
      <c r="F648">
        <f>HYPERLINK("https://www.reddit.com/r/eyetriage/comments/cjdurm/eyes_bulging_no_hope/")</f>
        <v/>
      </c>
      <c r="G648" t="inlineStr">
        <is>
          <t>2019-07-29 09:48:35</t>
        </is>
      </c>
      <c r="H648" t="inlineStr"/>
    </row>
    <row r="649">
      <c r="A649" t="inlineStr">
        <is>
          <t>cjgm6u</t>
        </is>
      </c>
      <c r="B649" t="inlineStr">
        <is>
          <t>Can blur adaption result in an inaccurate prescription?</t>
        </is>
      </c>
      <c r="C649" t="inlineStr">
        <is>
          <t>So I've read dozens of papers in the scientific literature regarding blur adaption and was wondering if an eye test using a Snellen chart takes this adaption into consideration?</t>
        </is>
      </c>
      <c r="D649" t="n">
        <v>1</v>
      </c>
      <c r="E649" t="n">
        <v>3</v>
      </c>
      <c r="F649">
        <f>HYPERLINK("https://www.reddit.com/r/eyetriage/comments/cjgm6u/can_blur_adaption_result_in_an_inaccurate/")</f>
        <v/>
      </c>
      <c r="G649" t="inlineStr">
        <is>
          <t>2019-07-29 13:06:24</t>
        </is>
      </c>
      <c r="H649" t="inlineStr"/>
    </row>
    <row r="650">
      <c r="A650" t="inlineStr">
        <is>
          <t>cjmm1h</t>
        </is>
      </c>
      <c r="B650" t="inlineStr">
        <is>
          <t>Question about eye inflammation and root causes</t>
        </is>
      </c>
      <c r="C650" t="inlineStr">
        <is>
          <t>So both of my eyes got randomly inflamed while I was on vacation. It’s just the whites of my eyes that are blood shot. There is also a decent amount of pain around and behind my eyes. As well as sensitivity to sunlight and pain when I try and focus on something up close. This is been a continuing problem for a little over a month.
I have seen my optometrist (because she has been my optometrist for over 10 years and has a good idea what my eyes look like normally). She diagnosed it as episcleritis, prescribed me durezol drops. The drops worked wonders but only masked the problem as once the bottle was finished, all my symptoms came back. She then prescribed me Lotemax sm which work somewhat but those drops are more soothing than anything. 
I have also seen an ophthalmologist who also diagnosed me with episcleritis and just told me to take 800mg of ibuprofen 3 times a day.
I have seen a rheumatologist and he took a lot of blood and a urine sample and prescribed me azithromycin just to rule out infection. But we still do not know what the root cause of the inflammation could be. 
I am seeing a second ophthalmologist on Wednesday for a second opinion. But has anyone ever experienced anything similar or know of any remedies that don’t require me to burn a hole through my stomach?</t>
        </is>
      </c>
      <c r="D650" t="n">
        <v>1</v>
      </c>
      <c r="E650" t="n">
        <v>0</v>
      </c>
      <c r="F650">
        <f>HYPERLINK("https://www.reddit.com/r/eyetriage/comments/cjmm1h/question_about_eye_inflammation_and_root_causes/")</f>
        <v/>
      </c>
      <c r="G650" t="inlineStr">
        <is>
          <t>2019-07-29 21:25:22</t>
        </is>
      </c>
      <c r="H650" t="inlineStr"/>
    </row>
    <row r="651">
      <c r="A651" t="inlineStr">
        <is>
          <t>cjponp</t>
        </is>
      </c>
      <c r="B651" t="inlineStr">
        <is>
          <t>New-ish diplopia one eye</t>
        </is>
      </c>
      <c r="C651" t="inlineStr">
        <is>
          <t>My right eye has a ghosty double image (left eye closed). It’s vertically directly below the main image, closely stacked. I think it’s three images now. It was two a week ago.
Does this sound like an emergency? Can it wait til my neuro follow up Friday? I’m in a tight spot financially and childcare wise so I can’t just pop off to the doctors office without pulling my husband out of work/losing income.
I’m being seen by neuro for possible MS. Called neuro and asked via message if I should go to optometry. No answer. I have two babies under two and am craaaaazy nervous about losing vision. (how will I see if they’ve got a toy or an edible-but-ancient-floor-Cheerio in their mouths?)
I’ve had prisms since I was 10. Left eye is weaker and points down mildly enough that friends don’t really notice unless I’m tired. Haven’t seen opthamology about prism issue.</t>
        </is>
      </c>
      <c r="D651" t="n">
        <v>3</v>
      </c>
      <c r="E651" t="n">
        <v>3</v>
      </c>
      <c r="F651">
        <f>HYPERLINK("https://www.reddit.com/r/eyetriage/comments/cjponp/newish_diplopia_one_eye/")</f>
        <v/>
      </c>
      <c r="G651" t="inlineStr">
        <is>
          <t>2019-07-30 03:11:45</t>
        </is>
      </c>
      <c r="H651" t="inlineStr"/>
    </row>
    <row r="652">
      <c r="A652" t="inlineStr">
        <is>
          <t>cjqfxs</t>
        </is>
      </c>
      <c r="B652" t="inlineStr">
        <is>
          <t>Floaters appeared overnight and light spot in central vision ?</t>
        </is>
      </c>
      <c r="C652" t="inlineStr">
        <is>
          <t>Hi there, 
First of all, I (26F with no prior eye disease except low correction glasses)  have an appointement on saturday with an eye doctor. It was the quickest I could find. My last one was early june (the first time I had glasses prescribed) 
I am fairly anxious while waiting. Yesterday morning, I woke up with floaters in both eyes. They are quite transparent, mildly annoying and it's the first time I have them. I also have a diffuse spot if light near my vision focus point. No eye redness, no pain. To be honest, I was focused on a screen all week end and really tired if that's relevant. 
It does not seem like I'm losing acuity. Maybe a little more blurry on the sides but nothing dramatic. No bright flashes. 
My question is : do you think it will be okay to wait until saturday or should i go to urgent care ? Main thing that concerned me is retina related and I read that it is a time sensitive thing. 
Thank you very much.</t>
        </is>
      </c>
      <c r="D652" t="n">
        <v>1</v>
      </c>
      <c r="E652" t="n">
        <v>4</v>
      </c>
      <c r="F652">
        <f>HYPERLINK("https://www.reddit.com/r/eyetriage/comments/cjqfxs/floaters_appeared_overnight_and_light_spot_in/")</f>
        <v/>
      </c>
      <c r="G652" t="inlineStr">
        <is>
          <t>2019-07-30 04:31:14</t>
        </is>
      </c>
      <c r="H652" t="inlineStr"/>
    </row>
    <row r="653">
      <c r="A653" t="inlineStr">
        <is>
          <t>cjqra0</t>
        </is>
      </c>
      <c r="B653" t="inlineStr">
        <is>
          <t>Eye exercises for horizontal monocular nystagmus</t>
        </is>
      </c>
      <c r="C653" t="inlineStr">
        <is>
          <t>I got congenital nystagmus and strabismus.
My right eye is fine but the left one keeps shaking when I look through it.
Are there any exercises to improve my nystagmus?</t>
        </is>
      </c>
      <c r="D653" t="n">
        <v>1</v>
      </c>
      <c r="E653" t="n">
        <v>2</v>
      </c>
      <c r="F653">
        <f>HYPERLINK("https://www.reddit.com/r/eyetriage/comments/cjqra0/eye_exercises_for_horizontal_monocular_nystagmus/")</f>
        <v/>
      </c>
      <c r="G653" t="inlineStr">
        <is>
          <t>2019-07-30 05:01:47</t>
        </is>
      </c>
      <c r="H653" t="inlineStr"/>
    </row>
    <row r="654">
      <c r="A654" t="inlineStr">
        <is>
          <t>cjwgiy</t>
        </is>
      </c>
      <c r="B654" t="inlineStr">
        <is>
          <t>Jones tube visibility?</t>
        </is>
      </c>
      <c r="C654" t="inlineStr">
        <is>
          <t>Just wondering, how visible is a Jones tube in the eye to other people?</t>
        </is>
      </c>
      <c r="D654" t="n">
        <v>1</v>
      </c>
      <c r="E654" t="n">
        <v>2</v>
      </c>
      <c r="F654">
        <f>HYPERLINK("https://www.reddit.com/r/eyetriage/comments/cjwgiy/jones_tube_visibility/")</f>
        <v/>
      </c>
      <c r="G654" t="inlineStr">
        <is>
          <t>2019-07-30 12:07:57</t>
        </is>
      </c>
      <c r="H654" t="inlineStr"/>
    </row>
    <row r="655">
      <c r="A655" t="inlineStr">
        <is>
          <t>ck8c13</t>
        </is>
      </c>
      <c r="B655" t="inlineStr">
        <is>
          <t>Tired/sleepy eyes when I go out.</t>
        </is>
      </c>
      <c r="C655" t="inlineStr">
        <is>
          <t>It's fine when I am at home but when I go out even for short duration like few hours, I suffer from tired/sleepy eyes. I don't know how exactly to describe it but I have a urge to close my eyes and sleep. And it goes away after I sleep for sometime. It's really irritating. Any what exactly is this condition called ?</t>
        </is>
      </c>
      <c r="D655" t="n">
        <v>1</v>
      </c>
      <c r="E655" t="n">
        <v>2</v>
      </c>
      <c r="F655">
        <f>HYPERLINK("https://www.reddit.com/r/eyetriage/comments/ck8c13/tiredsleepy_eyes_when_i_go_out/")</f>
        <v/>
      </c>
      <c r="G655" t="inlineStr">
        <is>
          <t>2019-07-31 06:12:52</t>
        </is>
      </c>
      <c r="H655" t="inlineStr"/>
    </row>
    <row r="656">
      <c r="A656" t="inlineStr">
        <is>
          <t>ckre7g</t>
        </is>
      </c>
      <c r="B656" t="inlineStr">
        <is>
          <t>Left eye pain and increased migraines.</t>
        </is>
      </c>
      <c r="C656" t="inlineStr">
        <is>
          <t>https://imgur.com/a/S1SZos6
My left eye has been hurting with varying intensity for several years now. It's always an ache at the back of my eye and i feel like i need stick my finger into my eye socket and rub it. It's always the left side.
A couple months ago I had the most intense migraine of my life that caused my left half to go numb with parasthesias. I've gone to two neurologists and two ophthalmologists. I'm frustrated because they don't seem to recognize my eye pain as something separate from the migraines, but rather that it's all together.
I have noticed lately that my pupils are different sizes, but my left eyelid (right in picture) has always been lower since I was a baby. I did notice, however, that in my MRI my optic nerve in my left eye looks bent, but the neurologist said she couldn't make any conclusion about it. The two ophthalmologists didn't look at the MRI.
One ophthalmologist wrote that I had physiological anisocoria, an optic disk disorder, and esophoria, but the other one said my retinas looked perfect (he was a retina specialist).
I have been doing a dry eye protocol at the recommendation of the eye doctor because my tears dried in 0 seconds and i have been following it to a T because I really, really hate my eye pain. 
Any ideas on where i should go from here?</t>
        </is>
      </c>
      <c r="D656" t="n">
        <v>2</v>
      </c>
      <c r="E656" t="n">
        <v>7</v>
      </c>
      <c r="F656">
        <f>HYPERLINK("https://www.reddit.com/r/eyetriage/comments/ckre7g/left_eye_pain_and_increased_migraines/")</f>
        <v/>
      </c>
      <c r="G656" t="inlineStr">
        <is>
          <t>2019-08-01 10:23:52</t>
        </is>
      </c>
      <c r="H656" t="inlineStr"/>
    </row>
    <row r="657">
      <c r="A657" t="inlineStr">
        <is>
          <t>ckrwoc</t>
        </is>
      </c>
      <c r="B657" t="inlineStr">
        <is>
          <t>Flashes in the eye</t>
        </is>
      </c>
      <c r="C657" t="inlineStr">
        <is>
          <t>Hello,
I have a history of thin retinas. At 3 am this morning, I saw two bright lights with my right eye, in complete darkness. It was scary with my history. My eye doctor is out of town, and so I went to see an urgent care doc, who barely peered into my eyes. The flashes haven't come back and my vision is fine. Does this warrant an ER visit? I know floaters can come and go, but I don't know anything about flashes.
Thank you!</t>
        </is>
      </c>
      <c r="D657" t="n">
        <v>1</v>
      </c>
      <c r="E657" t="n">
        <v>2</v>
      </c>
      <c r="F657">
        <f>HYPERLINK("https://www.reddit.com/r/eyetriage/comments/ckrwoc/flashes_in_the_eye/")</f>
        <v/>
      </c>
      <c r="G657" t="inlineStr">
        <is>
          <t>2019-08-01 11:03:10</t>
        </is>
      </c>
      <c r="H657" t="inlineStr"/>
    </row>
    <row r="658">
      <c r="A658" t="inlineStr">
        <is>
          <t>cl0v4m</t>
        </is>
      </c>
      <c r="B658" t="inlineStr">
        <is>
          <t>Is this periorbital cellulitis?</t>
        </is>
      </c>
      <c r="C658" t="inlineStr">
        <is>
          <t>My eyelids has swollen(not a big swelling though) for like a week there's no redness, no fever,no motility problems,it's lateral and I usually get sinusitis very often so I am a bit worried. I have eyelid pain (more like pressure i think) also pain around the eye and 2 days ago I've started to have cheekbone pressure pain ( But I don't have any other sinusitis kind of symptoms) I don't have a chance to visit an ophthalmologist for like 5 days What this could be ? Thanks
[Pic1](https://i.imgur.com/0OrEyL9.jpg)
[Pic2](https://i.imgur.com/bs2BcVB.jpg)
[Pic3](https://i.imgur.com/7vH5ALL.jpg)
[Pic4](https://i.imgur.com/shWJX0a.jpg)</t>
        </is>
      </c>
      <c r="D658" t="n">
        <v>1</v>
      </c>
      <c r="E658" t="n">
        <v>2</v>
      </c>
      <c r="F658">
        <f>HYPERLINK("https://www.reddit.com/r/eyetriage/comments/cl0v4m/is_this_periorbital_cellulitis/")</f>
        <v/>
      </c>
      <c r="G658" t="inlineStr">
        <is>
          <t>2019-08-02 00:22:20</t>
        </is>
      </c>
      <c r="H658" t="inlineStr"/>
    </row>
    <row r="659">
      <c r="A659" t="inlineStr">
        <is>
          <t>cl2kel</t>
        </is>
      </c>
      <c r="B659" t="inlineStr">
        <is>
          <t>Peculiar eye burning</t>
        </is>
      </c>
      <c r="C659" t="inlineStr">
        <is>
          <t>Hi. I realize it will be difficult to tell me anything but I'm hoping for at least some course of action...  
Long story short, I woke up 10 years ago with excruciating eye pain. I couldn't look at anything for a week. It slowly went away. Ever since I've had occasional and not so occasional irritating but not debilitating eye burning when I look at things for too long. Computers, books, trees, whatever. As long as I'm staring at something. The odd thing is that some days I won't get it at all and some days it will be triggered right after waking up. I can literally look at my computer for hours and not be triggered, but some days I wake up and I can feel that simply looking at my phone for a few seconds will fuck me for the rest of the day.  
I've learned that cold or hot will relieve it a bit (I have a frozen water bottle that fits my eye sockets quite well), but nothing will relax my eyes 100% unless I sleep for a few hours. I try self massage, temperature, looking into darkness, stretching my eyeballs and eyelids. Eye drops don't help. Sometimes it will go away if I become active for a long time, or something...I'm not really sure what the true cause or solution is.  
I've been to a few eye doctors...nothing is "wrong". I wear glasses for distance (-2 per eye), but have since before the incident. I have Googled every once in a while forever but have never found anything that seems like my issue.  
Thoughts?</t>
        </is>
      </c>
      <c r="D659" t="n">
        <v>2</v>
      </c>
      <c r="E659" t="n">
        <v>6</v>
      </c>
      <c r="F659">
        <f>HYPERLINK("https://www.reddit.com/r/eyetriage/comments/cl2kel/peculiar_eye_burning/")</f>
        <v/>
      </c>
      <c r="G659" t="inlineStr">
        <is>
          <t>2019-08-02 03:56:38</t>
        </is>
      </c>
      <c r="H659" t="inlineStr"/>
    </row>
    <row r="660">
      <c r="A660" t="inlineStr">
        <is>
          <t>cllzju</t>
        </is>
      </c>
      <c r="B660" t="inlineStr">
        <is>
          <t>My eyelids are stuck together in the morning after I go to sleep at night.</t>
        </is>
      </c>
      <c r="C660" t="inlineStr">
        <is>
          <t>My doctor told me I probably have sleep apnea because I have droopy eyelids and my left eye is dry but my right eye is fine. He told me to use gel drops at night and normal drops during the day 4-5 times or so. I've been doing that and my eyes (left eye) feel much better lubricated, but I've noticed that my fucking eyes stick together in the morning. This happens whether or not I use the gel drops. Should I be using an ointment instead of a gel? I dont feel like my eye lids are sticking to my actual eyeball; more that the top and bottom lid just stick to each other and it happens to both eyes. Could it be due to the regular eye drops I use during the day (theratears extra dry eye)? Last night I tested this by not putting them in after like, 10 pm (slept at around 3am), but same thing. Thanks for any advice!</t>
        </is>
      </c>
      <c r="D660" t="n">
        <v>1</v>
      </c>
      <c r="E660" t="n">
        <v>0</v>
      </c>
      <c r="F660">
        <f>HYPERLINK("https://www.reddit.com/r/eyetriage/comments/cllzju/my_eyelids_are_stuck_together_in_the_morning/")</f>
        <v/>
      </c>
      <c r="G660" t="inlineStr">
        <is>
          <t>2019-08-03 11:23:31</t>
        </is>
      </c>
      <c r="H660" t="inlineStr"/>
    </row>
    <row r="661">
      <c r="A661" t="inlineStr">
        <is>
          <t>cln8ur</t>
        </is>
      </c>
      <c r="B661" t="inlineStr">
        <is>
          <t>Dr fitted me for one model contact lens, ordered another (same manufacturer) - is that a problem?</t>
        </is>
      </c>
      <c r="C661" t="inlineStr">
        <is>
          <t>I went for a contact lens fitting and I told the dr I'd like to wear Acuve TruEye. So he puts a test lens in and it feels mostly ok, but I can feel a slight discomfort in my lower lid.
He looks at it through the device and then he goes back and takes another lens and puts THAT one in. This is a different type. That one feels a little better, he looks at it through the device and he also thinks it looks a little better so we agree to that one.
We go down to the nurse to order my lenses and he tells her to order Acuve Oasys and I say, no, I wanted Acuve TruEye and he says, oh, ok TruEye.
Now, my concern is that the second lens he put in was not a different BC, but a different model (Oasys rather than TruEye). The first one was TruEye (he showed me the label on the blister), but the second one I don't know what it was.
So supposing this is indeed the case, would this be a big problem?
When I tried the TruEye it felt generally good, except, as I say, for a slight discomfort in my lower lid that maybe would go away as I adjusted. Should I be concerned about this?</t>
        </is>
      </c>
      <c r="D661" t="n">
        <v>1</v>
      </c>
      <c r="E661" t="n">
        <v>4</v>
      </c>
      <c r="F661">
        <f>HYPERLINK("https://www.reddit.com/r/eyetriage/comments/cln8ur/dr_fitted_me_for_one_model_contact_lens_ordered/")</f>
        <v/>
      </c>
      <c r="G661" t="inlineStr">
        <is>
          <t>2019-08-03 13:11:54</t>
        </is>
      </c>
      <c r="H661" t="inlineStr"/>
    </row>
    <row r="662">
      <c r="A662" t="inlineStr">
        <is>
          <t>clne3x</t>
        </is>
      </c>
      <c r="B662" t="inlineStr">
        <is>
          <t>Pain in Right Eye Wont Go Away</t>
        </is>
      </c>
      <c r="C662" t="inlineStr">
        <is>
          <t>Im not sure if this is the correct subreddit for this but I figured it wouldnt hurt to try. I have gone to multiple eye doctors the last few years concerning the pain in my right eye but I keep getting quite lazy answers like changing my diet and drinking water and using eye drops but even with all of those things done the eye pain has only worsened. It is behind my right eye and its mostly a sharp pain and sometimes numb and often times goes to the rest of the right side of my head. I suspected maybe its a dental problem but it checked out to be fine. It feel like its a vein pain and I find relief sometimes by pushing and rolling the top left side of my right eye. The pain also spreads to my sinuses as well but when I went to get my sinuses checked all was fine, the doctor explained everything very well but I definitely left more confused since nothing seemed abnormal. If anyone has any advice I would really appreciate it.</t>
        </is>
      </c>
      <c r="D662" t="n">
        <v>1</v>
      </c>
      <c r="E662" t="n">
        <v>2</v>
      </c>
      <c r="F662">
        <f>HYPERLINK("https://www.reddit.com/r/eyetriage/comments/clne3x/pain_in_right_eye_wont_go_away/")</f>
        <v/>
      </c>
      <c r="G662" t="inlineStr">
        <is>
          <t>2019-08-03 13:24:51</t>
        </is>
      </c>
      <c r="H662" t="inlineStr"/>
    </row>
    <row r="663">
      <c r="A663" t="inlineStr">
        <is>
          <t>clqq38</t>
        </is>
      </c>
      <c r="B663" t="inlineStr">
        <is>
          <t>Halos around small lights, glare on peoples head...?</t>
        </is>
      </c>
      <c r="C663" t="inlineStr">
        <is>
          <t>Hello for the past 3-4 weeks I've been having a few vision issues. I went to my optometrist who looked at my eyes and said everything looks healthy. She stated she thinks the halos could be due to visual aura's (I don't get migraines). I googled visual auras and that doesn't seem to fit my issue because mine only occur around small lights.
&amp;amp;#x200B;
Here are the couple major symptoms:
\-Seeing small halos around car front head lights or even if the sun is reflecting off of the car, I will see a halo around that.
\-This ones weird, I'm not sure how to describe. I saw a bald dude, we were both in the shade maybe 50 feet apart and it seemed like around the outline of his head was...a glare...or blurry...or see through...or something? Then it happened again a few minutes ago with a female with a full head of hair. Same thing, around the outline of her head was the same blurry/see through/glare. 
&amp;amp;#x200B;
Any ideas? I'm waiting on a referral to an ophthalmologist. I might try and contact my optometrist again and see if I can change my prescription as I think my vision has gotten worse from my few doctors visits looking at the charts. However, I just had my annual exam in March.</t>
        </is>
      </c>
      <c r="D663" t="n">
        <v>2</v>
      </c>
      <c r="E663" t="n">
        <v>15</v>
      </c>
      <c r="F663">
        <f>HYPERLINK("https://www.reddit.com/r/eyetriage/comments/clqq38/halos_around_small_lights_glare_on_peoples_head/")</f>
        <v/>
      </c>
      <c r="G663" t="inlineStr">
        <is>
          <t>2019-08-03 18:38:47</t>
        </is>
      </c>
      <c r="H663" t="inlineStr"/>
    </row>
    <row r="664">
      <c r="A664" t="inlineStr">
        <is>
          <t>clwslv</t>
        </is>
      </c>
      <c r="B664" t="inlineStr">
        <is>
          <t>Can a powerful purple laser light reflection damage my eyes?</t>
        </is>
      </c>
      <c r="C664" t="inlineStr">
        <is>
          <t>Yesterday night I was at Daytona beach and they were launching fireworks. They were using some really powerful purple laser to direct the fireworks from a top of a pier. At one point, the laser light was pointed at a building and for a couple seconds I looked at the laser beam reflecting off the building. I remembered though that even reflections of high power lasers are enough to cause eye damage and I’m worried that will happen to me.</t>
        </is>
      </c>
      <c r="D664" t="n">
        <v>1</v>
      </c>
      <c r="E664" t="n">
        <v>1</v>
      </c>
      <c r="F664">
        <f>HYPERLINK("https://www.reddit.com/r/eyetriage/comments/clwslv/can_a_powerful_purple_laser_light_reflection/")</f>
        <v/>
      </c>
      <c r="G664" t="inlineStr">
        <is>
          <t>2019-08-04 07:18:48</t>
        </is>
      </c>
      <c r="H664" t="inlineStr"/>
    </row>
    <row r="665">
      <c r="A665" t="inlineStr">
        <is>
          <t>cm0oki</t>
        </is>
      </c>
      <c r="B665" t="inlineStr">
        <is>
          <t>Can Looking At The Sun For A Few Seconds Cause Permanent Eye Damage?</t>
        </is>
      </c>
      <c r="C665" t="inlineStr">
        <is>
          <t>One of the downsides of having a Tesla is the roof is pretty much all glass. While they say it blocks out harmful rays, I also got tint installed to make sure it’s blocking 99.9% of anything harmful. 
The bad thing about that and having kids is they can pretty much look up at the sun and it causes zero discomfort and it’s easy to do. 
My 3 year old daughter started saying “I can see the sun easy” today while I was putting her in the car seat and I kept covering her eyes and telling her to stop. 
I thought I’d take a peek to see what she was looking at hoping it was behind a cloud or something, I probably did it 2-3 times for 1 second each time and she was right, the sun didn’t look bright at all. I finally popped my head outside and tried looking 2-3 more times for 1 second each time and it was impossible (and terribly bright). 
I told her it was really bright and dangerous, even though it didn’t hurt her in the car. She promised she wouldn’t do it again and we went on our way. 
My question is, is it possible that I could have permanently messed my eyes up taking as many quick 1 second glances as I did (some outside the car and others inside)? Or would it take more glances (or longer glances) to cause permanent eye damage?</t>
        </is>
      </c>
      <c r="D665" t="n">
        <v>2</v>
      </c>
      <c r="E665" t="n">
        <v>13</v>
      </c>
      <c r="F665">
        <f>HYPERLINK("https://www.reddit.com/r/eyetriage/comments/cm0oki/can_looking_at_the_sun_for_a_few_seconds_cause/")</f>
        <v/>
      </c>
      <c r="G665" t="inlineStr">
        <is>
          <t>2019-08-04 12:47:19</t>
        </is>
      </c>
      <c r="H665" t="inlineStr"/>
    </row>
    <row r="666">
      <c r="A666" t="inlineStr">
        <is>
          <t>cm1sxi</t>
        </is>
      </c>
      <c r="B666" t="inlineStr">
        <is>
          <t>How long until blocked tear ducts clear up?</t>
        </is>
      </c>
      <c r="C666" t="inlineStr">
        <is>
          <t>I've had blocked tear ducts for 2 months, but was unaware until last week. For a week now, I've been using a hot compress and draining the tears at least twice a day (more if I get the chance).
I've tried looking into this but can't seem to find a straightforward answer because most of the info I find on blocked tear ducts is about babies.
Any ideas on how long I have to do this until it goes?</t>
        </is>
      </c>
      <c r="D666" t="n">
        <v>2</v>
      </c>
      <c r="E666" t="n">
        <v>2</v>
      </c>
      <c r="F666">
        <f>HYPERLINK("https://www.reddit.com/r/eyetriage/comments/cm1sxi/how_long_until_blocked_tear_ducts_clear_up/")</f>
        <v/>
      </c>
      <c r="G666" t="inlineStr">
        <is>
          <t>2019-08-04 14:21:57</t>
        </is>
      </c>
      <c r="H666" t="inlineStr"/>
    </row>
    <row r="667">
      <c r="A667" t="inlineStr">
        <is>
          <t>cmboka</t>
        </is>
      </c>
      <c r="B667" t="inlineStr">
        <is>
          <t>Connection between computer screen and MGD and glasses?</t>
        </is>
      </c>
      <c r="C667" t="inlineStr">
        <is>
          <t>I'm thinking of getting the anti glare lenses on my glasses, I got the cheap lenses without the glare coating and Im wondering if thats causing more strain on my eyes? Would getting lenses with anti glare coating reduce eye strain or would it somehow make it more strenuous for my eyes?
Otherwise I got a 32" 3440/1440 ultra wide curved monitor, overall it looks nice but im wondering do you think it could be over straining my eyes? Should i maybe go back to a 24" 1080p monitor?
Otherwise yeah, supplementing vegan vitamin d3, algae omega supplement (no fish), doing the bruder hot compress and using systane complete drops and doing the blink exercises.
I definitely notice that my eyes are most dry and most irritated when I'm on the computer.
Would like to hear your suggestions.
Thanks!</t>
        </is>
      </c>
      <c r="D667" t="n">
        <v>1</v>
      </c>
      <c r="E667" t="n">
        <v>1</v>
      </c>
      <c r="F667">
        <f>HYPERLINK("https://www.reddit.com/r/eyetriage/comments/cmboka/connection_between_computer_screen_and_mgd_and/")</f>
        <v/>
      </c>
      <c r="G667" t="inlineStr">
        <is>
          <t>2019-08-05 07:30:28</t>
        </is>
      </c>
      <c r="H667" t="inlineStr"/>
    </row>
    <row r="668">
      <c r="A668" t="inlineStr">
        <is>
          <t>cmjqya</t>
        </is>
      </c>
      <c r="B668" t="inlineStr">
        <is>
          <t>Infrared light</t>
        </is>
      </c>
      <c r="C668" t="inlineStr">
        <is>
          <t>Can the infrared proximity sensor on the back of a toilet or sink damage your retinas?</t>
        </is>
      </c>
      <c r="D668" t="n">
        <v>1</v>
      </c>
      <c r="E668" t="n">
        <v>8</v>
      </c>
      <c r="F668">
        <f>HYPERLINK("https://www.reddit.com/r/eyetriage/comments/cmjqya/infrared_light/")</f>
        <v/>
      </c>
      <c r="G668" t="inlineStr">
        <is>
          <t>2019-08-05 17:58:02</t>
        </is>
      </c>
      <c r="H668" t="inlineStr"/>
    </row>
    <row r="669">
      <c r="A669" t="inlineStr">
        <is>
          <t>cmk9xp</t>
        </is>
      </c>
      <c r="B669" t="inlineStr">
        <is>
          <t>I can find my natural blind spots with both eyes open. Is that normal? Asking eye doctors, ophthamologist and anyone who may have insight to this.</t>
        </is>
      </c>
      <c r="C669" t="inlineStr">
        <is>
          <t>So from what I've read ,your natural blind spots should be difficult to find and with both eyes open, you shouldnt be able it as your eyes should compensate each other for the blind spot. But for me, sometimes if i move my eyes slightly in certain direction like upwards, i can "see" a dark area which i found to be my blind spot. I thought it was because of the angle of eyes that i was able to see it. But then I decided to experiment a little: i kept both eyes open (normally, i didnt strain it) staring straight at a wall and ran my find through my feild of vision on my right side till i noticed my nail disappeared. I then closed my left eye to confirm that that area was my natural blind spot and it was. 
Anyways I just wanted to know if thats normal, because again, everywhere i read it says you cant "see"/find your blind spots with both eyes open but i can.
Also wondering if its normal that when I cover one eye, my other eye that is open, forms somewhat of a dark area where my blind spot is.
I realize theres not that many articles with in depth info of what is normal for blind spots and such. Please enlighten me. 
Background info: Ive never had a visual feild test done and ive never mentioned this to my ophthamologist. Ive had dilations and all is said to be fine with the structure of the eye aside from some LD. But Im aware that blind spots are a different issue. I do have visual snow.</t>
        </is>
      </c>
      <c r="D669" t="n">
        <v>1</v>
      </c>
      <c r="E669" t="n">
        <v>0</v>
      </c>
      <c r="F669">
        <f>HYPERLINK("https://www.reddit.com/r/eyetriage/comments/cmk9xp/i_can_find_my_natural_blind_spots_with_both_eyes/")</f>
        <v/>
      </c>
      <c r="G669" t="inlineStr">
        <is>
          <t>2019-08-05 18:46:04</t>
        </is>
      </c>
      <c r="H669" t="inlineStr"/>
    </row>
    <row r="670">
      <c r="A670" t="inlineStr">
        <is>
          <t>cml727</t>
        </is>
      </c>
      <c r="B670" t="inlineStr">
        <is>
          <t>Rp treatment options</t>
        </is>
      </c>
      <c r="C670" t="inlineStr">
        <is>
          <t>My cousin was diagnosed with retinitis pigmentosa and my uncle does not really know where to go next. 
So far from what I have researched for him, I understand there is no cure although trails are being done. 
In order to slow down the vision loss I found the following options and wanted to know which one is the best option 
- gene therapy 
-stem cell treatment 
-growth factors
-retinal implants 
-low vision aids like iris vision 
I’ve read a couple articles about acupuncture helping - but can only find a couple studies that are mostly Chinese medicine. 
Cost / insurance is not a problem at all for my uncle and he is willing to travel to the best doctor/hospital. 
If anyone knows any clinics / hospitals / doctors that they recommend I would appreciate all of the information</t>
        </is>
      </c>
      <c r="D670" t="n">
        <v>2</v>
      </c>
      <c r="E670" t="n">
        <v>5</v>
      </c>
      <c r="F670">
        <f>HYPERLINK("https://www.reddit.com/r/eyetriage/comments/cml727/rp_treatment_options/")</f>
        <v/>
      </c>
      <c r="G670" t="inlineStr">
        <is>
          <t>2019-08-05 20:13:45</t>
        </is>
      </c>
      <c r="H670" t="inlineStr"/>
    </row>
    <row r="671">
      <c r="A671" t="inlineStr">
        <is>
          <t>cn6yfn</t>
        </is>
      </c>
      <c r="B671" t="inlineStr">
        <is>
          <t>Left eye was burning and turned red from contact took it out 4 hours later and when I woke up it is still watering off and on and now my left eye is also what could that be?</t>
        </is>
      </c>
      <c r="C671" t="inlineStr">
        <is>
          <t>So yesterday I felt like maybe my contact had a tear in it but I couldn’t do anything because I couldn’t see without it in and wasn’t home to change it. It would get better then every so often my eye would slightly water again. So when I got home like 4 hours later I took it out and wore my glasses. Now that eye is still watering and my left one is slightly but not near as much. What could be the problem? Could the contact have torn my eye and put a scratch on my eye?
I really hope my eye isn’t scratched because I’ve had it before from sleeping in my contacts (bad mistake I know!) and it didn’t feel too good.</t>
        </is>
      </c>
      <c r="D671" t="n">
        <v>1</v>
      </c>
      <c r="E671" t="n">
        <v>1</v>
      </c>
      <c r="F671">
        <f>HYPERLINK("https://www.reddit.com/r/eyetriage/comments/cn6yfn/left_eye_was_burning_and_turned_red_from_contact/")</f>
        <v/>
      </c>
      <c r="G671" t="inlineStr">
        <is>
          <t>2019-08-07 08:06:28</t>
        </is>
      </c>
      <c r="H671" t="inlineStr"/>
    </row>
    <row r="672">
      <c r="A672" t="inlineStr">
        <is>
          <t>cnderc</t>
        </is>
      </c>
      <c r="B672" t="inlineStr">
        <is>
          <t>Sun in eyes while driving</t>
        </is>
      </c>
      <c r="C672" t="inlineStr">
        <is>
          <t>I was driving towards the sun today so I put down my sun visor, but the sun was still peeking through the small gap on the side. Is this bad cause I wasn’t staring at it but I had to occasionally look in that direction for safety and the sun was in my eyes for a couple seconds at a time.</t>
        </is>
      </c>
      <c r="D672" t="n">
        <v>1</v>
      </c>
      <c r="E672" t="n">
        <v>12</v>
      </c>
      <c r="F672">
        <f>HYPERLINK("https://www.reddit.com/r/eyetriage/comments/cnderc/sun_in_eyes_while_driving/")</f>
        <v/>
      </c>
      <c r="G672" t="inlineStr">
        <is>
          <t>2019-08-07 16:28:11</t>
        </is>
      </c>
      <c r="H672" t="inlineStr"/>
    </row>
    <row r="673">
      <c r="A673" t="inlineStr">
        <is>
          <t>cnfkj4</t>
        </is>
      </c>
      <c r="B673" t="inlineStr">
        <is>
          <t>Do things sometimes happen in cataract surgery that make PCO more likely?</t>
        </is>
      </c>
      <c r="C673" t="inlineStr">
        <is>
          <t>Will a dropped nucleus or ruptured capsule make PCO more likely?</t>
        </is>
      </c>
      <c r="D673" t="n">
        <v>1</v>
      </c>
      <c r="E673" t="n">
        <v>2</v>
      </c>
      <c r="F673">
        <f>HYPERLINK("https://www.reddit.com/r/eyetriage/comments/cnfkj4/do_things_sometimes_happen_in_cataract_surgery/")</f>
        <v/>
      </c>
      <c r="G673" t="inlineStr">
        <is>
          <t>2019-08-07 19:46:19</t>
        </is>
      </c>
      <c r="H673" t="inlineStr"/>
    </row>
    <row r="674">
      <c r="A674" t="inlineStr">
        <is>
          <t>cnj2w5</t>
        </is>
      </c>
      <c r="B674" t="inlineStr">
        <is>
          <t>HELP. Please</t>
        </is>
      </c>
      <c r="C674" t="inlineStr">
        <is>
          <t>Hi. I just want to get an opinion on my situation, as I'm absolutely terrified. I've had a fungal infection in both ears for a couple weeks now, and 3 days ago I started with symptoms in both eyes (blurry vision, discharge, watery eyes, redness, soreness etc). Could I have transferred the fungus to my eyes? I've been using drops 3 times a day and may have rubbed my eyes a couple times without thinking. How likely is this do you think??? I'm so scared I've got fungal keratitis.</t>
        </is>
      </c>
      <c r="D674" t="n">
        <v>1</v>
      </c>
      <c r="E674" t="n">
        <v>2</v>
      </c>
      <c r="F674">
        <f>HYPERLINK("https://www.reddit.com/r/eyetriage/comments/cnj2w5/help_please/")</f>
        <v/>
      </c>
      <c r="G674" t="inlineStr">
        <is>
          <t>2019-08-08 02:03:14</t>
        </is>
      </c>
      <c r="H674" t="inlineStr"/>
    </row>
    <row r="675">
      <c r="A675" t="inlineStr">
        <is>
          <t>cnkilw</t>
        </is>
      </c>
      <c r="B675" t="inlineStr">
        <is>
          <t>Optometrist diagnosed PVD six weeks ago and said no follow up was needed unless I had signs of a detached retina ...</t>
        </is>
      </c>
      <c r="C675" t="inlineStr">
        <is>
          <t>I feel more comfortable following up after three months, which is what I've read is often advised.
Question:  Should I follow up with my ophthalmologist, or the optometrist who diagnosed the PVD?</t>
        </is>
      </c>
      <c r="D675" t="n">
        <v>0</v>
      </c>
      <c r="E675" t="n">
        <v>4</v>
      </c>
      <c r="F675">
        <f>HYPERLINK("https://www.reddit.com/r/eyetriage/comments/cnkilw/optometrist_diagnosed_pvd_six_weeks_ago_and_said/")</f>
        <v/>
      </c>
      <c r="G675" t="inlineStr">
        <is>
          <t>2019-08-08 04:38:23</t>
        </is>
      </c>
      <c r="H675" t="inlineStr"/>
    </row>
    <row r="676">
      <c r="A676" t="inlineStr">
        <is>
          <t>cnqul1</t>
        </is>
      </c>
      <c r="B676" t="inlineStr">
        <is>
          <t>What tests can i do for bulging eyes ?</t>
        </is>
      </c>
      <c r="C676" t="inlineStr">
        <is>
          <t>Male 23 So i have bulging eyes since a year now and still no diagnose. The progression of the bulging getting month by month worse.
When it comes to tests i did a mri half a year ago.
I did twice a bloodtest for my thyroid. It was normal.
Will try to get a ultrasound of my thyroid.
If this will not show anything what other tests can i do ?
What reasons can cause bulging eyes ?
The doctors only look for thyroid problems nothing more !
Im pretty sure theres more reasons for bulging.
I forgot to say i had a very hard hit on my eye two months before(may) my bulging began last year 2018 august. Same eye that got hit started bulging then the other too.</t>
        </is>
      </c>
      <c r="D676" t="n">
        <v>0</v>
      </c>
      <c r="E676" t="n">
        <v>5</v>
      </c>
      <c r="F676">
        <f>HYPERLINK("https://www.reddit.com/r/eyetriage/comments/cnqul1/what_tests_can_i_do_for_bulging_eyes/")</f>
        <v/>
      </c>
      <c r="G676" t="inlineStr">
        <is>
          <t>2019-08-08 12:42:00</t>
        </is>
      </c>
      <c r="H676" t="inlineStr"/>
    </row>
    <row r="677">
      <c r="A677" t="inlineStr">
        <is>
          <t>cnqzoi</t>
        </is>
      </c>
      <c r="B677" t="inlineStr">
        <is>
          <t>Are monthly contact lenses limited by number of uses or expiration date?</t>
        </is>
      </c>
      <c r="C677" t="inlineStr">
        <is>
          <t>I'm curious about what makes monthly lenses "expire". Is it that they should only be worn 30 times and that it's the mechanical wear that makes them unusable or is it a matter of time rather than number of uses?</t>
        </is>
      </c>
      <c r="D677" t="n">
        <v>1</v>
      </c>
      <c r="E677" t="n">
        <v>7</v>
      </c>
      <c r="F677">
        <f>HYPERLINK("https://www.reddit.com/r/eyetriage/comments/cnqzoi/are_monthly_contact_lenses_limited_by_number_of/")</f>
        <v/>
      </c>
      <c r="G677" t="inlineStr">
        <is>
          <t>2019-08-08 12:52:17</t>
        </is>
      </c>
      <c r="H677" t="inlineStr"/>
    </row>
    <row r="678">
      <c r="A678" t="inlineStr">
        <is>
          <t>cnu7ow</t>
        </is>
      </c>
      <c r="B678" t="inlineStr">
        <is>
          <t>My right eye has been feeling like there is pressure in it and it has been feeling out of place (22m)</t>
        </is>
      </c>
      <c r="C678" t="inlineStr">
        <is>
          <t>Hello all, to start off I am a 5’10” 140lb 22 year old caucasian male. For years and years of my life I occasionally get the feeling that something is in my right eye. This feeling can last for as long as a few hours. I went to an eye doctor three years ago who just gave me gel eyedrops and told me it should help. It barely helped. The sensation of something being in my eye finally stopped being so apparent and started happening less and less so I figured it went away. Over the past month or so I have been having that feeling again that something is in either my eye or my eyelid. 
Now we get to the real problem, about six days ago I was driving and started noticing my right eye was feeling very strange whenever I would look to my far left or far right. I figured I was just tired and needed sleep. The next day I get the same feeling as well as the feeling of pressure in my eye AND the back right side of my head (tender-ish to touch when feeling this). For the past six days my right eye has been feeling like this on-and-off and it is really affecting my life. It is making me feel like ripping my eye out of my head is the only thing that will help (obviously not doing that). I went to an Opthalmologist today and he said both of my eyes look fine and the only thing he saw was a little irritation on my eyelid , which he said may be causing the original feeling of something in my eye. He told me to use chilled eye drops and Zaditor to help reduce the minor inflammation of the eyelid, however he did not suggest anything for the major problem im dealing with. I am feeling very lost and hopeless, I really hope someone is able to steer me in the right direction on this subreddit. Apologies if my description for the way my right eye is feeling isn’t perfect, it is a very strange feeling. Just feels like something is off.</t>
        </is>
      </c>
      <c r="D678" t="n">
        <v>1</v>
      </c>
      <c r="E678" t="n">
        <v>0</v>
      </c>
      <c r="F678">
        <f>HYPERLINK("https://www.reddit.com/r/eyetriage/comments/cnu7ow/my_right_eye_has_been_feeling_like_there_is/")</f>
        <v/>
      </c>
      <c r="G678" t="inlineStr">
        <is>
          <t>2019-08-08 16:54:51</t>
        </is>
      </c>
      <c r="H678" t="inlineStr"/>
    </row>
    <row r="679">
      <c r="A679" t="inlineStr">
        <is>
          <t>co0678</t>
        </is>
      </c>
      <c r="B679" t="inlineStr">
        <is>
          <t>Will Cataracts Affect My Prescription</t>
        </is>
      </c>
      <c r="C679" t="inlineStr">
        <is>
          <t>I'm unsure which type of cataract I have, but it has been since I've been on prednisone for a medical issue. I won't be able to come off the steroids so the cataracts will continue to develop. I'm 26 and healthy otherwise and the cataract has been formed by the steroid usage.
I already have strong myopia and am pretty self conscious and wish to avoid the "coke bottle" glasses prescription. I'm wondering if the cataract will develop to the point where my prescription will keep getting worse and worse until I have cataract surgery?</t>
        </is>
      </c>
      <c r="D679" t="n">
        <v>1</v>
      </c>
      <c r="E679" t="n">
        <v>5</v>
      </c>
      <c r="F679">
        <f>HYPERLINK("https://www.reddit.com/r/eyetriage/comments/co0678/will_cataracts_affect_my_prescription/")</f>
        <v/>
      </c>
      <c r="G679" t="inlineStr">
        <is>
          <t>2019-08-09 02:53:07</t>
        </is>
      </c>
      <c r="H679" t="inlineStr"/>
    </row>
    <row r="680">
      <c r="A680" t="inlineStr">
        <is>
          <t>co5wgn</t>
        </is>
      </c>
      <c r="B680" t="inlineStr">
        <is>
          <t>Floaters, Running, and Strobing Light</t>
        </is>
      </c>
      <c r="C680" t="inlineStr">
        <is>
          <t xml:space="preserve"> Hello,
I am 34 years old. I've had floaters in my eye since I was about 26. Since then they have been pretty bad. I wear dark sun glasses all the time to mask them so that they don't bother me. The first time I got the floaters I went to the doctor and he did a dilated pupil exam on me. He said everything was fine.
This year I started running quite a bit. Sometimes after a run when I come home (darker at home or close my eyes), I'll see a white strobing light. I occasionally get this with any type of extreme cardio. I feel like the number of floaters I have has increased, but it could just be in my head (as I keep focusing on them more and more these days). I can only attribute it to the running. I went to my optometrist a few weeks ago and he did the dilated pupil exam and says that everything is fine. He said it may just be something pulling on the retina. I have booked an OCT as well.
Could physical activity such as running cause floaters or am I just getting older and my eyeballs are becoming more liquid inside? Should I be concerned about this strobing light / Can I continue running or should I hold off on it?
( Sorry I know there is a lot there. )</t>
        </is>
      </c>
      <c r="D680" t="n">
        <v>1</v>
      </c>
      <c r="E680" t="n">
        <v>1</v>
      </c>
      <c r="F680">
        <f>HYPERLINK("https://www.reddit.com/r/eyetriage/comments/co5wgn/floaters_running_and_strobing_light/")</f>
        <v/>
      </c>
      <c r="G680" t="inlineStr">
        <is>
          <t>2019-08-09 10:51:05</t>
        </is>
      </c>
      <c r="H680" t="inlineStr"/>
    </row>
    <row r="681">
      <c r="A681" t="inlineStr">
        <is>
          <t>coa2ce</t>
        </is>
      </c>
      <c r="B681" t="inlineStr">
        <is>
          <t>Can anyone offer insight onto a strange eye problem I noticed today?</t>
        </is>
      </c>
      <c r="C681" t="inlineStr">
        <is>
          <t>I do a lot of work at a computer for my job, and whilst using the computer today I noticed something odd with my vision. When I shift my vision from looking up, to looking down, I notice a rather large white/translucent spot that moves across my vision from bottom to top of my left eye (It may be an odd description, but it's almost like someone is peeling a piece of saran wrap off of my eye from bottom to top) I can't notice at all when my eyes are at rest or when focusing on something, and have no other symptoms. I should also mention that I notice this only when I shift my vision in this specific way, if I move my eyes down to up, or left to right, I can't see it at all.
If it helps, I'm a 28 year old male who also wears glasses for nearsightedness.
Just wanted to know if this is something that is worth a trip to the doc. Thanks!</t>
        </is>
      </c>
      <c r="D681" t="n">
        <v>1</v>
      </c>
      <c r="E681" t="n">
        <v>3</v>
      </c>
      <c r="F681">
        <f>HYPERLINK("https://www.reddit.com/r/eyetriage/comments/coa2ce/can_anyone_offer_insight_onto_a_strange_eye/")</f>
        <v/>
      </c>
      <c r="G681" t="inlineStr">
        <is>
          <t>2019-08-09 16:07:32</t>
        </is>
      </c>
      <c r="H681" t="inlineStr"/>
    </row>
    <row r="682">
      <c r="A682" t="inlineStr">
        <is>
          <t>coemok</t>
        </is>
      </c>
      <c r="B682" t="inlineStr">
        <is>
          <t>Questions about how to administer dexamethasone drops</t>
        </is>
      </c>
      <c r="C682" t="inlineStr">
        <is>
          <t>Hi everyone. My doctor didn't give me any special instructions about how to administer these eye drops (other than how many times per day), which were compounded without preservatives and stay in my fridge. The pharmacy didn't give me any special instructions either.
For my two initial doses I could tell that some of the fluid was draining through my tear ducts into my nasal passages. This is a big problem because I'm HIGHLY sensitive to systemic corticosteroids  -- I get panic attacks, insomnia, and jitteriness. I live with a mast cell disease so my body is hypersensitive to everything.
It's 2:30am &amp;amp; I'm less sleepy than I would usually be at this hour.
Is it possible for that small amount of 'runoff' into the nose to cause systemic side effects once it gets absorbed into the bloodstream?
And I did some research online -- I'm supposed to put pressure on my tear ducts after I put in the drops, right? To prevent the fluid from entering my nose, right? I don't know why the doc &amp;amp; the pharmacy didn't tell me that. Or maybe it isn't that important?
Thanks in advance for any feedback on this!</t>
        </is>
      </c>
      <c r="D682" t="n">
        <v>1</v>
      </c>
      <c r="E682" t="n">
        <v>2</v>
      </c>
      <c r="F682">
        <f>HYPERLINK("https://www.reddit.com/r/eyetriage/comments/coemok/questions_about_how_to_administer_dexamethasone/")</f>
        <v/>
      </c>
      <c r="G682" t="inlineStr">
        <is>
          <t>2019-08-09 23:36:06</t>
        </is>
      </c>
      <c r="H682" t="inlineStr"/>
    </row>
    <row r="683">
      <c r="A683" t="inlineStr">
        <is>
          <t>cog2uj</t>
        </is>
      </c>
      <c r="B683" t="inlineStr">
        <is>
          <t>Possible for sun reflection in a video to blur vision?</t>
        </is>
      </c>
      <c r="C683" t="inlineStr">
        <is>
          <t>I was watching a video on youtube, and someone was holding something painted metallic, the sun in the video was shining on it bright, looked like it was liquid moving on the metallic surface. Immediately after that part of the video, my vision started to blur and has been that way for over an hour I lost the ability to put an entire picture together immediately after it happened, it has gotten a bit better, but I'm still blurry. Kinda feel like after a concert where my ears are muted from being exposed to noise that is too loud, but with my eyes instead. Is it possible that this video actually did this, or just likely a coincidence? Not worried about it, just curious, I think I'll be back to normal in a few hours.</t>
        </is>
      </c>
      <c r="D683" t="n">
        <v>1</v>
      </c>
      <c r="E683" t="n">
        <v>8</v>
      </c>
      <c r="F683">
        <f>HYPERLINK("https://www.reddit.com/r/eyetriage/comments/cog2uj/possible_for_sun_reflection_in_a_video_to_blur/")</f>
        <v/>
      </c>
      <c r="G683" t="inlineStr">
        <is>
          <t>2019-08-10 02:42:22</t>
        </is>
      </c>
      <c r="H683" t="inlineStr"/>
    </row>
    <row r="684">
      <c r="A684" t="inlineStr">
        <is>
          <t>cohure</t>
        </is>
      </c>
      <c r="B684" t="inlineStr">
        <is>
          <t>Left eye very weird problem: please help</t>
        </is>
      </c>
      <c r="C684" t="inlineStr">
        <is>
          <t>At the start of this week something weird  started happening to my eye.
So I want to say that I'm a man and that my eyes are hooded, so there is 0 upper eyelid exposure. The problem is as follows, out of nowhere, probably during a blink, my left eye eyelid crease(that line that asian people tend to miss) forms way way higher than normal and now there is quite a lot of eyelid exposure making the eyes very asymmetrical, not only that there is this very weird feeling in my whole eye and especially under the eye like there is something sticky there but it is not that make me rub my eye. When the eyelid is stuck like that it feels stuck and weird and the eye feels a little irritated.
This happened once when I was outside in the sun, once in front of the computer and now once when I woke up. Even though the eyelid incision would go back to normal after one day the weird feeling under my eye still has persisted all week with different intensities. Thank you so much hope u guys have a clue what this is
Edit: probably misused some terms but I think you know what I mean</t>
        </is>
      </c>
      <c r="D684" t="n">
        <v>1</v>
      </c>
      <c r="E684" t="n">
        <v>0</v>
      </c>
      <c r="F684">
        <f>HYPERLINK("https://www.reddit.com/r/eyetriage/comments/cohure/left_eye_very_weird_problem_please_help/")</f>
        <v/>
      </c>
      <c r="G684" t="inlineStr">
        <is>
          <t>2019-08-10 06:11:39</t>
        </is>
      </c>
      <c r="H684" t="inlineStr"/>
    </row>
    <row r="685">
      <c r="A685" t="inlineStr">
        <is>
          <t>cop9vu</t>
        </is>
      </c>
      <c r="B685" t="inlineStr">
        <is>
          <t>I'm a 27 yr old Canadian dental student w/ herpes zoster affecting V1 &amp;amp; V2 (left).</t>
        </is>
      </c>
      <c r="C685" t="inlineStr">
        <is>
          <t>4th yr. dental student, woke up this morning to find painful blisters at browline and nasofacial angle, with broad swelling and erythema also present along v1 &amp;amp; v2 dermatome. First intuition was, fuck, I have shingles. Two gp's I saw at the walk in think its zoster (unfortunately affecting opthalamic) and I'm on board too (somewhat of an atypical blister appearance, bullous in my case rather than multiple vesicles). Swab from blister fluid was taken and sent to lab. Taking valacyclovir 500mg TID and prednisone 50mg QD. MD recommended that if I begin to have symptoms that suggest eye involvement (pain, changes in vision etc.) to go to emerge to get a referral to see an optho. After getting my prescription filled I went to see an optometrist to get a quick consult and establish a quicker referral line to an optho. She did an exam and doesn't see anything that suggests eye involvement....yet...as its early.
I'm praying this doesn't become HZ opthalmicus and lead to problems, because eye-deally I need two working eyes to work.....
I've been doing some reading on uptodate etc....Could I benefit from antiviral eye drops/ointments taken prophylactically? Same with cortico drops? Any other suggestions or comments for my case would be greatly appreciated :)
Thanks!</t>
        </is>
      </c>
      <c r="D685" t="n">
        <v>3</v>
      </c>
      <c r="E685" t="n">
        <v>2</v>
      </c>
      <c r="F685">
        <f>HYPERLINK("https://www.reddit.com/r/eyetriage/comments/cop9vu/im_a_27_yr_old_canadian_dental_student_w_herpes/")</f>
        <v/>
      </c>
      <c r="G685" t="inlineStr">
        <is>
          <t>2019-08-10 16:23:09</t>
        </is>
      </c>
      <c r="H685" t="inlineStr"/>
    </row>
    <row r="686">
      <c r="A686" t="inlineStr">
        <is>
          <t>cow85m</t>
        </is>
      </c>
      <c r="B686" t="inlineStr">
        <is>
          <t>Seeing a small "flash" when moving eyes quickly from side to side</t>
        </is>
      </c>
      <c r="C686" t="inlineStr">
        <is>
          <t>I've had this for a couple of months now. I don't know if I can really call it a flash, really, it looks more like an after-image of sorts. It's not very noticeable unless I actively look for it, and I can pretty much only see it when looking at dimly lit surfaces. It's happening in my left eye, but I've recently noticed something similar in my right as well. Though not as pronounced. 
I'm 27, am nearsighted and got a bunch of floaters (who are not really bothering me, at all). At first I was of course worried about retinal detachment, but I have never seen any flashes in complete darkness or anything. Maybe I'm just working myself up over nothing.</t>
        </is>
      </c>
      <c r="D686" t="n">
        <v>1</v>
      </c>
      <c r="E686" t="n">
        <v>1</v>
      </c>
      <c r="F686">
        <f>HYPERLINK("https://www.reddit.com/r/eyetriage/comments/cow85m/seeing_a_small_flash_when_moving_eyes_quickly/")</f>
        <v/>
      </c>
      <c r="G686" t="inlineStr">
        <is>
          <t>2019-08-11 05:36:03</t>
        </is>
      </c>
      <c r="H686" t="inlineStr"/>
    </row>
    <row r="687">
      <c r="A687" t="inlineStr">
        <is>
          <t>cp5yjo</t>
        </is>
      </c>
      <c r="B687" t="inlineStr">
        <is>
          <t>A couple questions about posterior vitreous detachment</t>
        </is>
      </c>
      <c r="C687" t="inlineStr">
        <is>
          <t>I've posted a couple times in the past seven week about a PVD in my right eye.  It's been incredibly scary, and I can't thank those here enough for the replying to my posts.
For at least four weeks it got better for a few days, then worse, rinse, repeat.  I'm about 70% back to normal.  Still occasional flashes, and floaters, but no new ones in a couple weeks.
I do have a couple more questions:
1).  Can PVD affect eyelids?  My guess is it's just eye strain, but my eyelid feels heavy, and on the inner corner of my upper eyelid I feel pressure.  It's like I have to strain to keep the eyelid fully open.
2).  Can PVD affect vision?  This is not a complaint, but the vision for distance  in the affect eye has improved!  Is this normal?</t>
        </is>
      </c>
      <c r="D687" t="n">
        <v>1</v>
      </c>
      <c r="E687" t="n">
        <v>3</v>
      </c>
      <c r="F687">
        <f>HYPERLINK("https://www.reddit.com/r/eyetriage/comments/cp5yjo/a_couple_questions_about_posterior_vitreous/")</f>
        <v/>
      </c>
      <c r="G687" t="inlineStr">
        <is>
          <t>2019-08-11 19:10:41</t>
        </is>
      </c>
      <c r="H687" t="inlineStr"/>
    </row>
    <row r="688">
      <c r="A688" t="inlineStr">
        <is>
          <t>cp6s8n</t>
        </is>
      </c>
      <c r="B688" t="inlineStr">
        <is>
          <t>Slated for retinal tear laser this week, a bit confused. Answers much appreciated!</t>
        </is>
      </c>
      <c r="C688" t="inlineStr">
        <is>
          <t>Hey! Thanks for having me. I have a small retinal tear that was diagnosed last week and now i have to go get it lazered to fix it before retinal detachment. They didnt explain much to me and i find myself getting anxious over the weekend so thought id ask a few questions here and maybe get some answers! 
1.  What do i expect going in? Will they need to put a needle in my eye? (made the mistake of watching a youtube video)
2. What is the downtime? I see that youre not supposed to do strenuous activity until the eye heals but does that mean physical activity or eye activity? (I work in a hospital, reprocessing medical devices so using my eyes to inspect each piece of equipment/instrument closely and carefully for blood is required. Because of this i need to know if ill have to take time off work.)
3. Because of the tear, will i be more prone or susceptable to tears or eye problems in the future?
Thanks for any answers!!</t>
        </is>
      </c>
      <c r="D688" t="n">
        <v>2</v>
      </c>
      <c r="E688" t="n">
        <v>4</v>
      </c>
      <c r="F688">
        <f>HYPERLINK("https://www.reddit.com/r/eyetriage/comments/cp6s8n/slated_for_retinal_tear_laser_this_week_a_bit/")</f>
        <v/>
      </c>
      <c r="G688" t="inlineStr">
        <is>
          <t>2019-08-11 20:25:34</t>
        </is>
      </c>
      <c r="H688" t="inlineStr"/>
    </row>
    <row r="689">
      <c r="A689" t="inlineStr">
        <is>
          <t>cpa1y5</t>
        </is>
      </c>
      <c r="B689" t="inlineStr">
        <is>
          <t>What are the long term effects of antimetropia and how can I deal with them?</t>
        </is>
      </c>
      <c r="C689" t="inlineStr">
        <is>
          <t>I started wearing glasses at the age of 11 but always took them off because I started having a headache after a while. After a year, I completely stopped and it didn't bother me too much since my left eye has a pretty weak prescription (+0.25).
After a while I was told that it could deteriorate my vision, so I went back to an ophthalmologist and got another prescription (only slightly different). I got some new glasses, but the optician completely messed up the correction (had -0.25 on the left eye and the one on the right eye was off by 0.5).
I then went to an optician with my old prescription (would have gone to an ophthalmologist, but it's almost impossible to get an appointment nowadays) and got new glasses. 
They are pretty good on a lot of days, but whenever I am a bit more tired, I get bad headaches that seem to come from my eyes. Taking off my glasses helps for a little bit, but then when I have to strain my eyes to see something, the headache comes back. 
It isn't too bad right now, but I was wondering what other effects I might have in the future and if there's something I could do about them?</t>
        </is>
      </c>
      <c r="D689" t="n">
        <v>2</v>
      </c>
      <c r="E689" t="n">
        <v>2</v>
      </c>
      <c r="F689">
        <f>HYPERLINK("https://www.reddit.com/r/eyetriage/comments/cpa1y5/what_are_the_long_term_effects_of_antimetropia/")</f>
        <v/>
      </c>
      <c r="G689" t="inlineStr">
        <is>
          <t>2019-08-12 02:31:34</t>
        </is>
      </c>
      <c r="H689" t="inlineStr"/>
    </row>
    <row r="690">
      <c r="A690" t="inlineStr">
        <is>
          <t>cpav2p</t>
        </is>
      </c>
      <c r="B690" t="inlineStr">
        <is>
          <t>Seeing black outlines of blood vessels when waking up</t>
        </is>
      </c>
      <c r="C690" t="inlineStr">
        <is>
          <t>Hey guys, I'm a recovering hypochondriac and while therapy is helping, I tend to relapse into stressing over every little thing.
Let me preface this by saying that I've had a comprehensive eye exam last week and the doc didn't find anything out of order. I have high myopia (-6 in left eye, -5 in right eye), but despite that she had described my eyes as completely healthy.
That being said, usually when I wake up in the morning and open my eyes for the first time I see, for a split second, what I can only describe as black outlines of blood vessels. They look like tiny branching veins. It only happens first thing in the morning, so I assume it has something to do with my eyes adjusting to light, but, as usual, there's a tiny voice at the back of my head that says it's something serious.</t>
        </is>
      </c>
      <c r="D690" t="n">
        <v>1</v>
      </c>
      <c r="E690" t="n">
        <v>11</v>
      </c>
      <c r="F690">
        <f>HYPERLINK("https://www.reddit.com/r/eyetriage/comments/cpav2p/seeing_black_outlines_of_blood_vessels_when/")</f>
        <v/>
      </c>
      <c r="G690" t="inlineStr">
        <is>
          <t>2019-08-12 04:04:15</t>
        </is>
      </c>
      <c r="H690" t="inlineStr"/>
    </row>
    <row r="691">
      <c r="A691" t="inlineStr">
        <is>
          <t>cpazkr</t>
        </is>
      </c>
      <c r="B691" t="inlineStr">
        <is>
          <t>Seeing White Circles When Eyes Closed</t>
        </is>
      </c>
      <c r="C691" t="inlineStr">
        <is>
          <t>Hello all, I have recently had an eye exam and was told everything was okay, but last night I noticed that when looking far down and moving my eyes side to side (while closed) feint white circles of light appeared in my central vision. They almost looked like the imprint of my pupils. Does anyone have any idea what this is?
Thank you!</t>
        </is>
      </c>
      <c r="D691" t="n">
        <v>4</v>
      </c>
      <c r="E691" t="n">
        <v>3</v>
      </c>
      <c r="F691">
        <f>HYPERLINK("https://www.reddit.com/r/eyetriage/comments/cpazkr/seeing_white_circles_when_eyes_closed/")</f>
        <v/>
      </c>
      <c r="G691" t="inlineStr">
        <is>
          <t>2019-08-12 04:17:28</t>
        </is>
      </c>
      <c r="H691" t="inlineStr"/>
    </row>
    <row r="692">
      <c r="A692" t="inlineStr">
        <is>
          <t>cpdz5y</t>
        </is>
      </c>
      <c r="B692" t="inlineStr">
        <is>
          <t>I had a successful pterygium surgery but there is still lots of redness left in my eyes.</t>
        </is>
      </c>
      <c r="C692" t="inlineStr">
        <is>
          <t>I had a pterygium in both eyes since I was a baby and  1.5 years ago  I had a conjunctival excision to remove the pterygiums and the surgery has been successful. 
 But I still have lots of redness left in my eyes. I am super conscious over the redness because I get really mean comments on them and I am literally depressed 24/7 over it because I thought the pterygium surgery would get rid of the redness but it hasen’t. I have even 
become  very suicidal because of it. 
My doctor told me that the pterygium is gone but there is still blood vessels( covers the whole eye with redness) and we discussed conjunctival excision for removing the blood vessels and I desperately  want to get the surgery to remove the redness but my doc says there is risk that it will make my eyes even more redder and he is resistant to the surgery  and  says that I have to live with it. Can someone please give me some advice, I would really appreciate it.
I am 20 years old btw.</t>
        </is>
      </c>
      <c r="D692" t="n">
        <v>2</v>
      </c>
      <c r="E692" t="n">
        <v>7</v>
      </c>
      <c r="F692">
        <f>HYPERLINK("https://www.reddit.com/r/eyetriage/comments/cpdz5y/i_had_a_successful_pterygium_surgery_but_there_is/")</f>
        <v/>
      </c>
      <c r="G692" t="inlineStr">
        <is>
          <t>2019-08-12 08:34:26</t>
        </is>
      </c>
      <c r="H692" t="inlineStr"/>
    </row>
    <row r="693">
      <c r="A693" t="inlineStr">
        <is>
          <t>cpl5oc</t>
        </is>
      </c>
      <c r="B693" t="inlineStr">
        <is>
          <t>Infrared light</t>
        </is>
      </c>
      <c r="C693" t="inlineStr">
        <is>
          <t>Someone pointed a television remote at my face at close range and pushed the button. It took me a while to notice. I didn’t look directly at the LED but is there any risk of retinal damage from tv remote infrared?</t>
        </is>
      </c>
      <c r="D693" t="n">
        <v>2</v>
      </c>
      <c r="E693" t="n">
        <v>5</v>
      </c>
      <c r="F693">
        <f>HYPERLINK("https://www.reddit.com/r/eyetriage/comments/cpl5oc/infrared_light/")</f>
        <v/>
      </c>
      <c r="G693" t="inlineStr">
        <is>
          <t>2019-08-12 17:22:06</t>
        </is>
      </c>
      <c r="H693" t="inlineStr"/>
    </row>
    <row r="694">
      <c r="A694" t="inlineStr">
        <is>
          <t>cpus8p</t>
        </is>
      </c>
      <c r="B694" t="inlineStr">
        <is>
          <t>Squiggly afterimage</t>
        </is>
      </c>
      <c r="C694" t="inlineStr">
        <is>
          <t>Hey, really sorry about another thread so soon, but I've got another issue that's currently fueling my hypochondria. 
As I've mentioned in my previous post, I've been to the eye doctor last week on Monday. Since then I've been taking artificial tears (Theoluz Duo). Ever since I started taking them I noticed that I have a squiggly afterimage looking line in the peripheral vision in my left eye. It looks kind of like a misshapen upside down letter L, and it only comes into my view when I look up and to the left. As with regular afterimages, it gets more vivid when I close my eyes, but unlike them it doesn't disappear. 
Now I don't know if this is a recent development or not, because I wasn't used to looking straight up before I had to take eye drops, so it could have been a thing for a while without me noticing.
If it doesn't subside within two weeks I'm planning on going to the opthamologist again, but I'm hoping this is something bening/stress/fatigue induced and will go away on its own, since the previous test went very well.</t>
        </is>
      </c>
      <c r="D694" t="n">
        <v>0</v>
      </c>
      <c r="E694" t="n">
        <v>0</v>
      </c>
      <c r="F694">
        <f>HYPERLINK("https://www.reddit.com/r/eyetriage/comments/cpus8p/squiggly_afterimage/")</f>
        <v/>
      </c>
      <c r="G694" t="inlineStr">
        <is>
          <t>2019-08-13 08:34:48</t>
        </is>
      </c>
      <c r="H694" t="inlineStr"/>
    </row>
    <row r="695">
      <c r="A695" t="inlineStr">
        <is>
          <t>cpwjop</t>
        </is>
      </c>
      <c r="B695" t="inlineStr">
        <is>
          <t>Gray Rectangle in Vision</t>
        </is>
      </c>
      <c r="C695" t="inlineStr">
        <is>
          <t xml:space="preserve"> Was looking at a computer when I see some gray in my vision. Cover my  right eye, and the upper half of my vision is all gray, with a clean cut  at the bottom, no blurriness (lasted a couple minutes). I've also had  moments once a month where my vision is getting brighter and brighter  for no reason and I have to close my eyes for a couple minutes. Is this  retinal detachment? Am I fucked. Really scared. 20 years old and I'm  afraid this might be a symptom of undiagnosed Type 2 diabetes, but I'm  getting a blood sugar test next week. Generally, I don't feel pain in my  eyes.</t>
        </is>
      </c>
      <c r="D695" t="n">
        <v>2</v>
      </c>
      <c r="E695" t="n">
        <v>4</v>
      </c>
      <c r="F695">
        <f>HYPERLINK("https://www.reddit.com/r/eyetriage/comments/cpwjop/gray_rectangle_in_vision/")</f>
        <v/>
      </c>
      <c r="G695" t="inlineStr">
        <is>
          <t>2019-08-13 10:40:43</t>
        </is>
      </c>
      <c r="H695" t="inlineStr"/>
    </row>
    <row r="696">
      <c r="A696" t="inlineStr">
        <is>
          <t>cq3g52</t>
        </is>
      </c>
      <c r="B696" t="inlineStr">
        <is>
          <t>Swelling After Drained Chalazion</t>
        </is>
      </c>
      <c r="C696" t="inlineStr">
        <is>
          <t>I’m an eye patient and had a Chalazion drained 12 days ago  and my eye is still  swollen and doesn’t open all the way. Everything I’ve read online and the doctor said swelling usually subsided after 7 days.
Is this normal and is there anything else I should be doing? I’m still taking some of the antibiotic and anti inflammatory medicine they have me along with a warm compress 3 times a day.</t>
        </is>
      </c>
      <c r="D696" t="n">
        <v>1</v>
      </c>
      <c r="E696" t="n">
        <v>1</v>
      </c>
      <c r="F696">
        <f>HYPERLINK("https://www.reddit.com/r/eyetriage/comments/cq3g52/swelling_after_drained_chalazion/")</f>
        <v/>
      </c>
      <c r="G696" t="inlineStr">
        <is>
          <t>2019-08-13 19:31:49</t>
        </is>
      </c>
      <c r="H696" t="inlineStr"/>
    </row>
    <row r="697">
      <c r="A697" t="inlineStr">
        <is>
          <t>cq6n1e</t>
        </is>
      </c>
      <c r="B697" t="inlineStr">
        <is>
          <t>Blind spot in both eyes, same place</t>
        </is>
      </c>
      <c r="C697" t="inlineStr">
        <is>
          <t>A couple weeks ago I went to the ophthalmologist because I noticed a blind spot in both eyes and the same place, If I close my left eye and sit 6 feet away from my TV and to the right of my TV I am unable to see a part of the center of the TV, and when I close my right eye and look to the left of my TV I am unable to see a part of the center of the TV. 
I am very worried about this, the ophthalmologist did not see anything in both eyes.
What could this be?</t>
        </is>
      </c>
      <c r="D697" t="n">
        <v>1</v>
      </c>
      <c r="E697" t="n">
        <v>2</v>
      </c>
      <c r="F697">
        <f>HYPERLINK("https://www.reddit.com/r/eyetriage/comments/cq6n1e/blind_spot_in_both_eyes_same_place/")</f>
        <v/>
      </c>
      <c r="G697" t="inlineStr">
        <is>
          <t>2019-08-14 01:07:39</t>
        </is>
      </c>
      <c r="H697" t="inlineStr"/>
    </row>
    <row r="698">
      <c r="A698" t="inlineStr">
        <is>
          <t>cq7rxu</t>
        </is>
      </c>
      <c r="B698" t="inlineStr">
        <is>
          <t>Would a person with a PVD in one eye be more likely to have the same in another?</t>
        </is>
      </c>
      <c r="C698" t="inlineStr">
        <is>
          <t>I read on a site that it is very likely to happen in the other eye within a year of the first.
If this is true, is it likely to be as bad as the first? (I'm recovering from one, and it's been pretty bad)
My apologies for the three or four post I've made in the past month or so, but this scaring the hell out of me. Past advice was right - I've gone from barely able to see in my right eye, to a considerable annoyance that I'm not even noticing occasionally, until I remember ...  I still have peripheral flashes, not less frequently as time goes on.  And I have one fairly big floated up top in my vision that hadn't gotten better, but at least I can see.</t>
        </is>
      </c>
      <c r="D698" t="n">
        <v>2</v>
      </c>
      <c r="E698" t="n">
        <v>7</v>
      </c>
      <c r="F698">
        <f>HYPERLINK("https://www.reddit.com/r/eyetriage/comments/cq7rxu/would_a_person_with_a_pvd_in_one_eye_be_more/")</f>
        <v/>
      </c>
      <c r="G698" t="inlineStr">
        <is>
          <t>2019-08-14 03:24:41</t>
        </is>
      </c>
      <c r="H698" t="inlineStr"/>
    </row>
    <row r="699">
      <c r="A699" t="inlineStr">
        <is>
          <t>cqgko8</t>
        </is>
      </c>
      <c r="B699" t="inlineStr">
        <is>
          <t>Anyone go from the US to overseas to get intraocular lenses (IOL's) inserted because the brand wasn't FDA approved yet?</t>
        </is>
      </c>
      <c r="C699" t="inlineStr">
        <is>
          <t>The FDA is years behind Europe in this field.</t>
        </is>
      </c>
      <c r="D699" t="n">
        <v>2</v>
      </c>
      <c r="E699" t="n">
        <v>1</v>
      </c>
      <c r="F699">
        <f>HYPERLINK("https://www.reddit.com/r/eyetriage/comments/cqgko8/anyone_go_from_the_us_to_overseas_to_get/")</f>
        <v/>
      </c>
      <c r="G699" t="inlineStr">
        <is>
          <t>2019-08-14 14:56:09</t>
        </is>
      </c>
      <c r="H699" t="inlineStr"/>
    </row>
    <row r="700">
      <c r="A700" t="inlineStr">
        <is>
          <t>cqjl8e</t>
        </is>
      </c>
      <c r="B700" t="inlineStr">
        <is>
          <t>Macular Pucker and Vitrectomy?</t>
        </is>
      </c>
      <c r="C700" t="inlineStr">
        <is>
          <t xml:space="preserve"> Hello everyone Im a 36 yr old male. Today I went to my ophthalmologist for an annual checkup. I have had this macular pucker for some time now at least 2+ years. My original doctor took another job at another hospital, he told me that he didnt see any reason to do anything about it since it was not rapidly getting worse. Although my vision is very blurry in my left eye. However, today after seeing a new doctor(at the same hospital) he told me that it has gotten worse and asked if I noticed it. I hardly noticed it, but i do believe that it has gotten slightly worse. The doctor gave me the option of letting it continue as is or surgery. He clearly told me the risks of retina detachment, high chance for cataract and some others. He also told me that he couldnt tell me how much of improvement this will make, if any. I want the procedure done because I'm in the midst of changing careers and I graduate in early 2020 with a BA in IT specializing in web development and I want it done before I start my new career. Online I have read things like this is a routine procedure from horror stories and people never getting their vision back and only make things worse. Please help! Im also worried because I was born with hypopituitarism and Im cortisol dependant. Should I go through with this I'm scared to death?</t>
        </is>
      </c>
      <c r="D700" t="n">
        <v>2</v>
      </c>
      <c r="E700" t="n">
        <v>1</v>
      </c>
      <c r="F700">
        <f>HYPERLINK("https://www.reddit.com/r/eyetriage/comments/cqjl8e/macular_pucker_and_vitrectomy/")</f>
        <v/>
      </c>
      <c r="G700" t="inlineStr">
        <is>
          <t>2019-08-14 19:04:24</t>
        </is>
      </c>
      <c r="H700" t="inlineStr"/>
    </row>
    <row r="701">
      <c r="A701" t="inlineStr">
        <is>
          <t>cqvgf1</t>
        </is>
      </c>
      <c r="B701" t="inlineStr">
        <is>
          <t>Corneas leaving an imprint on contacts. Ick. Why????</t>
        </is>
      </c>
      <c r="C701" t="inlineStr">
        <is>
          <t>I have just recently started having issues with contact lens discomfort. I have a significant astigmatism and have used Toric XRs without issue for years. Never sleep in them, use eye drops especially at work, try to wear glasses more days than not, etc. I am an eyeball honor student.
One of my eyes is uncomfortable all day long in every brand of lenses that I can get in my RX (ordered from and fitted by both an optometrist and an ophthalmologist). I’ve just lately noticed that, when I remove my contacts, there’s suddenly an impression of my cornea in the lens. This is gross to me. Is this normal? Am I dying? How long exactly do I have to live?</t>
        </is>
      </c>
      <c r="D701" t="n">
        <v>1</v>
      </c>
      <c r="E701" t="n">
        <v>3</v>
      </c>
      <c r="F701">
        <f>HYPERLINK("https://www.reddit.com/r/eyetriage/comments/cqvgf1/corneas_leaving_an_imprint_on_contacts_ick_why/")</f>
        <v/>
      </c>
      <c r="G701" t="inlineStr">
        <is>
          <t>2019-08-15 13:25:02</t>
        </is>
      </c>
      <c r="H701" t="inlineStr"/>
    </row>
    <row r="702">
      <c r="A702" t="inlineStr">
        <is>
          <t>cr0vcn</t>
        </is>
      </c>
      <c r="B702" t="inlineStr">
        <is>
          <t>Vision seems to go in and out of focus more often than before</t>
        </is>
      </c>
      <c r="C702" t="inlineStr">
        <is>
          <t>I'm 23 years old and as far as I know, I do not have any ocular conditions, but I do have a family history of lazy eye.  I currently wear glasses mainly for seeing things far away but find the need to wear it while using the computer to feel more comfortable.  I can see 20/20 (OD/OS individually with glasses, but OS not as sharp), and 20/20 OU without glasses. 
Glasses Rx:
OD: plano sphere
OS(dominant): -1.75-0.50x165
&amp;amp;#x200B;
Here is my problem:
I've noticed more frequently in this past year that when I am looking at objects both for distance and near (with and without glasses), it seems to get temporarily blurry with no double vision (at least a few times a day) but goes right back to normal if I move my eyes and refocus again (kind of like a camera refocusing).  My eyes feel similar to when you are in a daze.  Just out of curiosity, I've recorded my eyes while I was looking at a semi-distant object and I noticed OS was moving inwards a bit based on the recording (mainly when I was staring at the object for a second) and would return to it's 'starting point' when I blinked and refocused.  It's not affecting my life in any major way, but it gets a bit annoying. Is  this due to the difference in refractive error between both eyes or is this maybe something else?</t>
        </is>
      </c>
      <c r="D702" t="n">
        <v>2</v>
      </c>
      <c r="E702" t="n">
        <v>2</v>
      </c>
      <c r="F702">
        <f>HYPERLINK("https://www.reddit.com/r/eyetriage/comments/cr0vcn/vision_seems_to_go_in_and_out_of_focus_more_often/")</f>
        <v/>
      </c>
      <c r="G702" t="inlineStr">
        <is>
          <t>2019-08-15 20:47:10</t>
        </is>
      </c>
      <c r="H702" t="inlineStr"/>
    </row>
    <row r="703">
      <c r="A703" t="inlineStr">
        <is>
          <t>crdq5s</t>
        </is>
      </c>
      <c r="B703" t="inlineStr">
        <is>
          <t>Experiencing vision issues recently... 26 y/o female</t>
        </is>
      </c>
      <c r="C703" t="inlineStr">
        <is>
          <t>Hello, I'm posting here because I would like to know what these issues indicate and if they require attention. I tried to look for similar complaints via google search, but I couldn't find anything matching what I'm experiencing. I'm very near-sighted, I wear corrective lenses, and I have an astigmatism... if that matters.
For the past couple of months I have been seeing black text as grey. For example, when I'm typing in a word document I will try to change grey text to black, but it is already black. I've noticed that the text where I'm concentrating my vision appears black, and the text above and below appears as grey. It's really bizarre.
Also, at night when I'm about to go to bed I will see a large white spot in one of my eyes. I only experience this in the dark. I can see just fine and then when I turn off the light there is a big white spot, kind of like a blind spot, in one of my eyes. It only happens sometimes and it resolves itself in a few minutes. 
Are these issues common or should I make an eye appointment? I stare at computer screens pretty much all day so I'm wondering if that is the cause. Any advice would be appreciated.</t>
        </is>
      </c>
      <c r="D703" t="n">
        <v>2</v>
      </c>
      <c r="E703" t="n">
        <v>2</v>
      </c>
      <c r="F703">
        <f>HYPERLINK("https://www.reddit.com/r/eyetriage/comments/crdq5s/experiencing_vision_issues_recently_26_yo_female/")</f>
        <v/>
      </c>
      <c r="G703" t="inlineStr">
        <is>
          <t>2019-08-16 15:42:28</t>
        </is>
      </c>
      <c r="H703" t="inlineStr"/>
    </row>
    <row r="704">
      <c r="A704" t="inlineStr">
        <is>
          <t>crel2w</t>
        </is>
      </c>
      <c r="B704" t="inlineStr">
        <is>
          <t>Moderate vision loss only in the right eye</t>
        </is>
      </c>
      <c r="C704" t="inlineStr">
        <is>
          <t>I had my optometrist appointment and he is referring me to a neuro-opthalmologist. I know I shouldn't freak out, but I am, a little bit. The appointment could take ages to get, so I guess I just want to understand it a bit more and reassurance.
A bit of background, I had a brain hemorrage 9 months ago and had craniotomy on my right side to clip the aneurysm. I was very lucky and not feeling too horrible.  I started experiencing right eye pain in February. Got a new prescription in April, no change in left eye but much worse prescription for the right. But that didn't reduce the pain..seems to be getting worse, but I am probably just imagining that bit. My right eye feels bigger the it should be, if that makes any sense. The pain is a constant ache, with a bit of sharp pain if I am tired. It also twitches if I am tired, heh. 
I had another optometry appointment yesterday. My right eye's prescription has gotten a bit worse but not enough to change the lens. Optometrist gave me a visual field test (flashing dots kind) and found normal left eye and right eye with "moderate vision loss". Moderate scared me a bit. I don't have a copy of the chart but he showed it to me. So in the circle there is a red (dots not detected) wedge/blob extending from the centre to the periphery near the horizontal line in the middle of the circle . It is not that big, only maybe around 20 degrees...  Day to day, I don't notice the "blind" area at all. Optometrist said the deficit is not due to any brain issues because it is not symmetrical.  My eye is otherwise healthy, a bit odd shaped and a small growth on the retina but these hasn't changed for years. So I am guessing something going on with my optic nerve of the right eye? He seemed happy enough, not too concerned, but enough to refer me on. What should I expect from the neuro-ophthalmology appointment? I am guessing another visual field test.
Thanks and sorry for freaking out. :)</t>
        </is>
      </c>
      <c r="D704" t="n">
        <v>4</v>
      </c>
      <c r="E704" t="n">
        <v>1</v>
      </c>
      <c r="F704">
        <f>HYPERLINK("https://www.reddit.com/r/eyetriage/comments/crel2w/moderate_vision_loss_only_in_the_right_eye/")</f>
        <v/>
      </c>
      <c r="G704" t="inlineStr">
        <is>
          <t>2019-08-16 16:53:54</t>
        </is>
      </c>
      <c r="H704" t="inlineStr"/>
    </row>
    <row r="705">
      <c r="A705" t="inlineStr">
        <is>
          <t>crkke1</t>
        </is>
      </c>
      <c r="B705" t="inlineStr">
        <is>
          <t>Macular deformity/mass</t>
        </is>
      </c>
      <c r="C705" t="inlineStr">
        <is>
          <t>Hello! Not looking for a diagnosis, but maybe some generalized information. 
I have a son, 10 years old, who was born prematurely (28 weeks). About 18 months ago we noticed that he was getting extremely close to items to read them (within the 5 inch range) and had not really noticed it before. Caveat: Assume this could be poor parental observation or recently started issues.
Sometimes his vision seems (to us) like it isn't bad but sometimes it is terrible. Reading normal sized dark blue font on a white background on a computer monitor he says is light blue and sometimes the letters aren't there. In an eye test yesterday reading 20/100 letters on the chart he said was "just white" when viewed with one eye and couldn't make out all the letters with both. He's also mentioned colorization that doesn't match with what we see (generally blue/green)
First ophthalmologist told us nothing was wrong; he was just trying to get attention.  
Second opthalmologist told us his eyes were healthy; it was neurological.  
Third ophthalmologist told us that it might be related to premature birth and to see a neurologist.
We were on a rather long waiting list for a neurologist and moved to Sweden. We just went in yesterday and the ophthalmologist noted what he thought was an edema in both eyes in the macula; his images were low-res so he sent us to another clinic where the Chief of the eye clinic was on site. 
He did a higher definition scan of the eye and said that there were indeed macular defects/mass under both eyes - and that he is assuming they must be genetic due to them being almost exactly centrally placed and the placement and size being uniform and that they will need to do a full workup to determine what it is and whether it can be treated. I am waiting for the documents to be sent to my house, so I don't have a copy of the HD scan yet - I took a camera picture of the lo-def shot here  and both eyes are the same. The angle of the photo isn't good, but it's the only one I took for now.
Does anyone know what the possible outcomes I could look into for preparedness? Specifically related to pediatric issues with macular masses; bonus if they meet the same criteria of uniformity and placement. My main concern, obviously, is that this may be a progressive issue leading to blindness, but this may be due to the fact that any Google search inevitably leads to the dire links.</t>
        </is>
      </c>
      <c r="D705" t="n">
        <v>7</v>
      </c>
      <c r="E705" t="n">
        <v>10</v>
      </c>
      <c r="F705">
        <f>HYPERLINK("https://www.reddit.com/r/eyetriage/comments/crkke1/macular_deformitymass/")</f>
        <v/>
      </c>
      <c r="G705" t="inlineStr">
        <is>
          <t>2019-08-17 03:31:43</t>
        </is>
      </c>
      <c r="H705" t="inlineStr"/>
    </row>
    <row r="706">
      <c r="A706" t="inlineStr">
        <is>
          <t>crl7h3</t>
        </is>
      </c>
      <c r="B706" t="inlineStr">
        <is>
          <t>Should I be concerned with a perfect eye exam result?</t>
        </is>
      </c>
      <c r="C706" t="inlineStr">
        <is>
          <t>Hi! I’ve never worn glasses, but I got an eye exam done a couple of days ago, and was told I had “perfect vision“, nothing concerning in the retinal exam, and was seeing 20/20. However, I was still given a prescription for glasses with .25 and .50 in either eye. At the time I figured I’d trust the optometrist, but the more I think about it, the less sense it makes to me (why do I need glasses if my vision is “perfect”?). I mentioned that during both of the times where I was asked to read up close with only one eye, my left eye underperformed, and after a few seconds my vision would slowly go dark until I was able to blink again. That didn’t happen with my right eye. Granted I was still able to read the text with my left eye, but it was way harder to focus. I feel like that concern was brushed off, but could this be the reason I was prescribed the glasses? Should I be concerned about the health of my eye (re: vision going dark when forcing my left eye up close)?</t>
        </is>
      </c>
      <c r="D706" t="n">
        <v>2</v>
      </c>
      <c r="E706" t="n">
        <v>3</v>
      </c>
      <c r="F706">
        <f>HYPERLINK("https://www.reddit.com/r/eyetriage/comments/crl7h3/should_i_be_concerned_with_a_perfect_eye_exam/")</f>
        <v/>
      </c>
      <c r="G706" t="inlineStr">
        <is>
          <t>2019-08-17 04:51:41</t>
        </is>
      </c>
      <c r="H706" t="inlineStr"/>
    </row>
    <row r="707">
      <c r="A707" t="inlineStr">
        <is>
          <t>crr8z9</t>
        </is>
      </c>
      <c r="B707" t="inlineStr">
        <is>
          <t>I have anisometropia, what are my options?</t>
        </is>
      </c>
      <c r="C707" t="inlineStr">
        <is>
          <t>Hi all, hoping someone possibly might have some experience with my issue.  I am 52, had an injury to my right eye when I was 5 making me nearsighted in my left eye, farsighted in my right.  Over the years, I never had any problems but as I get older (&amp;amp; use a computer a lot at my work), I’m finding that it’s getting tougher to deal... sometimes having to get inches away from my monitors to make out numbers.  I already have my monitors pretty close &amp;amp; adjusted the zoom on text.  We run SAP &amp;amp; it isn’t very friendly to increasing font size, can only adjust screen resolution.  I don’t drive at night any longer or on the highway, I live in Saskatoon, SK, Canada &amp;amp; getting around is easy, no problems driving in the city but I do worry as my vision is not getting better, that is for sure.  My Optometrist (practicing many years &amp;amp; has seen many different issues) is stumped &amp;amp; we’ve tried all options he can think of to no avail.  We’ve tried a contact in my left eye &amp;amp; glasses with a prescription lens in the right (I have scar tissue on my right eye disallowing a contact in that eye) as my eyes will only work infependent of eachother.  Before I go for a consultation to an Opthamologist (I’ve seen them regularly to make sure my injured eye is fine - possible miniscule cataract developing due to a very little hole from the injury), would like recommendations from others.  Could I posdibly get laser surgery on one eye to match the other so both eyes are either nearsighted or farsighted?  What would be the pro’s/con’s?  The thought of permanently changing my vision terrifies me - what if it ends up worse than what I’m dealing with?  I’d really love to see detail &amp;amp; crisp lines on edges without having my nose 6” away from the object.  Thank you in advance for your advice &amp;amp; comments.</t>
        </is>
      </c>
      <c r="D707" t="n">
        <v>1</v>
      </c>
      <c r="E707" t="n">
        <v>1</v>
      </c>
      <c r="F707">
        <f>HYPERLINK("https://www.reddit.com/r/eyetriage/comments/crr8z9/i_have_anisometropia_what_are_my_options/")</f>
        <v/>
      </c>
      <c r="G707" t="inlineStr">
        <is>
          <t>2019-08-17 13:10:04</t>
        </is>
      </c>
      <c r="H707" t="inlineStr"/>
    </row>
    <row r="708">
      <c r="A708" t="inlineStr">
        <is>
          <t>crsxrh</t>
        </is>
      </c>
      <c r="B708" t="inlineStr">
        <is>
          <t>Eye damage from looking at an LED light bulb for too long?</t>
        </is>
      </c>
      <c r="C708" t="inlineStr">
        <is>
          <t>I was doing a project yesterday that involved an LED light bulb (2700K, 1600 lumens). For this project, I ended up looking at the bulb for 15-20 seconds straight several times (maybe 5 or 6 times). I didn't end up having any lasting blindspots/afterimages, but should I be concerned about eye damage from this exposure? Would this warrant a visit to my eye doctor?</t>
        </is>
      </c>
      <c r="D708" t="n">
        <v>0</v>
      </c>
      <c r="E708" t="n">
        <v>6</v>
      </c>
      <c r="F708">
        <f>HYPERLINK("https://www.reddit.com/r/eyetriage/comments/crsxrh/eye_damage_from_looking_at_an_led_light_bulb_for/")</f>
        <v/>
      </c>
      <c r="G708" t="inlineStr">
        <is>
          <t>2019-08-17 15:26:45</t>
        </is>
      </c>
      <c r="H708" t="inlineStr"/>
    </row>
    <row r="709">
      <c r="A709" t="inlineStr">
        <is>
          <t>crxx3u</t>
        </is>
      </c>
      <c r="B709" t="inlineStr">
        <is>
          <t>Stitch removal gone wrong</t>
        </is>
      </c>
      <c r="C709" t="inlineStr">
        <is>
          <t>Hello, so a couple of days ago I had what was meant to be a routine stitch removal on my transplanted eye to remove most of the stitches. I was told there would be mild discomfort but nothing to bad and could carry on with daily activities. The surgeon sent me home after quite suddenly and didn't bother to check the eye like he normally does after some time to see if everything was fine. I felt like it was rushed. When I got home couple of hours later I was in intense pain. Some of the worst pain I have ever felt in my life. My eye was swallon completely. I could not open it and pus was coming out. I went to AnE and they told me I had a large cornea abrasion straight down the eye. I told them I had surgery and they said it would of been from the eye being cut accidentally during it. I haven't been able to get out of bed in days. I have a follow up appointment on Monday but they said that this could now affect my vision.
Is this normal to happen after stitches removed or should I be taking this further with the hospital.</t>
        </is>
      </c>
      <c r="D709" t="n">
        <v>1</v>
      </c>
      <c r="E709" t="n">
        <v>2</v>
      </c>
      <c r="F709">
        <f>HYPERLINK("https://www.reddit.com/r/eyetriage/comments/crxx3u/stitch_removal_gone_wrong/")</f>
        <v/>
      </c>
      <c r="G709" t="inlineStr">
        <is>
          <t>2019-08-17 23:38:34</t>
        </is>
      </c>
      <c r="H709" t="inlineStr"/>
    </row>
    <row r="710">
      <c r="A710" t="inlineStr">
        <is>
          <t>crzumv</t>
        </is>
      </c>
      <c r="B710" t="inlineStr">
        <is>
          <t>Large eyelash went into eye</t>
        </is>
      </c>
      <c r="C710" t="inlineStr">
        <is>
          <t>Hi
I know this is probably quite a common and low risk issue. But this morning I rubbed my eye and 2 large eyelashes fell off, one went onto my nose and the other went into my eye. 
I went to the bathroom to get it out and I had it in my grasp, it was towards the top of my eyeball, I then reset myself and blinked and it was gone. 
I have quite long eyelashes and this was one of my large eyelashes even at that. I tried splashing loads of water in and it didn’t resurface. Eyedrops as well. 
I’ve had my girlfriend look into my eye in all corners and she couldn’t see it.
I don’t really feel any irritation but it does kind of feel like something is there somewhere - whether that’s just from splashing all the water in I don’t know.
Should I be worried about this or will it flush out naturally? My main concern is that this was quite a big and sturdy eyelash compared to any other ones that have gone in and come out before. Could it affect my eyeball?</t>
        </is>
      </c>
      <c r="D710" t="n">
        <v>2</v>
      </c>
      <c r="E710" t="n">
        <v>2</v>
      </c>
      <c r="F710">
        <f>HYPERLINK("https://www.reddit.com/r/eyetriage/comments/crzumv/large_eyelash_went_into_eye/")</f>
        <v/>
      </c>
      <c r="G710" t="inlineStr">
        <is>
          <t>2019-08-18 03:59:53</t>
        </is>
      </c>
      <c r="H710" t="inlineStr"/>
    </row>
    <row r="711">
      <c r="A711" t="inlineStr">
        <is>
          <t>csnf8j</t>
        </is>
      </c>
      <c r="B711" t="inlineStr">
        <is>
          <t>Eyes feel less strained when I put my hand between my eyes?</t>
        </is>
      </c>
      <c r="C711" t="inlineStr">
        <is>
          <t>Past few years I have been noticing greater difficulty with my vision particularly my right eye. The frustrating thing is when I go see my optometrist and they do their visual exam I feel like I can't give a consistent answer. It is hard to say if "A" or "B" is better because it feels like I have to strain my eyes to see, and when I do it feels like the vision keeps fluctuating. I even got a second opinion and they both agreed I have about the same prescription. However, my optometrist decided to give a little astigamatism correction for my right eye this time. Either way, it has made my vision worse in my right eye for my glasses. I have noticed that occasionally when it is hard to see, ie I have to strain to see, if I place my hand up, thumb against my nose bridge, palm flat out so my hand is in my medial vision the strain goes away. I have worn semi rigid gas permeable contacts for the past 20+ years. I do have had a slight strabimus but I don't get double vision so my optometrist recommended optional rehab therapy. Is this straining related to my strabismus? Maybe it is getting worse, I also feel like my right eyelid always feels heavier. My googling showed that I can get ptosis from wearing RGP contacts for a long time. Just wondering if this is all related to my RGP and should I switch to soft contacts or is it just from worsening strabismus?</t>
        </is>
      </c>
      <c r="D711" t="n">
        <v>2</v>
      </c>
      <c r="E711" t="n">
        <v>3</v>
      </c>
      <c r="F711">
        <f>HYPERLINK("https://www.reddit.com/r/eyetriage/comments/csnf8j/eyes_feel_less_strained_when_i_put_my_hand/")</f>
        <v/>
      </c>
      <c r="G711" t="inlineStr">
        <is>
          <t>2019-08-19 14:08:07</t>
        </is>
      </c>
      <c r="H711" t="inlineStr"/>
    </row>
    <row r="712">
      <c r="A712" t="inlineStr">
        <is>
          <t>csqyn9</t>
        </is>
      </c>
      <c r="B712" t="inlineStr">
        <is>
          <t>What is a good over the counter eye drop to use for a slight corneal abrasion while waiting for your eye to heal without wearing contacts?</t>
        </is>
      </c>
      <c r="C712" t="inlineStr">
        <is>
          <t>My eye dr recommended one but I lost the paper she wrote it down on she said it will help lubricants my eye while it heals till I can wear my contacts again in a few days</t>
        </is>
      </c>
      <c r="D712" t="n">
        <v>3</v>
      </c>
      <c r="E712" t="n">
        <v>4</v>
      </c>
      <c r="F712">
        <f>HYPERLINK("https://www.reddit.com/r/eyetriage/comments/csqyn9/what_is_a_good_over_the_counter_eye_drop_to_use/")</f>
        <v/>
      </c>
      <c r="G712" t="inlineStr">
        <is>
          <t>2019-08-19 18:33:19</t>
        </is>
      </c>
      <c r="H712" t="inlineStr"/>
    </row>
    <row r="713">
      <c r="A713" t="inlineStr">
        <is>
          <t>csrf16</t>
        </is>
      </c>
      <c r="B713" t="inlineStr">
        <is>
          <t>Stubborn GPC - what's my next options?</t>
        </is>
      </c>
      <c r="C713" t="inlineStr">
        <is>
          <t>It's been a long journey so I'm sorry if it's a long post.
Female, 27 y/o, no allergies. 
I've had GPC, or more like contact lens related papillae for a while. I know it's not a big deal most of the time and that a lot of contact lens patients have them at some point. Back in June last year they were at a 0.5 grade. We just kept a note of it, was advised to just in case keep an eye on how long I'm wearing my lenses, and that's all.
In November I had another check up as I kept feeling my lenses move every time I blink, and General uncomfortable feeling with them in. Lids everted, and suddenly we're at grade 2 LE, 1.5 RE. 
Since then we've tried the standard methods of fighting with those buggers: topical antihistamines for a month, didn't do anything. Topical mast cel stabilisers, didn't do anything. We put me on a ban for contact lens wear for 2/12, it seemed to help a bit, so they refitted me from Dailies Total 1 to Miru 1 Day, reduced wear time (ie only when I really need to). I thought we had it under control, we were at grade 1 BE. 
Now in June my eyes hit me again. At first I thought they were just exceptionally dry, and with the heatwave I just assumed my tears were just evaporating like crazy. But then every blink started feeling like sandpaper. So I knew what it meant.
Lids everted, back to grade 2/2.5 (tear prism and TBUT quite bad as well so that would explain the MY EYES ARE SO DRY feeling). So lubricating drops, antihistamines, contact lens ban, all over again. 
Now, middle of August and its not better. My eyes still feel meh. Like, I get it. It's just some papillae. It's not about to ruin my sight, just deal with it, wear your specs. And I really don't mind wearing my specs, it's just that my eyes don't feel good, they constantly feel scratchy, and uncomfortable.
I've been told to try mast cell stabilisers for another month and see how it works, but I just don't see why it would work this time if it didn't previously. Or maybe it will and I'm just a negative Nancy. But if someone can give me some other insight, I'd be grateful because honestly I just want to ideally replace my eyelids if that's possible at all.</t>
        </is>
      </c>
      <c r="D713" t="n">
        <v>1</v>
      </c>
      <c r="E713" t="n">
        <v>0</v>
      </c>
      <c r="F713">
        <f>HYPERLINK("https://www.reddit.com/r/eyetriage/comments/csrf16/stubborn_gpc_whats_my_next_options/")</f>
        <v/>
      </c>
      <c r="G713" t="inlineStr">
        <is>
          <t>2019-08-19 19:12:26</t>
        </is>
      </c>
      <c r="H713" t="inlineStr"/>
    </row>
    <row r="714">
      <c r="A714" t="inlineStr">
        <is>
          <t>ct0dt0</t>
        </is>
      </c>
      <c r="B714" t="inlineStr">
        <is>
          <t>Right eye peripheral flickering/flashing</t>
        </is>
      </c>
      <c r="C714" t="inlineStr">
        <is>
          <t>I work on a computer screen 8 hours a day 5 days a week.  I have been working here for 2 years now (started October 2017).  I noticed my vision deteriorating and having issues looking at my screen after a year (around september/october 2018). I also noticed a flash/flickering in my peripheral right eye that gradually got worse and worse.  It was almost unbearable to view my screen and could barely see any of text without squinting or getting really close to the screen (which I never had problem with until a year into the job). I went to an optometrist around late December and they said I had astigmatism in my right eye. I got an eye scan and they said everything is fine. They prescribed me glasses with a blue light filter and said the flashes were due to ocular migraines.    
I received the glasses a few weeks later and they helped a lot and the flashes/flickering went away for awhile but eventually they came back and now it's back to being unbearable at some points.  I noticed it was due to light.  I also feel a little irritation if any light is involved with my right eye.  I went to an ophthalmologist to get a second opinion. She said everything is fine.  She thought it was due to PVD.  I looked into that and it said typically it goes away after a few months and it has been a year.
I noticed that the flashes will start from light and I also notice it after physical activity.  I am not sure what to do at this point.  It really bothers me throughout the day. There are sometimes where it goes away for a day or two and will come back so it doesn't make any sense too me.  Has anybody else had an issue like this?</t>
        </is>
      </c>
      <c r="D714" t="n">
        <v>2</v>
      </c>
      <c r="E714" t="n">
        <v>6</v>
      </c>
      <c r="F714">
        <f>HYPERLINK("https://www.reddit.com/r/eyetriage/comments/ct0dt0/right_eye_peripheral_flickeringflashing/")</f>
        <v/>
      </c>
      <c r="G714" t="inlineStr">
        <is>
          <t>2019-08-20 08:08:07</t>
        </is>
      </c>
      <c r="H714" t="inlineStr"/>
    </row>
    <row r="715">
      <c r="A715" t="inlineStr">
        <is>
          <t>ct66cc</t>
        </is>
      </c>
      <c r="B715" t="inlineStr">
        <is>
          <t>Is using expired Xiidra safe?</t>
        </is>
      </c>
      <c r="C715" t="inlineStr">
        <is>
          <t>Have about 60 packs of unopened Xiidra from a few months ago because I quit and because I just used two vials daily instead of four since I could easily get two eyes worth out of each vial.  Doctor wants me back on it, but they expired in June 2019 and my insurance is refusing to cover it and needs a new Prior Auth and all of that because I quit previously.  Last time it legit took a month for the Prior Auth and I want to start using it today (even though I feel it didn't help, but maybe I didn't give it enough time).
Also had severe hair loss while on Xiidra, but was also under extreme stress with my dad dying, mom getting cancer, and fiancee leaving me  over the course of about six months, but quit due to it and the hair loss seems to have calmed substantially.  Researching it offers some results, but you google anything and people will correlate two things together.  Any opinions on this?</t>
        </is>
      </c>
      <c r="D715" t="n">
        <v>2</v>
      </c>
      <c r="E715" t="n">
        <v>0</v>
      </c>
      <c r="F715">
        <f>HYPERLINK("https://www.reddit.com/r/eyetriage/comments/ct66cc/is_using_expired_xiidra_safe/")</f>
        <v/>
      </c>
      <c r="G715" t="inlineStr">
        <is>
          <t>2019-08-20 14:04:10</t>
        </is>
      </c>
      <c r="H715" t="inlineStr"/>
    </row>
    <row r="716">
      <c r="A716" t="inlineStr">
        <is>
          <t>ctb7q7</t>
        </is>
      </c>
      <c r="B716" t="inlineStr">
        <is>
          <t>Tilted Vision - Have not been able to get a diagnosis.</t>
        </is>
      </c>
      <c r="C716" t="inlineStr">
        <is>
          <t>Hello, I have been suffering with (in my opinion) an extreme amount of tilt in my vision. It has been progressing since I was 18, I'm in my late 20's now, and I have never been able to get it diagnosed. Most recently I went to an ophthalmologist who thought it was caused by my astigmatism. I had 5.5 diopters in my left eye, and 2.7 in my right eye. He told me the large amount of astigmatism in my left eye, along with the large difference between the amount of astigmatism in both eyes was causing the tilt. He recommended Lasik to fix it. I went through with the Lasik but while my vision is much clearer in my right eye, my left eye still has 2 diopters of astigmatism in it so while still blurry its better, it has had no effect on the tilt whatsoever. I have told this to my doctor but he said my eyes need to heal before they can do any more tests. However at my 1 month check-up a different doctor saw me and when I told him about how the tilt still wasn't fixed he reacted with confusion, not knowing about the problem, and guessed that it might be a muscle issue or that it might still be my astigmatism because my astigmatism goes all the way to the edge of my cornea and so therefor outside the treatment range of the laser. But he gave no further ideas as to what I should do next. So now I'm waiting for my 3 month check-up, having made sure the original doctor is who will be seeing me, but I'm very frustrated. 
So now I made this image so I can show doctors what I'm dealing with because apparently I'm not doing a good enough job describing it. The top picture is the unedited photo for reference. The middle photo is what I see with both eyes. The tilt is in both eyes, but is slightly different in both eyes. The lower left image is what I see in my left eye, and the lower right is what I see with my right eye. 
Do you guys have any idea what this could be, or what part of the eye is causing it. Do you have any idea what kind of specialists I should try seeing. I would appreciate any ideas you might have.</t>
        </is>
      </c>
      <c r="D716" t="n">
        <v>1</v>
      </c>
      <c r="E716" t="n">
        <v>8</v>
      </c>
      <c r="F716">
        <f>HYPERLINK("https://www.reddit.com/r/eyetriage/comments/ctb7q7/tilted_vision_have_not_been_able_to_get_a/")</f>
        <v/>
      </c>
      <c r="G716" t="inlineStr">
        <is>
          <t>2019-08-20 20:35:32</t>
        </is>
      </c>
      <c r="H716" t="inlineStr"/>
    </row>
    <row r="717">
      <c r="A717" t="inlineStr">
        <is>
          <t>ctdkwl</t>
        </is>
      </c>
      <c r="B717" t="inlineStr">
        <is>
          <t>Amsler Grid - left eye - blur moving toward center</t>
        </is>
      </c>
      <c r="C717" t="inlineStr">
        <is>
          <t>OK so I'm an old guy I suppose. 51.  My symptoms started about a week ago in earnest.  When I was looking as the url address in chrome I noticed that the border line below the address seemed to have a slight wave in it.  When I tried to locate the wave in the line, it disappeared in my central vision. 
A few days of this and it got really perturbed so I googled and found out about the amsler grid.  My mother had uncontrolled and medically unmanaged diabetes in her 70s and she got macular degeneration if I recall correctly.  So of course I start stressing out and check out the grid.  My right eye was fine.  My left eye showed pinched and skewing lines in the bottom right hand side of the grid about the size of a dime.  I called my doc and was seen immediately by a optician who super dilated my eyes.    
During the intake they did the puff test, scanned my retina and checked everything out before the exam.
I had an routine eye exam incidentally about 2 months ago. 
So the optician checks my retinas out and can't find a dang thing with the retina. Says it isn't macular degeneration and if it was it would be atypical presentation.   Looking at the scans of my pigmented epithelial layer (?) she notices that there is some scar tissue in the left eye and the epithelial layer has gotten swollen around this small area. She then compares them to the scan taken two months ago.  And then she asked if I was under stress.   She told me that that particular layer can be inflamed due to stress.
OK so she set me an appointment with a retina specialist in a month.  Said to go home and de-stress (haha) Call them if anything changed and to check the amsler grid daily.  
The wave has gotten less prominent however it is still there.  I also noticed that the pinched area on the amsler grid has gone from the size of a dime to about half that size, maybe a pea, but the catch here is that the disturbed area on the amsler grid has moved closer to the center.  If you could divide the distance from the center dot to the bottom right corner in to four equal lengths, the location of the first blur was about 3/4 away from the dot.  Now it is 1/4 away from the dot.
I have no idea what gives or what would cause it to change location.
Am also pre-diabetic with pretty well managed blood sugars.
Also have experienced green tracers during sleep that resolve on my retina for the last 15 years intermittently.  No  optician knows what it is.
Oh the area that has some scar tissue on my left eye was due to a pop bottled lid exploding and hitting my eye.  It bruised my retina back in 1990 and has been seen by opticians ever since.
&amp;amp;#x200B;
Thanks if there is anyone out there who made it through this story.  :)</t>
        </is>
      </c>
      <c r="D717" t="n">
        <v>1</v>
      </c>
      <c r="E717" t="n">
        <v>7</v>
      </c>
      <c r="F717">
        <f>HYPERLINK("https://www.reddit.com/r/eyetriage/comments/ctdkwl/amsler_grid_left_eye_blur_moving_toward_center/")</f>
        <v/>
      </c>
      <c r="G717" t="inlineStr">
        <is>
          <t>2019-08-21 00:49:46</t>
        </is>
      </c>
      <c r="H717" t="inlineStr"/>
    </row>
    <row r="718">
      <c r="A718" t="inlineStr">
        <is>
          <t>ctewpr</t>
        </is>
      </c>
      <c r="B718" t="inlineStr">
        <is>
          <t>Help Understanding Optometrists Comments</t>
        </is>
      </c>
      <c r="C718" t="inlineStr">
        <is>
          <t>Hello, I saw an optometrist because I’ve been having eye pain. She gave me a document to take to my doctor, as I requested. Comments were as follows:
“Posterior exam shows cup to disc ratios of 0.50. OCT showed thinning of superior RNFL in both eyes, but this was ruled out by visual fields 24-2 (although slightly unreliable, no significant defects).”
Eye pressure was 20 in each eye.
Could someone please explain? Am I a glaucoma suspect? 
I have also seen an ophthalmologist, who diagnosed dry eyes but did not say anything about the supposed thinning. She didn’t do a visual field or take eye pressures during the consultation. 
I’m female, 26 and myopic (-3.5 both eyes).</t>
        </is>
      </c>
      <c r="D718" t="n">
        <v>1</v>
      </c>
      <c r="E718" t="n">
        <v>1</v>
      </c>
      <c r="F718">
        <f>HYPERLINK("https://www.reddit.com/r/eyetriage/comments/ctewpr/help_understanding_optometrists_comments/")</f>
        <v/>
      </c>
      <c r="G718" t="inlineStr">
        <is>
          <t>2019-08-21 03:25:47</t>
        </is>
      </c>
      <c r="H718" t="inlineStr"/>
    </row>
    <row r="719">
      <c r="A719" t="inlineStr">
        <is>
          <t>ctf9r5</t>
        </is>
      </c>
      <c r="B719" t="inlineStr">
        <is>
          <t>Question for Acuity Cutoffs?</t>
        </is>
      </c>
      <c r="C719" t="inlineStr">
        <is>
          <t xml:space="preserve"> Hello, I know this isn't a patient question (but it sort of requires a similar attention).
I'm a psych student with zero background in optometry. My study is based in a binocular rivalry paradigm (the stimuli will be viewed through a VR headset, i.e. one small image presented in each eye), and I've been told to use the FrACT to see if participants have adequate visual acuity in each eye to accurately percieve the images.
I've been getting participants to complete the tumbling E FrACT task twice - once with the left eye covered, and once with the right eye covered to try and get some monocular vision scores. My supervisor suggested this, but I'm sure it's wildly inaccurate.
What is a reasonable LogMAR cutoff for adequate vision? Of note is that the task is percieving small images on a screen very close to each eye (VR headset).
Hope this isn't too convoluted. Thanks in advance for any of your advice.</t>
        </is>
      </c>
      <c r="D719" t="n">
        <v>1</v>
      </c>
      <c r="E719" t="n">
        <v>0</v>
      </c>
      <c r="F719">
        <f>HYPERLINK("https://www.reddit.com/r/eyetriage/comments/ctf9r5/question_for_acuity_cutoffs/")</f>
        <v/>
      </c>
      <c r="G719" t="inlineStr">
        <is>
          <t>2019-08-21 04:05:11</t>
        </is>
      </c>
      <c r="H719" t="inlineStr"/>
    </row>
    <row r="720">
      <c r="A720" t="inlineStr">
        <is>
          <t>cthhad</t>
        </is>
      </c>
      <c r="B720" t="inlineStr">
        <is>
          <t>Rheumatoid arthritis in eye?</t>
        </is>
      </c>
      <c r="C720" t="inlineStr">
        <is>
          <t>I'm not sure if the opthamalogist phrased it correctly. I had an eye exam after starting Plaquenil. He looked at my right eye said it was good, said the left looks good than did another look and said I have Rheumatoid arthritis in it?
My vision has gotten a lot worse in the left eye and I see clear almost worm like outlines. I go back in 1 year. 
Did he mean uveitis?</t>
        </is>
      </c>
      <c r="D720" t="n">
        <v>2</v>
      </c>
      <c r="E720" t="n">
        <v>20</v>
      </c>
      <c r="F720">
        <f>HYPERLINK("https://www.reddit.com/r/eyetriage/comments/cthhad/rheumatoid_arthritis_in_eye/")</f>
        <v/>
      </c>
      <c r="G720" t="inlineStr">
        <is>
          <t>2019-08-21 07:16:41</t>
        </is>
      </c>
      <c r="H720" t="inlineStr"/>
    </row>
    <row r="721">
      <c r="A721" t="inlineStr">
        <is>
          <t>ctpxwn</t>
        </is>
      </c>
      <c r="B721" t="inlineStr">
        <is>
          <t>Solar retinopathy</t>
        </is>
      </c>
      <c r="C721" t="inlineStr">
        <is>
          <t>If the afternoon sun accidentally hits you directly in eye will it result in retinal damage even with an immediate blink reflex? Some say it can take less than a second. That’s very disturbing.</t>
        </is>
      </c>
      <c r="D721" t="n">
        <v>0</v>
      </c>
      <c r="E721" t="n">
        <v>2</v>
      </c>
      <c r="F721">
        <f>HYPERLINK("https://www.reddit.com/r/eyetriage/comments/ctpxwn/solar_retinopathy/")</f>
        <v/>
      </c>
      <c r="G721" t="inlineStr">
        <is>
          <t>2019-08-21 17:49:41</t>
        </is>
      </c>
      <c r="H721" t="inlineStr"/>
    </row>
    <row r="722">
      <c r="A722" t="inlineStr">
        <is>
          <t>ctrx23</t>
        </is>
      </c>
      <c r="B722" t="inlineStr">
        <is>
          <t>First time contacts</t>
        </is>
      </c>
      <c r="C722" t="inlineStr">
        <is>
          <t>Hi, I have recently tried foraging into wearing contact lenses and...well....I thought it would be seamless. 
So I've been wearing glasses for over a year because I have an astigmatism and it clarifies everything. 
So this year I made an appointment for contacts because my glasses fogging up in hot and cold environments is getting old. So my eye dr said I have a .-25 and since my astigmatism is so slight they don't make a prescription in what she said I would need. 
But I tried .-25 and things are still blurry. So I told her and she really wasn't much help in offering a solution other than it was my insistence I asked for contacts. 
Is it wrong to think that if they can offer me prescription glasses that help...why can't they with contacts? 
And would moving up to a .-50 be a viable solution?</t>
        </is>
      </c>
      <c r="D722" t="n">
        <v>2</v>
      </c>
      <c r="E722" t="n">
        <v>3</v>
      </c>
      <c r="F722">
        <f>HYPERLINK("https://www.reddit.com/r/eyetriage/comments/ctrx23/first_time_contacts/")</f>
        <v/>
      </c>
      <c r="G722" t="inlineStr">
        <is>
          <t>2019-08-21 20:42:45</t>
        </is>
      </c>
      <c r="H722" t="inlineStr"/>
    </row>
    <row r="723">
      <c r="A723" t="inlineStr">
        <is>
          <t>ctxpiu</t>
        </is>
      </c>
      <c r="B723" t="inlineStr">
        <is>
          <t>PVD, Again</t>
        </is>
      </c>
      <c r="C723" t="inlineStr">
        <is>
          <t>Posterior Vitreous Detachment
Me again.  Two months ago I saw what looks like ink squirting from the lower inside corner of my right eye.  I saw my optometrist and he said it was a PVD.  Two days later it got much worse, then better for a few days, the ink squirt thing again.  Better for a week or so, repeat for a couple weeks, until a month ago.
It had been getting better for the past month, but just happened again.  I bent over to put something up, and when I stood up, I saw the black lines swirling around.  I also feel pressure behind the upper inside of my eye.  Came from the same place each time.
I did call my doctor, and was told he'll call me back.
I may have asked this before, but is this normal for a PVD?   For it to get better for a month then happen again?   This is exactly how it started two months ago.
Im freaking out again.</t>
        </is>
      </c>
      <c r="D723" t="n">
        <v>3</v>
      </c>
      <c r="E723" t="n">
        <v>9</v>
      </c>
      <c r="F723">
        <f>HYPERLINK("https://www.reddit.com/r/eyetriage/comments/ctxpiu/pvd_again/")</f>
        <v/>
      </c>
      <c r="G723" t="inlineStr">
        <is>
          <t>2019-08-22 06:49:22</t>
        </is>
      </c>
      <c r="H723" t="inlineStr"/>
    </row>
    <row r="724">
      <c r="A724" t="inlineStr">
        <is>
          <t>ctzebh</t>
        </is>
      </c>
      <c r="B724" t="inlineStr">
        <is>
          <t>Solar Retinopathy/Eye Damage from staring at sun behind clouds?</t>
        </is>
      </c>
      <c r="C724" t="inlineStr">
        <is>
          <t>Yesterday I was studying by a window, and every 5 minutes or so, I tried to look at something &amp;gt;20 ft away for 20 seconds to give my eyes a rest. A few of these times, I ended up staring at the sky. It was an overcast day, so I originally didn't think much of it. But then I realized I was looking at/near the area where the sun would normally be. I know that clouds don't block UV light, so could I have developed solar retinopathy/eye damage from this exposure? I was wearing contacts that claim to block UV A and B light, so I'm hoping that helped. I can't stop obsessing over this and need some feedback. Thank you so much!</t>
        </is>
      </c>
      <c r="D724" t="n">
        <v>0</v>
      </c>
      <c r="E724" t="n">
        <v>9</v>
      </c>
      <c r="F724">
        <f>HYPERLINK("https://www.reddit.com/r/eyetriage/comments/ctzebh/solar_retinopathyeye_damage_from_staring_at_sun/")</f>
        <v/>
      </c>
      <c r="G724" t="inlineStr">
        <is>
          <t>2019-08-22 08:57:57</t>
        </is>
      </c>
      <c r="H724" t="inlineStr"/>
    </row>
    <row r="725">
      <c r="A725" t="inlineStr">
        <is>
          <t>cu77n6</t>
        </is>
      </c>
      <c r="B725" t="inlineStr">
        <is>
          <t>Hyperopia with estrabism and astigmatism</t>
        </is>
      </c>
      <c r="C725" t="inlineStr">
        <is>
          <t xml:space="preserve"> HI, (M19). I have hyperopia with estrabism and astigmatism. I talked to my doctor about the laser surgery and he say i could do it but I have to stop wearing glasses. The thing is that i like to wear glasses, the thing that i don't like is when i don't wear them cause the strabismus is so present (when i wear them is almost invisible). I forgot to ask him if i could just remove the hyperopia and leave the astigmatism to allow me to wear glasses. Maybe is a stupid question but strabismus is ruinning my life. Thank you.</t>
        </is>
      </c>
      <c r="D725" t="n">
        <v>3</v>
      </c>
      <c r="E725" t="n">
        <v>3</v>
      </c>
      <c r="F725">
        <f>HYPERLINK("https://www.reddit.com/r/eyetriage/comments/cu77n6/hyperopia_with_estrabism_and_astigmatism/")</f>
        <v/>
      </c>
      <c r="G725" t="inlineStr">
        <is>
          <t>2019-08-22 18:52:16</t>
        </is>
      </c>
      <c r="H725" t="inlineStr"/>
    </row>
    <row r="726">
      <c r="A726" t="inlineStr">
        <is>
          <t>cua49z</t>
        </is>
      </c>
      <c r="B726" t="inlineStr">
        <is>
          <t>Ophthalmologist suggested nystagmus but wasn't sure so asking here....</t>
        </is>
      </c>
      <c r="C726" t="inlineStr">
        <is>
          <t>Apologies if this is a faux pas here to ask medical questions.
I've developed this very strange problem within the past year. Sometimes focusing on something in the distance (50+ feet) is difficult. Randomly happens, but I notice it most at night.
I can feel each eye struggling to focus. Like a pressure in my head trying to push the eyes in opposite directions. It'll cause nausea if I let it continue.
Squinting doesn't help, but covering my eyes with a cap bill or hands as if you're trying to focus on something in the distance during bright sunlight will. Covering the vertical periphery seems to help.
I'm asking here for answers because I couldn't focus on a skunk 100 feet away while walking the dogs tonight until he got much closer. I had no idea what I was looking at until then. 
Anyway, I told everything to ophthalmologist and he was mostly stumped but wrote it off as nystagmus. Did all the standard eye tests with some others to rule things out.  Nothing was obvious. 
Is that accurate (nystagmus) and what would that mean for me? What's my next step to fix this issue or how to live with it? Is there a different name for this condition?
Appreciate any help anyone offers.</t>
        </is>
      </c>
      <c r="D726" t="n">
        <v>1</v>
      </c>
      <c r="E726" t="n">
        <v>2</v>
      </c>
      <c r="F726">
        <f>HYPERLINK("https://www.reddit.com/r/eyetriage/comments/cua49z/ophthalmologist_suggested_nystagmus_but_wasnt/")</f>
        <v/>
      </c>
      <c r="G726" t="inlineStr">
        <is>
          <t>2019-08-22 23:43:27</t>
        </is>
      </c>
      <c r="H726" t="inlineStr"/>
    </row>
    <row r="727">
      <c r="A727" t="inlineStr">
        <is>
          <t>cuerf4</t>
        </is>
      </c>
      <c r="B727" t="inlineStr">
        <is>
          <t>Weird things with glasses lens</t>
        </is>
      </c>
      <c r="C727" t="inlineStr">
        <is>
          <t>I have no access to my prescription rn, but for the last 2 years of medical checks, my lens are supposed to be working fine. Yet, i still have trouble seeing things i feel like i should be able to see. I have myopia, around -2.5 in each eye, i'll add everything in detail later.
The question is, whenever i look through the "edges" of the lens, my vision gets better, but i get a bit of a headache after a while, also its pretty inconvenient to lift my glasses to be able to see properly.
I cant seem to find this anywhere else, sorry if its confusing</t>
        </is>
      </c>
      <c r="D727" t="n">
        <v>1</v>
      </c>
      <c r="E727" t="n">
        <v>3</v>
      </c>
      <c r="F727">
        <f>HYPERLINK("https://www.reddit.com/r/eyetriage/comments/cuerf4/weird_things_with_glasses_lens/")</f>
        <v/>
      </c>
      <c r="G727" t="inlineStr">
        <is>
          <t>2019-08-23 07:37:33</t>
        </is>
      </c>
      <c r="H727" t="inlineStr"/>
    </row>
    <row r="728">
      <c r="A728" t="inlineStr">
        <is>
          <t>cujipo</t>
        </is>
      </c>
      <c r="B728" t="inlineStr">
        <is>
          <t>Had retinal tear repaired yesterday (no instructions given)</t>
        </is>
      </c>
      <c r="C728" t="inlineStr">
        <is>
          <t>Had a follow up for a new floater and ended up having laser therapy to repair a tear. All I was told was that I had to come back next week for follow up. Office is closed for weekend and I have a couple questions.
Had a wicked headache afterwards for most of the day, until advil kicked in. Woke up felt fine, worked out, went about my day, but now my headache is back.
Was I supposed to avoid doing certain things?
Headache came on after sitting hunched over for about 30 min reading at a table. 
Just curious, as I said, he didn't give me any instructions or warnings.</t>
        </is>
      </c>
      <c r="D728" t="n">
        <v>3</v>
      </c>
      <c r="E728" t="n">
        <v>11</v>
      </c>
      <c r="F728">
        <f>HYPERLINK("https://www.reddit.com/r/eyetriage/comments/cujipo/had_retinal_tear_repaired_yesterday_no/")</f>
        <v/>
      </c>
      <c r="G728" t="inlineStr">
        <is>
          <t>2019-08-23 13:34:45</t>
        </is>
      </c>
      <c r="H728" t="inlineStr"/>
    </row>
    <row r="729">
      <c r="A729" t="inlineStr">
        <is>
          <t>cul4lj</t>
        </is>
      </c>
      <c r="B729" t="inlineStr">
        <is>
          <t>Visual Field Test</t>
        </is>
      </c>
      <c r="C729" t="inlineStr">
        <is>
          <t>I had a visual field test today, and I peaked at the results and there was red in the corner of my right eye. My doctor says that my optic nerves are fine. How is this possible? Should I be scared shitless? I'm only 21. Is it possible to halt the progression of damage? My pressures are in the low to mid twenties. 
&amp;amp;#x200B;
My follow up appointment isn't for a few weeks, so I won't get to know what my doctor thinks for a while. Am I going blind?</t>
        </is>
      </c>
      <c r="D729" t="n">
        <v>1</v>
      </c>
      <c r="E729" t="n">
        <v>8</v>
      </c>
      <c r="F729">
        <f>HYPERLINK("https://www.reddit.com/r/eyetriage/comments/cul4lj/visual_field_test/")</f>
        <v/>
      </c>
      <c r="G729" t="inlineStr">
        <is>
          <t>2019-08-23 15:39:00</t>
        </is>
      </c>
      <c r="H729" t="inlineStr"/>
    </row>
    <row r="730">
      <c r="A730" t="inlineStr">
        <is>
          <t>cumrl8</t>
        </is>
      </c>
      <c r="B730" t="inlineStr">
        <is>
          <t>Contact ripped in my eye and I think wearing it too long before taking it out caused some sort of infection/abrasion, can someone help what to do?</t>
        </is>
      </c>
      <c r="C730" t="inlineStr">
        <is>
          <t>I went to the eye dr to get it checked out and all the doctor told me to do was not wear contacts for 3 days and use preservative free eye drops. And I did and still occasionally waters when it wear my contacts and now I’m getting this gross gunk in the inner corner of my eye as well. So I don’t know what is going on. Anyone know what this could be? Is there something I can get temporarily at like Walgreens to help it till I can get back to an eye doctor? I have an appointment with a different eye doctor next week since the one I saw didn’t seem to want to give me any thing for it and everytime I go to this stupid eye dr I never see the dr they say I’m supposed to be seeing and give me a student everytime who doesn’t know what she’s doing.</t>
        </is>
      </c>
      <c r="D730" t="n">
        <v>1</v>
      </c>
      <c r="E730" t="n">
        <v>3</v>
      </c>
      <c r="F730">
        <f>HYPERLINK("https://www.reddit.com/r/eyetriage/comments/cumrl8/contact_ripped_in_my_eye_and_i_think_wearing_it/")</f>
        <v/>
      </c>
      <c r="G730" t="inlineStr">
        <is>
          <t>2019-08-23 17:58:56</t>
        </is>
      </c>
      <c r="H730" t="inlineStr"/>
    </row>
    <row r="731">
      <c r="A731" t="inlineStr">
        <is>
          <t>cuprxw</t>
        </is>
      </c>
      <c r="B731" t="inlineStr">
        <is>
          <t>Help please</t>
        </is>
      </c>
      <c r="C731" t="inlineStr">
        <is>
          <t>I’m currently being monitored and tested for open angle glaucoma. If I had this instead, would it show signs in the dilation exam? Thanks. My follow up appointment isn’t for several weeks and I’d like to have a little peace of mind if at all possible.</t>
        </is>
      </c>
      <c r="D731" t="n">
        <v>2</v>
      </c>
      <c r="E731" t="n">
        <v>4</v>
      </c>
      <c r="F731">
        <f>HYPERLINK("https://www.reddit.com/r/eyetriage/comments/cuprxw/help_please/")</f>
        <v/>
      </c>
      <c r="G731" t="inlineStr">
        <is>
          <t>2019-08-23 23:04:15</t>
        </is>
      </c>
      <c r="H731" t="inlineStr"/>
    </row>
    <row r="732">
      <c r="A732" t="inlineStr">
        <is>
          <t>cupwv4</t>
        </is>
      </c>
      <c r="B732" t="inlineStr">
        <is>
          <t>Warm compress question</t>
        </is>
      </c>
      <c r="C732" t="inlineStr">
        <is>
          <t>26yo M with keratoconus using scleral lenses. 
My optometrist told me to try doing a warm compress on my eyes in hopes of getting my  meibomian glands secreting better. The first few nights I did this I noticed real small solid objects show up in the caruncle. Were these from occluded glands by chance? Or something else?</t>
        </is>
      </c>
      <c r="D732" t="n">
        <v>1</v>
      </c>
      <c r="E732" t="n">
        <v>0</v>
      </c>
      <c r="F732">
        <f>HYPERLINK("https://www.reddit.com/r/eyetriage/comments/cupwv4/warm_compress_question/")</f>
        <v/>
      </c>
      <c r="G732" t="inlineStr">
        <is>
          <t>2019-08-23 23:21:59</t>
        </is>
      </c>
      <c r="H732" t="inlineStr"/>
    </row>
    <row r="733">
      <c r="A733" t="inlineStr">
        <is>
          <t>cuw10n</t>
        </is>
      </c>
      <c r="B733" t="inlineStr">
        <is>
          <t>Possible infection after strabismus eye surgery</t>
        </is>
      </c>
      <c r="C733" t="inlineStr">
        <is>
          <t>( Mooved from ophtalmology )
Hi,
So, sunday, I got operated for strabismus on both of my eyes at 9 a.m., and everything was doing fine. My eyes got better everyday, and I stopped taking pills for the pain ( prescribed, of course ) thursday. Today ( Saturday ), I looked at myself in the mirror because my eyes were getting clearer, and I noticed that there was a small area around my iris that was yellow-ish. This said, I really freaked out, because they said that if there is any yellow secretions I had to call the doc immediately. So, because of the system in my country I couldn't really see an ophtalmologist anytime soon, so we went to see my grandfather which has been and oncologist for over 40 years, and he looked at my eye, and there were in fact, some yellow secretions under my eye.
Since there wasn't lots of it, he said it wasn't really bad and I should keep using my antibiotics ( Which I was using two times a day like they told me ) and see how it goes. One of my neighbour is also and ophtalmologist and she'll be back monday so I'm going to go see her.
EDIT : My eye doesn't especially hurt, in fact, neither of eye hurt and at this point, on my 6th day I have pretty much recovered a normal vision I really posted this here just too make sure, and I gave as much information as I could. Thank you for your help</t>
        </is>
      </c>
      <c r="D733" t="n">
        <v>1</v>
      </c>
      <c r="E733" t="n">
        <v>2</v>
      </c>
      <c r="F733">
        <f>HYPERLINK("https://www.reddit.com/r/eyetriage/comments/cuw10n/possible_infection_after_strabismus_eye_surgery/")</f>
        <v/>
      </c>
      <c r="G733" t="inlineStr">
        <is>
          <t>2019-08-24 10:07:03</t>
        </is>
      </c>
      <c r="H733" t="inlineStr"/>
    </row>
    <row r="734">
      <c r="A734" t="inlineStr">
        <is>
          <t>cuxj42</t>
        </is>
      </c>
      <c r="B734" t="inlineStr">
        <is>
          <t>Burning eyes</t>
        </is>
      </c>
      <c r="C734" t="inlineStr">
        <is>
          <t>Hi,so around 20 days ago my eyes got watery i could barely see so i went to the doctor and he gave me tobrex oinment.ive used it for a week applied it 4 times a day,my eyes werent watery but there was this burning in my eyes.so i went back to my doctor and she gave me maxitrol eye drops.ive used them for a week but my burning is still the same.does anyone know how do i solve this and if i should pay a visit to opthamologist</t>
        </is>
      </c>
      <c r="D734" t="n">
        <v>1</v>
      </c>
      <c r="E734" t="n">
        <v>1</v>
      </c>
      <c r="F734">
        <f>HYPERLINK("https://www.reddit.com/r/eyetriage/comments/cuxj42/burning_eyes/")</f>
        <v/>
      </c>
      <c r="G734" t="inlineStr">
        <is>
          <t>2019-08-24 11:59:16</t>
        </is>
      </c>
      <c r="H734" t="inlineStr"/>
    </row>
    <row r="735">
      <c r="A735" t="inlineStr">
        <is>
          <t>cuxm9o</t>
        </is>
      </c>
      <c r="B735" t="inlineStr">
        <is>
          <t>Input requested on optometrists recommendation for multifocal IOL and follow-up PRK</t>
        </is>
      </c>
      <c r="C735" t="inlineStr">
        <is>
          <t>I just am asking for any pertinent feedback on my optometrists recommendations of Symfony IOL with follow-up PRK.
Male/59 years old/healthy/no cataracts
RK performed 30 years ago.  I can drive without glasses, but prefer to wear glasses while driving.  Must wear glasses to read.
I approached this optometrist with the desire to get rid of glasses for 28" (computer) to driving distances.  They fog up when riding dirtbikes, and are just generally inconvenient when mountain biking, etc.  I have money saved, cost is not an issue too much.
He recommends Symfony IOLs, with a 30% chance of follow-up PRK needed on my right eye, 10% chance of PRK on my left, due to the previous RK surgery.  He insists I will have 20/20 vision after the follow-up PRKs are done, if required.
To be more specific, I asked him for 'the clearest possible vision from 28" to 100', and I have no problem with having to wear reading glasses for the 12" to 14" range.  Emphasis on 'the clearest possible vision'.
Does this make sense to you (experienced in this surgery)?  Do I need a second opinion?</t>
        </is>
      </c>
      <c r="D735" t="n">
        <v>1</v>
      </c>
      <c r="E735" t="n">
        <v>9</v>
      </c>
      <c r="F735">
        <f>HYPERLINK("https://www.reddit.com/r/eyetriage/comments/cuxm9o/input_requested_on_optometrists_recommendation/")</f>
        <v/>
      </c>
      <c r="G735" t="inlineStr">
        <is>
          <t>2019-08-24 12:05:55</t>
        </is>
      </c>
      <c r="H735" t="inlineStr"/>
    </row>
    <row r="736">
      <c r="A736" t="inlineStr">
        <is>
          <t>cuzb2h</t>
        </is>
      </c>
      <c r="B736" t="inlineStr">
        <is>
          <t>Wife and I both have what looks like pinguecula??</t>
        </is>
      </c>
      <c r="C736" t="inlineStr">
        <is>
          <t>What is going on here?
Why did we develop them at the same time?  
I noticed mine a few weeks ago, then it seemed to go away, then it came back and not my wife is complaining of the same thing.
Not formally diagnosed, but everything I look at online points to it.</t>
        </is>
      </c>
      <c r="D736" t="n">
        <v>1</v>
      </c>
      <c r="E736" t="n">
        <v>21</v>
      </c>
      <c r="F736">
        <f>HYPERLINK("https://www.reddit.com/r/eyetriage/comments/cuzb2h/wife_and_i_both_have_what_looks_like_pinguecula/")</f>
        <v/>
      </c>
      <c r="G736" t="inlineStr">
        <is>
          <t>2019-08-24 14:23:30</t>
        </is>
      </c>
      <c r="H736" t="inlineStr"/>
    </row>
    <row r="737">
      <c r="A737" t="inlineStr">
        <is>
          <t>cv0g0x</t>
        </is>
      </c>
      <c r="B737" t="inlineStr">
        <is>
          <t>What causes corneal edema after cataract surgery?</t>
        </is>
      </c>
      <c r="C737" t="inlineStr">
        <is>
          <t>Does it often keep getting worse, till several months after the surgery the patient is practically blind in that eye?</t>
        </is>
      </c>
      <c r="D737" t="n">
        <v>1</v>
      </c>
      <c r="E737" t="n">
        <v>2</v>
      </c>
      <c r="F737">
        <f>HYPERLINK("https://www.reddit.com/r/eyetriage/comments/cv0g0x/what_causes_corneal_edema_after_cataract_surgery/")</f>
        <v/>
      </c>
      <c r="G737" t="inlineStr">
        <is>
          <t>2019-08-24 15:59:41</t>
        </is>
      </c>
      <c r="H737" t="inlineStr"/>
    </row>
    <row r="738">
      <c r="A738" t="inlineStr">
        <is>
          <t>cv6ny5</t>
        </is>
      </c>
      <c r="B738" t="inlineStr">
        <is>
          <t>Swollen optic nerves - possible Papilledema or tumor</t>
        </is>
      </c>
      <c r="C738" t="inlineStr">
        <is>
          <t>Hi guys so I decided to take advantage of walk in eye tests going on a week or so ago and they were extremely concerned about how swollen my optic nerves were or as they called it optic nerve cupping. 
My actual vision was tested and was perfect, perfect colour interpretation, field of vision etc. 
It was forwarded onto an ophthalmologist which I attended and was recommended I get an mri immediately (well couldn’t actually get in for over a week away).  In my case the ophthalmologist has described I could be suffering from what is normally considered a serious and slow growing (large) brain tumour or optic nerve giloma.
Now I’m obviously extremely concerned it may be a tumor as this is apparently the most usual suspect. 
There’s a number of causes given to me (Papilledema, IIH etc). 
I want to ask has anyone out there had this sort of teat and results before? What was your experience and what was the diagnosis?</t>
        </is>
      </c>
      <c r="D738" t="n">
        <v>2</v>
      </c>
      <c r="E738" t="n">
        <v>12</v>
      </c>
      <c r="F738">
        <f>HYPERLINK("https://www.reddit.com/r/eyetriage/comments/cv6ny5/swollen_optic_nerves_possible_papilledema_or_tumor/")</f>
        <v/>
      </c>
      <c r="G738" t="inlineStr">
        <is>
          <t>2019-08-25 02:53:34</t>
        </is>
      </c>
      <c r="H738" t="inlineStr"/>
    </row>
    <row r="739">
      <c r="A739" t="inlineStr">
        <is>
          <t>cvhum8</t>
        </is>
      </c>
      <c r="B739" t="inlineStr">
        <is>
          <t>Slightly Darker Spot in Vision</t>
        </is>
      </c>
      <c r="C739" t="inlineStr">
        <is>
          <t>Hi All,
About a week and a half ago I started having strange symptoms in (I think) one of my eyes. I noticed this off when I was looking out into a morning blue sky from a dark room I entered. There was a tiny patch of my vision, right in the center only barely up and to the left, that lit up like a Christmas tree for a second, then went away. You know in MS paint there was that spray painting tool? It was like that, except shining lights. I looked back and forth a couple more times and by the third or fourth time it stopped doing it. Since then, if I stare into bright lights from a non-bright surface, I get those sparkler things pop up. Always in the same spot, and always very briefly. After a few days of that I noticed that there was a barely perceptibly darker spot where that phenomenon was occurring. If I close my eyes I can see that spot, and it's slightly larger than where the sparkler effect occurs. I went to an opthomologist and they dilated my eyes and did a few tests. My eye pressure was fine, and they scanned the back of my retinas. No signs of anything there. No sign really that anything was wrong, physically, with the eye itself. 
I noticed this after coming back from a business trip. I am terrified of planes and had to take two to get home. I noticed this phenomenon a day or two after that trip. I also think I have been battling a sinus infection due to head pressure I have been having, just putting that in there in case it might be causing this. Also if it could be relevant I had lasik about 10 years ago. The vision in my eye is 15/20, and other than that slight off-color spot no other vision issues (blurry vision, double vision, etc.). 
Basically I am hoping it is not a degenerative issue as I would think the opthomogist I saw would had noticed it, and I am only in my 30s, but she did not seem to really know what was causing the phenomenon I am seeing.</t>
        </is>
      </c>
      <c r="D739" t="n">
        <v>2</v>
      </c>
      <c r="E739" t="n">
        <v>0</v>
      </c>
      <c r="F739">
        <f>HYPERLINK("https://www.reddit.com/r/eyetriage/comments/cvhum8/slightly_darker_spot_in_vision/")</f>
        <v/>
      </c>
      <c r="G739" t="inlineStr">
        <is>
          <t>2019-08-25 19:12:11</t>
        </is>
      </c>
      <c r="H739" t="inlineStr"/>
    </row>
    <row r="740">
      <c r="A740" t="inlineStr">
        <is>
          <t>cvmmsf</t>
        </is>
      </c>
      <c r="B740" t="inlineStr">
        <is>
          <t>Vitreous Hemorrhage</t>
        </is>
      </c>
      <c r="C740" t="inlineStr">
        <is>
          <t>The "ink" I saw squirting into my eye over the past month turned out to be vitreous hemorrhages.  My optometrist missed this, but I ended up going to a retina specialist when it happened again on Friday.
The retina specialist said my retina looked fine, and the bleeds were from the vitreous pulling away.
He wasn't the best communicator, and with my ADD I missed much of what he did say.
I do know he said my retina looked good, and to reduce activity, and to sleep as upright as possible.  He wants me back in two weeks.
Questions:
Is the fact the "ink" bleeds all appeared to come from the same area relevant?
Will I/my doctor know when the vitreous is completely detached?  
I've read vitamin c shows some promise in clearing vitreous bleeds.  Is there any danger in taking a vitamin C supplement? 
As always, thank you in advance for any answers or info that will lessen my stress as I go through this nightmare.</t>
        </is>
      </c>
      <c r="D740" t="n">
        <v>1</v>
      </c>
      <c r="E740" t="n">
        <v>6</v>
      </c>
      <c r="F740">
        <f>HYPERLINK("https://www.reddit.com/r/eyetriage/comments/cvmmsf/vitreous_hemorrhage/")</f>
        <v/>
      </c>
      <c r="G740" t="inlineStr">
        <is>
          <t>2019-08-26 04:14:19</t>
        </is>
      </c>
      <c r="H740" t="inlineStr"/>
    </row>
    <row r="741">
      <c r="A741" t="inlineStr">
        <is>
          <t>cvu0k0</t>
        </is>
      </c>
      <c r="B741" t="inlineStr">
        <is>
          <t>Is my doctor right in her decision to just monitor me?</t>
        </is>
      </c>
      <c r="C741" t="inlineStr">
        <is>
          <t>Hi all, 
For background, I am 21 year old female with eye pressures between 22 and 26. My doctor recently did a visual field test and an OCT. The visual field test was clear, but she said I had symmetric borderline retinal fiber layers in both eyes in the areas least likely to be associated with glaucoma. My angles are open. My cornea is average, a little on the thicker side. She decided to monitor instead of treat the pressures. Should I go along with it? Thanks.</t>
        </is>
      </c>
      <c r="D741" t="n">
        <v>1</v>
      </c>
      <c r="E741" t="n">
        <v>9</v>
      </c>
      <c r="F741">
        <f>HYPERLINK("https://www.reddit.com/r/eyetriage/comments/cvu0k0/is_my_doctor_right_in_her_decision_to_just/")</f>
        <v/>
      </c>
      <c r="G741" t="inlineStr">
        <is>
          <t>2019-08-26 13:57:37</t>
        </is>
      </c>
      <c r="H741" t="inlineStr"/>
    </row>
    <row r="742">
      <c r="A742" t="inlineStr">
        <is>
          <t>cvxkh2</t>
        </is>
      </c>
      <c r="B742" t="inlineStr">
        <is>
          <t>Blue Light Filter Question</t>
        </is>
      </c>
      <c r="C742" t="inlineStr">
        <is>
          <t>Hi all,
I came here in search of a more professional opinion on blue light lenses in general.
Some background: 
I am 27M with fairly poor vision (-6.50 in my worst eye, I believe), astigmatism in both eyes, and pigmentary dispersion syndrome. Other than that, all is normal and well. My question stems from a major life change that is having negative effects on my vision. I recently switched jobs from maybe 3 hrs per day of computer screen time to 9+ hrs per work day. This is on top of my home life where I am a typical person that games, watches TV, and uses a smartphone regularly. I noticed that my eyes were significantly more fatigued once I started this job, and I sometimes have trouble focusing, which presents as blurred vision, but I have no trouble at all sleeping. I try the 20-20-20 rule and such, but I forget often as I dig into my work.
I had an exam (since starting my new job) and my eye doctor said all is normal as defined previously. I asked him if blue light lenses would help with my digital eye fatigue, to which he responded with skepticism. He said they're proven to help with sleep, but there is no sound evidence that they help with digital eye fatigue or prevent damage from blue light, despite the one study that says otherwise. His sales staff member had an entirely different story and swears they are a cure-all for my woes, but I am not so sure. I did some independent research and I am inclined to agree with the doctor. 
So, will blue light lenses help at all with digital eye fatigue? Also, is there any research that indicates it may do more harm than good to block out a significant amount of blue light? I'd like to stay alert and awake during the day, and I do not currently suffer from sleep issues. I apologize for any glaring gaps in my knowledge of the subject - my expertise is very far removed.
Thanks!</t>
        </is>
      </c>
      <c r="D742" t="n">
        <v>3</v>
      </c>
      <c r="E742" t="n">
        <v>7</v>
      </c>
      <c r="F742">
        <f>HYPERLINK("https://www.reddit.com/r/eyetriage/comments/cvxkh2/blue_light_filter_question/")</f>
        <v/>
      </c>
      <c r="G742" t="inlineStr">
        <is>
          <t>2019-08-26 18:41:00</t>
        </is>
      </c>
      <c r="H742" t="inlineStr"/>
    </row>
    <row r="743">
      <c r="A743" t="inlineStr">
        <is>
          <t>cvy7am</t>
        </is>
      </c>
      <c r="B743" t="inlineStr">
        <is>
          <t>Is it normal that I can taste eye drops after putting them into my eye?</t>
        </is>
      </c>
      <c r="C743" t="inlineStr">
        <is>
          <t>So I have a corneal abrasion and was given prescription eye drops and some odd reason after I put two drops in I have this horrible taste in my mouth now</t>
        </is>
      </c>
      <c r="D743" t="n">
        <v>1</v>
      </c>
      <c r="E743" t="n">
        <v>1</v>
      </c>
      <c r="F743">
        <f>HYPERLINK("https://www.reddit.com/r/eyetriage/comments/cvy7am/is_it_normal_that_i_can_taste_eye_drops_after/")</f>
        <v/>
      </c>
      <c r="G743" t="inlineStr">
        <is>
          <t>2019-08-26 19:35:49</t>
        </is>
      </c>
      <c r="H743" t="inlineStr"/>
    </row>
    <row r="744">
      <c r="A744" t="inlineStr">
        <is>
          <t>cwenij</t>
        </is>
      </c>
      <c r="B744" t="inlineStr">
        <is>
          <t>Papilloma</t>
        </is>
      </c>
      <c r="C744" t="inlineStr">
        <is>
          <t>I have a papilloma on my lower eyelid. I have seen 2 ophthalmologists and they have given me different opinions. I would really appreciate if someone can answer:
1. Can it be transmitted to another part of my eye, or the other eye if I use the same makeup applicator/product between eyes?
2. If I get it removed, will my eyelashes grow back?</t>
        </is>
      </c>
      <c r="D744" t="n">
        <v>1</v>
      </c>
      <c r="E744" t="n">
        <v>0</v>
      </c>
      <c r="F744">
        <f>HYPERLINK("https://www.reddit.com/r/eyetriage/comments/cwenij/papilloma/")</f>
        <v/>
      </c>
      <c r="G744" t="inlineStr">
        <is>
          <t>2019-08-27 19:32:19</t>
        </is>
      </c>
      <c r="H744" t="inlineStr"/>
    </row>
    <row r="745">
      <c r="A745" t="inlineStr">
        <is>
          <t>cwj2m7</t>
        </is>
      </c>
      <c r="B745" t="inlineStr">
        <is>
          <t>RCE and artificial tears</t>
        </is>
      </c>
      <c r="C745" t="inlineStr">
        <is>
          <t>I have RCE, diagnosed a few years ago. I discovered heavy use of artificial tears helps tremendously and the muro actually began making my eyes more sticky and worse. I have used artificial tears for 9 months and recently went to primary Doctor for some eye antibiotic because my eyes are red and inflamed. I read your eyes can become dependent on the artificial tears and cause you to have chronic dry and you stop producing your own tears. I am afraid this has happened to me now. Not sure what to do, cannot stand to not use the tears and have another erosion either. Eye doc just told me to do whatever feels best on my eyes.</t>
        </is>
      </c>
      <c r="D745" t="n">
        <v>4</v>
      </c>
      <c r="E745" t="n">
        <v>3</v>
      </c>
      <c r="F745">
        <f>HYPERLINK("https://www.reddit.com/r/eyetriage/comments/cwj2m7/rce_and_artificial_tears/")</f>
        <v/>
      </c>
      <c r="G745" t="inlineStr">
        <is>
          <t>2019-08-28 03:46:28</t>
        </is>
      </c>
      <c r="H745" t="inlineStr"/>
    </row>
    <row r="746">
      <c r="A746" t="inlineStr">
        <is>
          <t>cwjf30</t>
        </is>
      </c>
      <c r="B746" t="inlineStr">
        <is>
          <t>Eyelid Is All Messed Up And Hurts</t>
        </is>
      </c>
      <c r="C746" t="inlineStr">
        <is>
          <t>I woke up two days ago and my left eyelid was swollen, hurt like hell, all “gunky” with stuff inside. 
I have been cleaning my eyelid gently in the shower (twice a day) and using artificial tears. 
I feel like this is a mild case of blepharitis or something like that, but it’s still messed up today. Is there anything else I can do to fix it? Or should I go into the eye doctor?</t>
        </is>
      </c>
      <c r="D746" t="n">
        <v>1</v>
      </c>
      <c r="E746" t="n">
        <v>13</v>
      </c>
      <c r="F746">
        <f>HYPERLINK("https://www.reddit.com/r/eyetriage/comments/cwjf30/eyelid_is_all_messed_up_and_hurts/")</f>
        <v/>
      </c>
      <c r="G746" t="inlineStr">
        <is>
          <t>2019-08-28 04:21:53</t>
        </is>
      </c>
      <c r="H746" t="inlineStr"/>
    </row>
    <row r="747">
      <c r="A747" t="inlineStr">
        <is>
          <t>cwnlxk</t>
        </is>
      </c>
      <c r="B747" t="inlineStr">
        <is>
          <t>Solar Eclipse Myopia Question</t>
        </is>
      </c>
      <c r="C747" t="inlineStr">
        <is>
          <t>Can looking at the sun and or a solar eclipse either directly or behind clouds cause myopia?
I'm pretty sure my nearsightedness began before the eclipse but looking back years later I'm slightly paranoid about when my eye problems actually started. I did view with proper glasses, I remember it being cloudy and looking around the sky trying to figure out where the sun was supposed to be at.
I've got an eye appointment tomorrow. I'm just curious if anyone knows about potential symptoms that could cause.</t>
        </is>
      </c>
      <c r="D747" t="n">
        <v>2</v>
      </c>
      <c r="E747" t="n">
        <v>2</v>
      </c>
      <c r="F747">
        <f>HYPERLINK("https://www.reddit.com/r/eyetriage/comments/cwnlxk/solar_eclipse_myopia_question/")</f>
        <v/>
      </c>
      <c r="G747" t="inlineStr">
        <is>
          <t>2019-08-28 10:03:40</t>
        </is>
      </c>
      <c r="H747" t="inlineStr"/>
    </row>
    <row r="748">
      <c r="A748" t="inlineStr">
        <is>
          <t>cwrwek</t>
        </is>
      </c>
      <c r="B748" t="inlineStr">
        <is>
          <t>Relative binaural Scotoma</t>
        </is>
      </c>
      <c r="C748" t="inlineStr">
        <is>
          <t>Hi r/eyetriage, 
Originally posted on r/Ophthalmology which was helpful but I didn't fully understand the explanation so here goes:
over the last 6 months i've developed small transparent bubbles in my vision which are visible in the upper left, middle right and cecocentral vision. They don't appear on amsler grid test (appear if looking at the edge of a finger held, 1mm in size), are effected by blue field entopic phenomenon and have developed a blur (vertical 'stagger') unchanged by glasses (L-.75, R-.5) as well as daily flashing coloured lights mainly in central-horizontal line. 2 physical eye exams over last 6 months with no concern, non diabetic. Also not floaters as 'stuck' in same position. 
Will be seen by a neuro-ophthalmologist in 1 month, OCT booked in a weeks time. Any ideas? Am stressed as the duration/variety of lights have increased since onset and correspond to headaches + lying down/stress/time of day.</t>
        </is>
      </c>
      <c r="D748" t="n">
        <v>1</v>
      </c>
      <c r="E748" t="n">
        <v>0</v>
      </c>
      <c r="F748">
        <f>HYPERLINK("https://www.reddit.com/r/eyetriage/comments/cwrwek/relative_binaural_scotoma/")</f>
        <v/>
      </c>
      <c r="G748" t="inlineStr">
        <is>
          <t>2019-08-28 15:24:03</t>
        </is>
      </c>
      <c r="H748" t="inlineStr"/>
    </row>
    <row r="749">
      <c r="A749" t="inlineStr">
        <is>
          <t>cwsg6z</t>
        </is>
      </c>
      <c r="B749" t="inlineStr">
        <is>
          <t>Ocular Hypertension</t>
        </is>
      </c>
      <c r="C749" t="inlineStr">
        <is>
          <t>Hi guys,
I'm a 21F recently diagnosed with ocular hypertension (mid twenties in both eyes). I don't seem to have any other risk factors; no family history, no abnormalities on my OCT. My corneas are average, a little on the thicker side. 
&amp;amp;#x200B;
I guess my question is, how worried should I be? Is it more that likely that I'm going to develop glaucoma? My doctor just wants to monitor right now.</t>
        </is>
      </c>
      <c r="D749" t="n">
        <v>1</v>
      </c>
      <c r="E749" t="n">
        <v>4</v>
      </c>
      <c r="F749">
        <f>HYPERLINK("https://www.reddit.com/r/eyetriage/comments/cwsg6z/ocular_hypertension/")</f>
        <v/>
      </c>
      <c r="G749" t="inlineStr">
        <is>
          <t>2019-08-28 16:08:25</t>
        </is>
      </c>
      <c r="H749" t="inlineStr"/>
    </row>
    <row r="750">
      <c r="A750" t="inlineStr">
        <is>
          <t>cwspyj</t>
        </is>
      </c>
      <c r="B750" t="inlineStr">
        <is>
          <t>Yes, artificial tears will help your watery eye.</t>
        </is>
      </c>
      <c r="C750" t="inlineStr">
        <is>
          <t>Quick rundown of why this is the case. I know it’s counterintuitive. 
The eye surface should always be moisturized with a thin layer of tears. That tear layer ought to stick to the surface evenly on its own. In lots of people, it doesn’t. Instead, it either evaporated off the surface or it rolls right off the surface and down your cheek. 
Most people call this dry eye. I had a mentor once who hated that term. For good reason! It’s confusing. “How can my eyes be dry if they’re watering all the time?” He (and I) prefer instead the term “dysfunctional tear syndrome.” Your tears aren’t sticking to the surface of your eye like they ought to. 
For ways to fix this, please refer to the other stickied post here, “Try Artificial Tears First.”</t>
        </is>
      </c>
      <c r="D750" t="n">
        <v>14</v>
      </c>
      <c r="E750" t="n">
        <v>8</v>
      </c>
      <c r="F750">
        <f>HYPERLINK("https://www.reddit.com/r/eyetriage/comments/cwspyj/yes_artificial_tears_will_help_your_watery_eye/")</f>
        <v/>
      </c>
      <c r="G750" t="inlineStr">
        <is>
          <t>2019-08-28 16:30:50</t>
        </is>
      </c>
      <c r="H750" t="inlineStr"/>
    </row>
    <row r="751">
      <c r="A751" t="inlineStr">
        <is>
          <t>cx0si1</t>
        </is>
      </c>
      <c r="B751" t="inlineStr">
        <is>
          <t>Questions about eye pressure</t>
        </is>
      </c>
      <c r="C751" t="inlineStr">
        <is>
          <t xml:space="preserve">  
If medication increases your eye pressure, do you get any hint that it's happening, such as pain or a feeling of pressure?  
&amp;amp;#x200B;
If 10 to 20 is normal, how high can it be without being dangerous?  
&amp;amp;#x200B;
What happens when it gets that high?</t>
        </is>
      </c>
      <c r="D751" t="n">
        <v>2</v>
      </c>
      <c r="E751" t="n">
        <v>2</v>
      </c>
      <c r="F751">
        <f>HYPERLINK("https://www.reddit.com/r/eyetriage/comments/cx0si1/questions_about_eye_pressure/")</f>
        <v/>
      </c>
      <c r="G751" t="inlineStr">
        <is>
          <t>2019-08-29 06:16:28</t>
        </is>
      </c>
      <c r="H751" t="inlineStr"/>
    </row>
    <row r="752">
      <c r="A752" t="inlineStr">
        <is>
          <t>cx6w4t</t>
        </is>
      </c>
      <c r="B752" t="inlineStr">
        <is>
          <t>Borderline nerve fiber layer</t>
        </is>
      </c>
      <c r="C752" t="inlineStr">
        <is>
          <t>Hi guys, 
I have symmetric borderline nerve fiber layers in my retinas. I’m 21. Is it possible that this is due to macular degeneration? Or do you think maybe I was just born that way? I’m otherwise asymptomatic.</t>
        </is>
      </c>
      <c r="D752" t="n">
        <v>1</v>
      </c>
      <c r="E752" t="n">
        <v>14</v>
      </c>
      <c r="F752">
        <f>HYPERLINK("https://www.reddit.com/r/eyetriage/comments/cx6w4t/borderline_nerve_fiber_layer/")</f>
        <v/>
      </c>
      <c r="G752" t="inlineStr">
        <is>
          <t>2019-08-29 14:04:06</t>
        </is>
      </c>
      <c r="H752" t="inlineStr"/>
    </row>
    <row r="753">
      <c r="A753" t="inlineStr">
        <is>
          <t>cx8pa3</t>
        </is>
      </c>
      <c r="B753" t="inlineStr">
        <is>
          <t>Pediatric Strabismus Surgery vs Therapy</t>
        </is>
      </c>
      <c r="C753" t="inlineStr">
        <is>
          <t>My daughter (28 months) developed strabismus somewhere between 18 and 24 months old. It was mild enough that her first ophthalmologist failed to diagnose it despite seeing her three times (at 13 months, 16 months, and 22 months). We finally took her in to a different ophthalmologist at 24 months because the eye crossing had become apparent to just about everyone who met her. She definitely has strabismus of some kind and is farsighted (+2.5) equally in both eyes. Only one eye is crossed, and she is still able to track well with the "bad" eye if her good eye is covered up. 
Because her vision is the same in both eyes, the Dr. said patching was not indicated and prescribed her glasses instead. She wore glasses for 3 months and just got back from her follow-up appointment where her eyes were still crossed. The ophthalmologist says that now surgery is her only option. 
We already have appointments scheduled for second and third opinions (one is an ophthalmologist, and another is a "vision therapy" clinic). Before then, I want to prepare myself with as many intelligent questions as possible. Right now the main questions I plan to ask are:
1) Do we have time to try vision therapy first, or did we already miss the window due to the stupid delay in diagnosis??
2) If we give therapy 6 months to work and \*then\* do the surgery, will that lessen the chance of success because she'd be almost 3 by then, or would it increase the chance of success because her brain will be more "on board" with what it needs to do?
But I also feel like I just know absolutely nothing about strabismus, and I want to go in with more intelligent questions so we can give her the absolute best chance of retaining binocular vision. What other questions should I ask? What resources should I read? I have another week to cram in as much information as possible, so load me up! Thanks in advance!!</t>
        </is>
      </c>
      <c r="D753" t="n">
        <v>1</v>
      </c>
      <c r="E753" t="n">
        <v>12</v>
      </c>
      <c r="F753">
        <f>HYPERLINK("https://www.reddit.com/r/eyetriage/comments/cx8pa3/pediatric_strabismus_surgery_vs_therapy/")</f>
        <v/>
      </c>
      <c r="G753" t="inlineStr">
        <is>
          <t>2019-08-29 16:23:19</t>
        </is>
      </c>
      <c r="H753" t="inlineStr"/>
    </row>
    <row r="754">
      <c r="A754" t="inlineStr">
        <is>
          <t>cxekxq</t>
        </is>
      </c>
      <c r="B754" t="inlineStr">
        <is>
          <t>Medical advise needed</t>
        </is>
      </c>
      <c r="C754" t="inlineStr">
        <is>
          <t>This is related to my mother. She is 66 year old.
Asthma patient (uses foracort twice a day).
Her eye movement is somewhat restricted in
upward direction. And on when trying to focus
things on her right side she is showing mild
nystagmus.
This morning she said she was feeling dizzy. I am
planning to go to an ophthalmologist tomorrow
but need some advice from you guys.
8 months back she had a superficial
parotidectomy on her right side. Surgeon used a
local anaesthetic as she was having asthma.
Please let me know what could be the
issue or atleast questions i need to ask the
ophthalmologist.</t>
        </is>
      </c>
      <c r="D754" t="n">
        <v>1</v>
      </c>
      <c r="E754" t="n">
        <v>6</v>
      </c>
      <c r="F754">
        <f>HYPERLINK("https://www.reddit.com/r/eyetriage/comments/cxekxq/medical_advise_needed/")</f>
        <v/>
      </c>
      <c r="G754" t="inlineStr">
        <is>
          <t>2019-08-30 02:33:53</t>
        </is>
      </c>
      <c r="H754" t="inlineStr"/>
    </row>
    <row r="755">
      <c r="A755" t="inlineStr">
        <is>
          <t>cxevuc</t>
        </is>
      </c>
      <c r="B755" t="inlineStr">
        <is>
          <t>Scratched my eyes.</t>
        </is>
      </c>
      <c r="C755" t="inlineStr">
        <is>
          <t>I scratched my eyes 5 years ago with a towel and it left red lines in my eyes. I have been trying eye drops and nothing ever gets rid of them. The opthamologist didn't really say anything about them either. I thought that time would heal them but it looks like they are damaged forever. Is there anything I can do?</t>
        </is>
      </c>
      <c r="D755" t="n">
        <v>1</v>
      </c>
      <c r="E755" t="n">
        <v>9</v>
      </c>
      <c r="F755">
        <f>HYPERLINK("https://www.reddit.com/r/eyetriage/comments/cxevuc/scratched_my_eyes/")</f>
        <v/>
      </c>
      <c r="G755" t="inlineStr">
        <is>
          <t>2019-08-30 03:09:31</t>
        </is>
      </c>
      <c r="H755" t="inlineStr"/>
    </row>
    <row r="756">
      <c r="A756" t="inlineStr">
        <is>
          <t>cxlvah</t>
        </is>
      </c>
      <c r="B756" t="inlineStr">
        <is>
          <t>Is there a reason that putting water on my (external) eyelids makes some eyes feel better?</t>
        </is>
      </c>
      <c r="C756" t="inlineStr">
        <is>
          <t>Even in the absence of eyelid problem.</t>
        </is>
      </c>
      <c r="D756" t="n">
        <v>2</v>
      </c>
      <c r="E756" t="n">
        <v>3</v>
      </c>
      <c r="F756">
        <f>HYPERLINK("https://www.reddit.com/r/eyetriage/comments/cxlvah/is_there_a_reason_that_putting_water_on_my/")</f>
        <v/>
      </c>
      <c r="G756" t="inlineStr">
        <is>
          <t>2019-08-30 12:44:11</t>
        </is>
      </c>
      <c r="H756" t="inlineStr"/>
    </row>
    <row r="757">
      <c r="A757" t="inlineStr">
        <is>
          <t>cxpd1t</t>
        </is>
      </c>
      <c r="B757" t="inlineStr">
        <is>
          <t>PVD or possible retinal detachment?</t>
        </is>
      </c>
      <c r="C757" t="inlineStr">
        <is>
          <t>Since January I've had an increase in floaters, but no curtains coming over my vision or anything. When I went to the eye doctor and they dilated my eyes they did not see a retinal tear or anything of concern. But lately I've been noticing more floaters, especially one little annoying dot and some little flashes of light when looking at a white surface or the sky, but no camera flash level flashes. I think I had one big flash today at work, and I just feel paranoid and scared. Should I make another appointment with the eye doctor? Is this no concern?</t>
        </is>
      </c>
      <c r="D757" t="n">
        <v>1</v>
      </c>
      <c r="E757" t="n">
        <v>12</v>
      </c>
      <c r="F757">
        <f>HYPERLINK("https://www.reddit.com/r/eyetriage/comments/cxpd1t/pvd_or_possible_retinal_detachment/")</f>
        <v/>
      </c>
      <c r="G757" t="inlineStr">
        <is>
          <t>2019-08-30 17:34:12</t>
        </is>
      </c>
      <c r="H757" t="inlineStr"/>
    </row>
    <row r="758">
      <c r="A758" t="inlineStr">
        <is>
          <t>cxr5gy</t>
        </is>
      </c>
      <c r="B758" t="inlineStr">
        <is>
          <t>Given eyedrops for a slight corneal abrasion and when I use them I can taste it and it’s horrible making me nauseous, anything I can do to prevent me from tasting the eyedrops?</t>
        </is>
      </c>
      <c r="C758" t="inlineStr">
        <is>
          <t>I tried drinking something with lots of flavor and doesn’t work because once I stop I can taste the eyedrops again and it’s disgusting 🤢😖 it usually lasts like 30 minutes before it goes away and it wouldn’t be so bad if it didn’t make me nauseous from it. I literally just use one single drop in my right eye at a time so idk why I can taste it so bad help!</t>
        </is>
      </c>
      <c r="D758" t="n">
        <v>2</v>
      </c>
      <c r="E758" t="n">
        <v>2</v>
      </c>
      <c r="F758">
        <f>HYPERLINK("https://www.reddit.com/r/eyetriage/comments/cxr5gy/given_eyedrops_for_a_slight_corneal_abrasion_and/")</f>
        <v/>
      </c>
      <c r="G758" t="inlineStr">
        <is>
          <t>2019-08-30 20:30:06</t>
        </is>
      </c>
      <c r="H758" t="inlineStr"/>
    </row>
    <row r="759">
      <c r="A759" t="inlineStr">
        <is>
          <t>cxz951</t>
        </is>
      </c>
      <c r="B759" t="inlineStr">
        <is>
          <t>Retina Tears Post Laser Treatment Questions!!</t>
        </is>
      </c>
      <c r="C759" t="inlineStr">
        <is>
          <t>Got hit in the eye pretty hard a week ago.  Saw incredible amount of floaters and arc flashes in my right eye that night.  Scheduled appointment with optometrist about 24 hours later and he said nothing was wrong with retina.  Symptoms continued and got referred to retina specialist yesterday.   They called me in immediately and found 3 small tears, did laser treatment 30 minutes later.  
Anyone go through this?  Doc was confident treatment went very well.  Doc said flashes and floaters will go away eventually but not right away.  It’s been 30 hours since surgery and it’s still slightly blurry in my eye.  Would appreciate anyone to chime in with their stories.  Hoping I can return to 90% normal at least in a few weeks....</t>
        </is>
      </c>
      <c r="D759" t="n">
        <v>1</v>
      </c>
      <c r="E759" t="n">
        <v>5</v>
      </c>
      <c r="F759">
        <f>HYPERLINK("https://www.reddit.com/r/eyetriage/comments/cxz951/retina_tears_post_laser_treatment_questions/")</f>
        <v/>
      </c>
      <c r="G759" t="inlineStr">
        <is>
          <t>2019-08-31 11:56:42</t>
        </is>
      </c>
      <c r="H759" t="inlineStr"/>
    </row>
    <row r="760">
      <c r="A760" t="inlineStr">
        <is>
          <t>cyehqq</t>
        </is>
      </c>
      <c r="B760" t="inlineStr">
        <is>
          <t>19 Year old with eye problems</t>
        </is>
      </c>
      <c r="C760" t="inlineStr">
        <is>
          <t>Hi, I am 19 years old and I have been wearing glasses since third grade. My current prescription is -4.75 myopia and -2.0 astigmatism which was -1.5 3 months ago and nowadays I see distances little blurry and I don't have the luxury to visit an ophthalmologist often due to my family being cheap. I've started to use eye lubricant just in case I have eye dryness ( feels like I have especially after waking up) I have Systane and Tears Naturale II which one should I use? And Yes I feel guilty every time I use them because they have BAK and BAK is an ocular toxic :/ but I am not sure if they're effective in terms of my blur problem sometimes they make me see clear and sometimes they do not. I am worried of my myopia progression I can't imagine my eyes when I get old I don't want retinal detachment etc :( also another new problem caused my eye-anxiety to go up which is floaters and visual snow there was always floaters but never as this frequent and I've never had visual snow before and I can't see the blue of sky normal now. I know there is no treatment of visual snow yet but Is there anything that I can do to decrease visual snows? Should I take lutein maybe that can help? or to slow down my myopia progression? How easy is it to detach your retina? Should I be worried when I do push-ups?
Sorry If this ranty type of writing was hard to read</t>
        </is>
      </c>
      <c r="D760" t="n">
        <v>2</v>
      </c>
      <c r="E760" t="n">
        <v>9</v>
      </c>
      <c r="F760">
        <f>HYPERLINK("https://www.reddit.com/r/eyetriage/comments/cyehqq/19_year_old_with_eye_problems/")</f>
        <v/>
      </c>
      <c r="G760" t="inlineStr">
        <is>
          <t>2019-09-01 12:39:12</t>
        </is>
      </c>
      <c r="H760" t="inlineStr"/>
    </row>
    <row r="761">
      <c r="A761" t="inlineStr">
        <is>
          <t>cyp68v</t>
        </is>
      </c>
      <c r="B761" t="inlineStr">
        <is>
          <t>Will I get a cataract from a vitrectomy and scleral buckle?</t>
        </is>
      </c>
      <c r="C761" t="inlineStr">
        <is>
          <t>So, I had a vitrectomy and scleral buckle in late 2016 for a detatched retina, and had the buckle taken out 6 months later because it broke. Everything seems stable now, good news!
I've posted and read a few times on here that its pretty likely I'm going to get a cataract. What symptoms do I need to look for, or will going to the opticians once a year be enough? 
Its been nearly 3 years now with no sign of one, so *is it* going to happen at all, whilst i'm young?
Thank you in advance anyone that can answer me :)</t>
        </is>
      </c>
      <c r="D761" t="n">
        <v>3</v>
      </c>
      <c r="E761" t="n">
        <v>3</v>
      </c>
      <c r="F761">
        <f>HYPERLINK("https://www.reddit.com/r/eyetriage/comments/cyp68v/will_i_get_a_cataract_from_a_vitrectomy_and/")</f>
        <v/>
      </c>
      <c r="G761" t="inlineStr">
        <is>
          <t>2019-09-02 06:47:02</t>
        </is>
      </c>
      <c r="H761" t="inlineStr"/>
    </row>
    <row r="762">
      <c r="A762" t="inlineStr">
        <is>
          <t>cyv60z</t>
        </is>
      </c>
      <c r="B762" t="inlineStr">
        <is>
          <t>I noticed about 5 minutes into my shower that I had my contacts in—I immediately took them out with my wet hands. Should I now be worried about the Acanthamoeba parasite?</t>
        </is>
      </c>
      <c r="C762" t="inlineStr">
        <is>
          <t>Thanks</t>
        </is>
      </c>
      <c r="D762" t="n">
        <v>3</v>
      </c>
      <c r="E762" t="n">
        <v>9</v>
      </c>
      <c r="F762">
        <f>HYPERLINK("https://www.reddit.com/r/eyetriage/comments/cyv60z/i_noticed_about_5_minutes_into_my_shower_that_i/")</f>
        <v/>
      </c>
      <c r="G762" t="inlineStr">
        <is>
          <t>2019-09-02 14:15:00</t>
        </is>
      </c>
      <c r="H762" t="inlineStr"/>
    </row>
    <row r="763">
      <c r="A763" t="inlineStr">
        <is>
          <t>czir52</t>
        </is>
      </c>
      <c r="B763" t="inlineStr">
        <is>
          <t>Eye pain when looking at the screen for more than 10 minutes</t>
        </is>
      </c>
      <c r="C763" t="inlineStr">
        <is>
          <t>For about 3 months I’ve been experiencing pain in the corner of the right eye at the side of the nose. It happens only when I’m looking at the monitor screen for more than 10 minutes. There’s no swelling or redness. It’s a usual type of pain — as if it were injured. The pain is enough to keep me from continuing looking at the screen. I had a short exam with an eye doctor and she says that I have mild inflammation but doesn’t know what’s the cause of the pain in the corner of the eye. After a week of taking drops of corticosteroids with antibiotics, there is no change.
Help.</t>
        </is>
      </c>
      <c r="D763" t="n">
        <v>2</v>
      </c>
      <c r="E763" t="n">
        <v>8</v>
      </c>
      <c r="F763">
        <f>HYPERLINK("https://www.reddit.com/r/eyetriage/comments/czir52/eye_pain_when_looking_at_the_screen_for_more_than/")</f>
        <v/>
      </c>
      <c r="G763" t="inlineStr">
        <is>
          <t>2019-09-04 02:58:19</t>
        </is>
      </c>
      <c r="H763" t="inlineStr"/>
    </row>
    <row r="764">
      <c r="A764" t="inlineStr">
        <is>
          <t>czsp4m</t>
        </is>
      </c>
      <c r="B764" t="inlineStr">
        <is>
          <t>Can’t see up close with glasses/contact lenses</t>
        </is>
      </c>
      <c r="C764" t="inlineStr">
        <is>
          <t>I’m nearsighted so I have to wear glasses. I’ve been wearing glasses for about a year now, but I don’t wear them all the time even though I should. I only wear them to see the board in class and I take them off to read and write because I can’t see up close with them. I can see things fine up close with out the glasses, but when I put them on I have to “flex” my eyes. If I put a book 3 inches away from my face while wearing glasses I literally cannot see a single thing no matter how hard I “flex” and it hurts my eyes. If I put a book 6 inches away from my face I can read it if I “flex” but not when my eyes are relaxed. This wasn’t really a problem because I could just take my glasses on and off during class, but now I have contact lenses and I can’t do that (I still have the same problem with the contact lenses). I’m starting school tomorrow and this is going to be really annoying. 
Anyways, is this normal? Will it get better if I continuously wear my contacts or do I just have to live with it? 
Also: I’m 15 so I don’t think it has to do with age/ when I “zone out” and don’t focus on something, my left eye travels to the side. I’m not cross eyed though</t>
        </is>
      </c>
      <c r="D764" t="n">
        <v>3</v>
      </c>
      <c r="E764" t="n">
        <v>2</v>
      </c>
      <c r="F764">
        <f>HYPERLINK("https://www.reddit.com/r/eyetriage/comments/czsp4m/cant_see_up_close_with_glassescontact_lenses/")</f>
        <v/>
      </c>
      <c r="G764" t="inlineStr">
        <is>
          <t>2019-09-04 16:33:31</t>
        </is>
      </c>
      <c r="H764" t="inlineStr"/>
    </row>
    <row r="765">
      <c r="A765" t="inlineStr">
        <is>
          <t>cztsyh</t>
        </is>
      </c>
      <c r="B765" t="inlineStr">
        <is>
          <t>Given dilation drops early in eye exam and questioning if that was right. Please advise.</t>
        </is>
      </c>
      <c r="C765" t="inlineStr">
        <is>
          <t>I had an eye exam today, and for the first time I was given dilation drops before the acuity testing (the is A better than B, does 1 or 2 look sharper, and so forth). The drops were put in, and I sat for about a half hour while they took effect before the doctor came in to see me. This didn't seem right, and I should have questioned it but I didn't. She did the acuity testing, though it seemed a quicker than it's ever been with fewer readings. Then she used the super-bright light to look into my eyes, and I was a little surprised that she was done already.
To further add to my skepticism that it was done right, she said my prescription got a little better and wouldn't be quite as strong. I'm 53M and have worn glasses for 40 years, bifocals for the last 8 years, and every time I've renewed every year or two so far the prescription has had to be bumped up a bit, not down.
This was my first time to this center, because for the first time in my life I have a job with vision coverage. The exam was fully covered, but the premium prices in their optician's section were double what I'd previously paid at Walmart two years ago even with the insurance deductions. So I got my prescription to go and be filled elsewhere. I will put the numbers here from this prescription and my previous. Today the numbers were:
OD: Sphere -7.75, Cylinder +2.00, Axis 106, Add +2.25, Nothing in Prism or Base
OD: Sphere -8.50, Cylinder +1.75, Axis 082, Add +2.25, Nothing in Prism or Base
In January 2017 my numbers were:
OD: Sphere -5.50, Cylinder -2.25, Axis 015, Prism 1/2, Base Down
OS: Sphere -6.50, Cylinder -2.25, Axis 173, Nothing in Prism or Base
Please provide an opinion - should I write off today's exam and just get a new one or trust this new prescription and have glasses made from it at a reasonably-priced place?</t>
        </is>
      </c>
      <c r="D765" t="n">
        <v>1</v>
      </c>
      <c r="E765" t="n">
        <v>2</v>
      </c>
      <c r="F765">
        <f>HYPERLINK("https://www.reddit.com/r/eyetriage/comments/cztsyh/given_dilation_drops_early_in_eye_exam_and/")</f>
        <v/>
      </c>
      <c r="G765" t="inlineStr">
        <is>
          <t>2019-09-04 18:05:55</t>
        </is>
      </c>
      <c r="H765" t="inlineStr"/>
    </row>
    <row r="766">
      <c r="A766" t="inlineStr">
        <is>
          <t>d0clg4</t>
        </is>
      </c>
      <c r="B766" t="inlineStr">
        <is>
          <t>Thick Corneas and Glaucoma</t>
        </is>
      </c>
      <c r="C766" t="inlineStr">
        <is>
          <t>I recently saw an Ophthalmologist after an Optometrist noticed bilateral RNFL thinning and noted a cup/disc ratio of 0.50 on my report.
My pressures were 21 in each eye, but corneal thickness was 611 in one eye and 606 in the other. I’m told this thickness gives a false high reading?
My ophthalmologist noted the thinning was minor and believes what is being picked up on is natural variation. I had an x-Ray of each eye. He showed me a “pie chart” picture for each eye, there were two red segments at the top of each chart. He said the fact it’s the same in each eye is also indication it’s not glaucoma?
I am seeing him again in 6 months to be sure.
Is anyone able to further explain what is going on? Does anyone have more information about variations in RNFL thickness in absence of glaucoma?
Lastly, is there anything I can do to prevent glaucoma from developing in the future?
Any comments or suggestions appreciated!</t>
        </is>
      </c>
      <c r="D766" t="n">
        <v>3</v>
      </c>
      <c r="E766" t="n">
        <v>5</v>
      </c>
      <c r="F766">
        <f>HYPERLINK("https://www.reddit.com/r/eyetriage/comments/d0clg4/thick_corneas_and_glaucoma/")</f>
        <v/>
      </c>
      <c r="G766" t="inlineStr">
        <is>
          <t>2019-09-05 22:50:02</t>
        </is>
      </c>
      <c r="H766" t="inlineStr"/>
    </row>
    <row r="767">
      <c r="A767" t="inlineStr">
        <is>
          <t>d14fn9</t>
        </is>
      </c>
      <c r="B767" t="inlineStr">
        <is>
          <t>Managing Severe Double Vision (30 diopters)</t>
        </is>
      </c>
      <c r="C767" t="inlineStr">
        <is>
          <t>So I am getting a surgery done to  fix this but it's gonna be in 8 months times so until then I have to figure something out.
The main concern is my first job that I am going to start in a few weeks (the jobs going to be  like 70  hours/week  of writing code but it pays over 6  figures so I don't want to give it up plus I have already delayed it as much as I could)
I have been living with double vision for about 6 months already but haven't found a way to manage it to  the extent that I will need to for a programming job. My current way of getting any reading done is to take my glasses off (this  helps  tremendously) and then bringing the object like just inches from my face (at this distance I see one image and can work with it). If its something like a movie, I will wear my glasses and simply keep one eye closed (but this gets pretty painful after an hour even with alternating eyes). I tried  eye patches(this is what the  surgeon told me)  but  then my eyes start  trying to merge the black of the patch with whatever my other eyes looking at,  also  I  really do not like wearing the eye patch in front of other people.  
&amp;amp;#x200B;
So I was wondering if there are any other options for me or if I just need to tough it out with a pirate eye  patch  for  8  months. I have been trying to use my laptop instead of my phone recently  to get myself accustomed to the job environment but I end up taking my glasses  off and  leaning super close to the laptop and the horrible posture resultant of that is giving me terrible lower back aches.
&amp;amp;#x200B;
Feel pretty stuck,  would appreciate any pointers</t>
        </is>
      </c>
      <c r="D767" t="n">
        <v>2</v>
      </c>
      <c r="E767" t="n">
        <v>27</v>
      </c>
      <c r="F767">
        <f>HYPERLINK("https://www.reddit.com/r/eyetriage/comments/d14fn9/managing_severe_double_vision_30_diopters/")</f>
        <v/>
      </c>
      <c r="G767" t="inlineStr">
        <is>
          <t>2019-09-07 18:05:13</t>
        </is>
      </c>
      <c r="H767" t="inlineStr"/>
    </row>
    <row r="768">
      <c r="A768" t="inlineStr">
        <is>
          <t>d1522u</t>
        </is>
      </c>
      <c r="B768" t="inlineStr">
        <is>
          <t>Surgery for Pediatric case of Alternating Esotropia (40 - 50 prism diopters)</t>
        </is>
      </c>
      <c r="C768" t="inlineStr">
        <is>
          <t>I posted last week asking for advice for my daughter ([Pediatric strabismus surgery vs therapy](https://www.reddit.com/r/eyetriage/comments/cx8pa3/pediatric_strabismus_surgery_vs_therapy/)) and got so many great replies - thank you! Since then we went for a second opinion from another ophthalmologist just to confirm the diagnosis, which he did. So we're definitely proceeding with surgery, scheduled for later this month, but I have some questions.
Brief summary: daughter, 28 months, diagnosed with alternating esotropia and farsightedness (+2.5) in both eyes equally, prescribed glasses which she wore (and still wears) full time for three months. Eyes still crossing at 40 or 50 pd.
We decided to have the second-opinion Dr. perform the surgery, because he's at Children's Hospital, and has a lot more pediatric experience (as will the anesthesiologist). My concern is whether the Dr. has enough information to perform the surgery? They did not dilate her eyes during the exam. What kind of measurements would you expect to need in order to straighten out the eyes? I would think it would have to be pretty darn precise? He did mention something about "maxing out" the surgery due to her extreme PD, that anything above 40 is basically the max. Is that why they don't need more precise measurements, or should I expect them to take more measurements before cutting? 
Paranoid mom here, thanks in advance for any advice!</t>
        </is>
      </c>
      <c r="D768" t="n">
        <v>1</v>
      </c>
      <c r="E768" t="n">
        <v>0</v>
      </c>
      <c r="F768">
        <f>HYPERLINK("https://www.reddit.com/r/eyetriage/comments/d1522u/surgery_for_pediatric_case_of_alternating/")</f>
        <v/>
      </c>
      <c r="G768" t="inlineStr">
        <is>
          <t>2019-09-07 19:04:13</t>
        </is>
      </c>
      <c r="H768" t="inlineStr"/>
    </row>
    <row r="769">
      <c r="A769" t="inlineStr">
        <is>
          <t>d1b3q4</t>
        </is>
      </c>
      <c r="B769" t="inlineStr">
        <is>
          <t>Possible corneal abrasion?</t>
        </is>
      </c>
      <c r="C769" t="inlineStr">
        <is>
          <t>While taking out my contacts I poked/scratched my eyes. I woke up with only a slight discomfort and eye looks fine (no tearing, no redness, no feeling of foreign sensation). I just moved for grad school but would it be worth it to still try to hunt down an eye doctor?</t>
        </is>
      </c>
      <c r="D769" t="n">
        <v>2</v>
      </c>
      <c r="E769" t="n">
        <v>3</v>
      </c>
      <c r="F769">
        <f>HYPERLINK("https://www.reddit.com/r/eyetriage/comments/d1b3q4/possible_corneal_abrasion/")</f>
        <v/>
      </c>
      <c r="G769" t="inlineStr">
        <is>
          <t>2019-09-08 06:48:04</t>
        </is>
      </c>
      <c r="H769" t="inlineStr"/>
    </row>
    <row r="770">
      <c r="A770" t="inlineStr">
        <is>
          <t>d1g1bh</t>
        </is>
      </c>
      <c r="B770" t="inlineStr">
        <is>
          <t>Good quality omega 3 / fish / krill oil supplement for severe dry eyes, fatigue, and pain?</t>
        </is>
      </c>
      <c r="C770" t="inlineStr">
        <is>
          <t>What are the most trusted and recommended brands? Thank you. Already using the Omega 3 Refresh eye drops, but need a good supplement as well and get anxiety about buying junk.</t>
        </is>
      </c>
      <c r="D770" t="n">
        <v>0</v>
      </c>
      <c r="E770" t="n">
        <v>5</v>
      </c>
      <c r="F770">
        <f>HYPERLINK("https://www.reddit.com/r/eyetriage/comments/d1g1bh/good_quality_omega_3_fish_krill_oil_supplement/")</f>
        <v/>
      </c>
      <c r="G770" t="inlineStr">
        <is>
          <t>2019-09-08 12:59:38</t>
        </is>
      </c>
      <c r="H770" t="inlineStr"/>
    </row>
    <row r="771">
      <c r="A771" t="inlineStr">
        <is>
          <t>d1joz8</t>
        </is>
      </c>
      <c r="B771" t="inlineStr">
        <is>
          <t>Muscle around eye twitching</t>
        </is>
      </c>
      <c r="C771" t="inlineStr">
        <is>
          <t>This has been going on since April. It started with an unusual sensation in my upper left eyelid and has progressed to the muscles under my left eye and in my face. They will not stop quivering and it is very noticeable to those around me. I did get a break for a couple of week but now its back and I am starting to notice some slight quivering in my right eye but it's not yet noticeable to anyone but me. I have muscle fasiculations all over my body daily and I am wondering if it could be related to that. I do not drink caffeine so that can't be the cause. 
Should I see an eye doctor for this?</t>
        </is>
      </c>
      <c r="D771" t="n">
        <v>1</v>
      </c>
      <c r="E771" t="n">
        <v>1</v>
      </c>
      <c r="F771">
        <f>HYPERLINK("https://www.reddit.com/r/eyetriage/comments/d1joz8/muscle_around_eye_twitching/")</f>
        <v/>
      </c>
      <c r="G771" t="inlineStr">
        <is>
          <t>2019-09-08 17:54:14</t>
        </is>
      </c>
      <c r="H771" t="inlineStr"/>
    </row>
    <row r="772">
      <c r="A772" t="inlineStr">
        <is>
          <t>d1julb</t>
        </is>
      </c>
      <c r="B772" t="inlineStr">
        <is>
          <t>Can a Ultrasound for the Eyes help find a Endocrine Orbitopathy (Eye Inflammation)?</t>
        </is>
      </c>
      <c r="C772" t="inlineStr">
        <is>
          <t>My eyes are inflamed because they are slightly bulging outside and i have very dry eyes because of it and very often red eyes.
Also pain behind my eyes and headaches.
I did an mri when it was only a mild problem so they told me it looked alright then.
I resantly did an thyroid ultrasound wich looked normal and from last year to this summer i did like 3 bloodworks wich where also normal.
They looked a couple times true my eyes but never behind my eyes. Well im not an expert so thats why im asking if a ultrasound could be helpfull to find inflamed eye muscles or not.
My guess for my eyes bulging is that eather my muscles are larger because inflamed or at the same time i have more fat tissues behind my eyes because of my constant eye inflammation.
I struggle to get a diagnose because they did all these tests but couldnt see anything. Only thing they diagnosed me with was the dry eyes but they told me its not related to my bulging eyes because they didnt believe me that they changed even doe my friends seen my changes :/</t>
        </is>
      </c>
      <c r="D772" t="n">
        <v>1</v>
      </c>
      <c r="E772" t="n">
        <v>5</v>
      </c>
      <c r="F772">
        <f>HYPERLINK("https://www.reddit.com/r/eyetriage/comments/d1julb/can_a_ultrasound_for_the_eyes_help_find_a/")</f>
        <v/>
      </c>
      <c r="G772" t="inlineStr">
        <is>
          <t>2019-09-08 18:08:04</t>
        </is>
      </c>
      <c r="H772" t="inlineStr"/>
    </row>
    <row r="773">
      <c r="A773" t="inlineStr">
        <is>
          <t>d1uimw</t>
        </is>
      </c>
      <c r="B773" t="inlineStr">
        <is>
          <t>My eyelid is a bit red and puffy and crusty on the outer corner do I have a stye or something?</t>
        </is>
      </c>
      <c r="C773" t="inlineStr">
        <is>
          <t>How can I get rid of it? Do I need prescription drops or can I do something over the counter? I really would like this gone by the weekend as it’s my birthday and I don’t wanna have a stye red eye on my birthday</t>
        </is>
      </c>
      <c r="D773" t="n">
        <v>1</v>
      </c>
      <c r="E773" t="n">
        <v>1</v>
      </c>
      <c r="F773">
        <f>HYPERLINK("https://www.reddit.com/r/eyetriage/comments/d1uimw/my_eyelid_is_a_bit_red_and_puffy_and_crusty_on/")</f>
        <v/>
      </c>
      <c r="G773" t="inlineStr">
        <is>
          <t>2019-09-09 11:03:38</t>
        </is>
      </c>
      <c r="H773" t="inlineStr"/>
    </row>
    <row r="774">
      <c r="A774" t="inlineStr">
        <is>
          <t>d1uuw1</t>
        </is>
      </c>
      <c r="B774" t="inlineStr">
        <is>
          <t>Day 5 post Vitrectomy with Buckle and N2O gas - when should i expect some meaningful return of vision?</t>
        </is>
      </c>
      <c r="C774" t="inlineStr">
        <is>
          <t>I'm a 45yo male who went in for a blurry spot and floaters.  One failed laser attempt (the vitreal gel was pushing through the scar) and 2 days later I went under the knife for a Vitrectomy.  On 1 day visit, I could see light and blur and nothing else.  Now it's day 5 and there's no noticeable change in vision in that eye.  I know it can take months for the bubble to completely dissipate, but when can I expect (on average) some meaningful vision to come back?  My doctor was pretty vague on the subject and it's kind of freaking me out!  
tia</t>
        </is>
      </c>
      <c r="D774" t="n">
        <v>2</v>
      </c>
      <c r="E774" t="n">
        <v>4</v>
      </c>
      <c r="F774">
        <f>HYPERLINK("https://www.reddit.com/r/eyetriage/comments/d1uuw1/day_5_post_vitrectomy_with_buckle_and_n2o_gas/")</f>
        <v/>
      </c>
      <c r="G774" t="inlineStr">
        <is>
          <t>2019-09-09 11:27:27</t>
        </is>
      </c>
      <c r="H774" t="inlineStr"/>
    </row>
    <row r="775">
      <c r="A775" t="inlineStr">
        <is>
          <t>d21ppw</t>
        </is>
      </c>
      <c r="B775" t="inlineStr">
        <is>
          <t>Blocked tear ducts for 3 months</t>
        </is>
      </c>
      <c r="C775" t="inlineStr">
        <is>
          <t>I've got an appointment with the eye hospital next month, but in the mean time is there anything else I can do to reduce or totally get rid of symptoms?
I have no obvious symptoms other than discomfort, probably dry eyes as well. When I use a hot compress and drain my eyes of the tears I have incredible relief. Before that though, my eyes are really uncomfortable.
I drain my eyes once a day, sometimes twice. Still, the blocked tear ducts don't go. Is there anything else I could do?</t>
        </is>
      </c>
      <c r="D775" t="n">
        <v>2</v>
      </c>
      <c r="E775" t="n">
        <v>0</v>
      </c>
      <c r="F775">
        <f>HYPERLINK("https://www.reddit.com/r/eyetriage/comments/d21ppw/blocked_tear_ducts_for_3_months/")</f>
        <v/>
      </c>
      <c r="G775" t="inlineStr">
        <is>
          <t>2019-09-09 20:00:09</t>
        </is>
      </c>
      <c r="H775" t="inlineStr"/>
    </row>
    <row r="776">
      <c r="A776" t="inlineStr">
        <is>
          <t>d2cpor</t>
        </is>
      </c>
      <c r="B776" t="inlineStr">
        <is>
          <t>Is this appointment soon enough?</t>
        </is>
      </c>
      <c r="C776" t="inlineStr">
        <is>
          <t>Yesterday I went to my eye doctor,  she did a test where she looked at my retina, and noted a very small hole in the back of my retina. I have no symptoms, no floaters, flashes, blind spots. The only thing I have is every so often (I mean maybe once a month) since I was around 13 (Am 28 now) I have a hard time seeing in the dark through that eye. I've asked doctors about that before but they always wrote it off as nothing, this was the first doctor to "dig deeper". Anyway, she sent me to a specialist, and he can see me one week from today to determine if it's a problem. Is it ok to wait that long if I'm having zero symptoms or problems? Or should I call around and try to be seen tomorrow?</t>
        </is>
      </c>
      <c r="D776" t="n">
        <v>1</v>
      </c>
      <c r="E776" t="n">
        <v>7</v>
      </c>
      <c r="F776">
        <f>HYPERLINK("https://www.reddit.com/r/eyetriage/comments/d2cpor/is_this_appointment_soon_enough/")</f>
        <v/>
      </c>
      <c r="G776" t="inlineStr">
        <is>
          <t>2019-09-10 12:16:00</t>
        </is>
      </c>
      <c r="H776" t="inlineStr"/>
    </row>
    <row r="777">
      <c r="A777" t="inlineStr">
        <is>
          <t>d2d6fj</t>
        </is>
      </c>
      <c r="B777" t="inlineStr">
        <is>
          <t>Weird black spot in center of vision appears and disappears when I move my eye around</t>
        </is>
      </c>
      <c r="C777" t="inlineStr">
        <is>
          <t>So sometimes when I look around, I see a little black spot in my vision that stays there for like half a second and then disappears. Occasionally it will stay there, but usually it goes away instantly. If I blink really fast, I can also see it. What’s going on?</t>
        </is>
      </c>
      <c r="D777" t="n">
        <v>3</v>
      </c>
      <c r="E777" t="n">
        <v>8</v>
      </c>
      <c r="F777">
        <f>HYPERLINK("https://www.reddit.com/r/eyetriage/comments/d2d6fj/weird_black_spot_in_center_of_vision_appears_and/")</f>
        <v/>
      </c>
      <c r="G777" t="inlineStr">
        <is>
          <t>2019-09-10 12:44:45</t>
        </is>
      </c>
      <c r="H777" t="inlineStr"/>
    </row>
    <row r="778">
      <c r="A778" t="inlineStr">
        <is>
          <t>d2km8h</t>
        </is>
      </c>
      <c r="B778" t="inlineStr">
        <is>
          <t>How well should your non-dominant eye see? Are dark spots normal?</t>
        </is>
      </c>
      <c r="C778" t="inlineStr">
        <is>
          <t>Is it normal for your non-dominant eye to have dark spots when your dominant eye is closed?  For example, the Amsler grid looks fine momentarily, but then quickly the center turns to black and many other parts of my vision do as well (which happens pretty much anytime I focus on one spot with my dominant eye closed).  If I blink, it will mostly return for a short time, then progressively get worse again.  It's possible to read but very difficult.  My eye focuses just just fine, but dark spots and what i'm trying to look at kind of melt together in a very unpleasant way.
I don't experience this if both my eyes are open.  I also don't experience this when my dominant eye is open and my non-dominant is closed.
&amp;amp;#x200B;
Anyway, I've never known if this is normal for non-dominant eye, but other vision problems I'm having are making me wonder if this is related, so now I'm curious if this is something I should be concerned about. 
Any thoughts and/or confirmation that this is normal would be appreciated.</t>
        </is>
      </c>
      <c r="D778" t="n">
        <v>2</v>
      </c>
      <c r="E778" t="n">
        <v>4</v>
      </c>
      <c r="F778">
        <f>HYPERLINK("https://www.reddit.com/r/eyetriage/comments/d2km8h/how_well_should_your_nondominant_eye_see_are_dark/")</f>
        <v/>
      </c>
      <c r="G778" t="inlineStr">
        <is>
          <t>2019-09-10 21:30:52</t>
        </is>
      </c>
      <c r="H778" t="inlineStr"/>
    </row>
    <row r="779">
      <c r="A779" t="inlineStr">
        <is>
          <t>d2xt98</t>
        </is>
      </c>
      <c r="B779" t="inlineStr">
        <is>
          <t>Eye pain, the reason of which could not be figured out by over fifteen doctors</t>
        </is>
      </c>
      <c r="C779" t="inlineStr">
        <is>
          <t>I am asking for help with a serious problem, that I haven’t been able to solve for more than three years. Even small effort makes my eyes hurt, so I almost can't read nor use any electronic devices. This state progresses with time. In the last year I have been having severe headaches every time I overuse my eyes. Now eyes are so strained, that I almost always have a headache. It's difficult to look in general, such as when driving, doing shopping, talking to people.
I exactly remember, when the problem began. I overloaded my eyes preparing for a test. Ever since then they are always strained (feeling like the eye muscles are cramping, or like if something is squeezing my eyes). Even smallest effort causes dull pain at the back of my eyes. If I continue to strain them the pain becomes sharp.
During this time over fifteen different doctors (ophthalmologists, neurologist, neuroophtalmologist, otolaryngologist, optometryst) examined my eyes and haven’t found any problems. Besides several eye exams I had brain MRI, blood test for leucocyte, vitamin D and thyroids, CT of sinuses. The only problem they have found is mild convergence insufficiency but it can not cause such severe symptoms.
I tried treating convergence insufficiency. I was doing some exercises (using brock string and some mechanized equipment). Also tried a few kinds of glasses (with prism and also Neurolense technology). Nothing helped.
Also I have dry eyes and use eye drops “Restasis”. They help with dryness, but don't eliminate the other symptoms.
If that matters, I was 25 when it started, now I'm 29 years old. I never had eye problems before, and my eye site is normal. But just looking and keeping my eyes open is harder and harder...
Hope for your advice.</t>
        </is>
      </c>
      <c r="D779" t="n">
        <v>3</v>
      </c>
      <c r="E779" t="n">
        <v>21</v>
      </c>
      <c r="F779">
        <f>HYPERLINK("https://www.reddit.com/r/eyetriage/comments/d2xt98/eye_pain_the_reason_of_which_could_not_be_figured/")</f>
        <v/>
      </c>
      <c r="G779" t="inlineStr">
        <is>
          <t>2019-09-11 15:01:24</t>
        </is>
      </c>
      <c r="H779" t="inlineStr"/>
    </row>
    <row r="780">
      <c r="A780" t="inlineStr">
        <is>
          <t>d35vgo</t>
        </is>
      </c>
      <c r="B780" t="inlineStr">
        <is>
          <t>Blurred vision despite several rechecks and adjustments to my glasses prescription.</t>
        </is>
      </c>
      <c r="C780" t="inlineStr">
        <is>
          <t>Dear All,
I have been struggling with blurred vision for over a year. 
At first, I was struggling to see text at a distance. I visited the optician who performed an eye test. He saw the prescription, which had a lower spherical power, and did not advise any change to the prescription. 
A few months later, I visited the optician again, this time a different one. The optician advised a prescription change and I ended up buying new glasses from their store. I bought the lenses without any thinning or antireflective coating. I didn't like the glasses because of glare, so I got another pair with the necessary changes. 
However, there was a problem. I was experiencing blurred vision with the new lenses when reading anything, even at arm's length. I visited a doctor who said that this problem was to do with anxiety. Convinced that this was not the case as I was experiencing blurred vision all the time, I visited the doctor again after a few months who advised me to have a recheck. 
So I had a recheck and then had a slight change to my eye prescription. I was still experiencing blurred vision.
I visited the doctor again who referred me to an ophthalmologist and orthoptist. The ophthalmologist did an examination and said that I have lattice degeneration, but this does not cause blurred vision. He told me to go back to the optician and have another recheck, saying that this was due to refractive error. I visited the orthoptist who did not notice any problems with my eye muscles and gave me a few eye exercises which she believed were 'not necessary' but I could practice them. 
I visited the optician again for two rechecks. I was given another change to my prescription and am awaiting my glasses.
All of these changes have been less than a diopter. My old glasses are about a diopter stronger than my new glasses and I see more clearly with them. This is very unusual. 
The stakes are quite high. I barely passed my previous exams and if this keeps going on, this will cost me my career. 
This situation presents the obvious question. How can I resolve my blurred vision?
Many thanks.</t>
        </is>
      </c>
      <c r="D780" t="n">
        <v>3</v>
      </c>
      <c r="E780" t="n">
        <v>25</v>
      </c>
      <c r="F780">
        <f>HYPERLINK("https://www.reddit.com/r/eyetriage/comments/d35vgo/blurred_vision_despite_several_rechecks_and/")</f>
        <v/>
      </c>
      <c r="G780" t="inlineStr">
        <is>
          <t>2019-09-12 03:24:37</t>
        </is>
      </c>
      <c r="H780" t="inlineStr"/>
    </row>
    <row r="781">
      <c r="A781" t="inlineStr">
        <is>
          <t>d36r97</t>
        </is>
      </c>
      <c r="B781" t="inlineStr">
        <is>
          <t>A question about eye removal</t>
        </is>
      </c>
      <c r="C781" t="inlineStr">
        <is>
          <t>I have a cat's eye coloboma in my right eye. When I was a child the optometrist told me I would eventually have to have my eye removed and I have talked to my current dr about this and she says no. The issue is my eye is in constant pain it feels like a needle shoved thru the middle and a throbbing pressure. There is a large mass of scar tissue inside and I can't really see out of it so I want the whole eye gone. Should I just live with it like the doc is saying or am I right to want the whole eye gone and how would I go about doing that.</t>
        </is>
      </c>
      <c r="D781" t="n">
        <v>1</v>
      </c>
      <c r="E781" t="n">
        <v>3</v>
      </c>
      <c r="F781">
        <f>HYPERLINK("https://www.reddit.com/r/eyetriage/comments/d36r97/a_question_about_eye_removal/")</f>
        <v/>
      </c>
      <c r="G781" t="inlineStr">
        <is>
          <t>2019-09-12 04:52:45</t>
        </is>
      </c>
      <c r="H781" t="inlineStr"/>
    </row>
    <row r="782">
      <c r="A782" t="inlineStr">
        <is>
          <t>d389h2</t>
        </is>
      </c>
      <c r="B782" t="inlineStr">
        <is>
          <t>My left eye feels bruised in one specific spot when i blink?</t>
        </is>
      </c>
      <c r="C782" t="inlineStr">
        <is>
          <t>Hello
In the middle of the night, I started getting this sore feeling on the left side of my left eye, it feels like it's a specific point on my eyeball, not the skin or bone around it. ( I will attach a pic to show where specifically). I woke up this morning to look at it and visibly nothing is wrong with it. I don't have any other symptoms like a headache. Medications I've been on are Isotretinoin (Accutane) 40 mg for my skin for about 3.5 months and Yaz birth control for over 6 months now. I've also had a post nasal drip for maybe a year now for which I have been prescribed a steroid nasal spray to take daily, been taking this for about a week now.
I know the best option is to go to a doctor but I have a busy few days and won't have the chance to until Sunday. Also, I have health anxiety so yeah I'm kinda freaking out lol 
Thank you!=)</t>
        </is>
      </c>
      <c r="D782" t="n">
        <v>1</v>
      </c>
      <c r="E782" t="n">
        <v>2</v>
      </c>
      <c r="F782">
        <f>HYPERLINK("https://www.reddit.com/r/eyetriage/comments/d389h2/my_left_eye_feels_bruised_in_one_specific_spot/")</f>
        <v/>
      </c>
      <c r="G782" t="inlineStr">
        <is>
          <t>2019-09-12 06:55:44</t>
        </is>
      </c>
      <c r="H782" t="inlineStr"/>
    </row>
    <row r="783">
      <c r="A783" t="inlineStr">
        <is>
          <t>d3e7mp</t>
        </is>
      </c>
      <c r="B783" t="inlineStr">
        <is>
          <t>Blurry vision in one eye which progressed over the course of weeks, then spontaneous recovery. I would be curious to know if my plan to try and manage it at this point seems best.</t>
        </is>
      </c>
      <c r="C783" t="inlineStr">
        <is>
          <t>I'm a 36-year-old male, in good health, good lifestyle habits. Non-smoker, drink very rarely, eat a good diet. I have no history of issues with my vision until this past month. The most recent eye exam I've had until this last week indicated 20/15 vision in both eyes. 
About one month ago I began to have a vague sense that something was "off" with my vision but at the time that was all I could tell. There seemed to be a slow progression of the issue, and then about 2.5 weeks ago I realized that it was my right eye which was bothering me. When I covered the left eye I had blurriness to my vision, both in looking at objects near and far away. I also noticed a dull pressure in the right eye which was present most of the time and seemed to get slightly worse along with the vision deficit. 
I felt as though there might have been a slight improvement toward the end of last week but nothing major, so I made an appt for an eye exam which was initially scheduled for this Friday. On Sunday I woke up with right-sided facial pain as well as some right eye pain which was less severe, so I called the ophthalmologist's office on Monday and reported this, at which point they said just come in that day for the exam. 
The ophthalmologist indicated that I am slightly far sighted in the right eye, and said that otherwise the exam was unremarkable. He did not see any issues with the optic nerve or blood supply, and gave me a "whimpy" prescription for some lenses (his words not mine, I just liked his wording). He said there would be no risk in not wearing them, but if they'd make my life easier then go ahead and get them. The only other thing I can think of to mention is that I told him the dilating drops caused me pain in the right eye only which seemed to really be noticeable when I was moving the right eye around for that portion of the exam, but he said this was not a concern. I also noticed that the dilation caused a much greater effect in the right eye and that the effects lingered much longer in this eye as well, though I suppose that's also not a concern. 
As of Tuesday I felt like my vision was a lot better, which as I said above seemed to be the general trend even a few days prior. By yesterday I felt as though I had no issues at all, no pressure to speak of either, and as I type this out I cannot tell a difference in either eye at all. 
In terms of any history with eye issues, like I said my vision has always been great. That being said, the facial and right eye pain I had over the weekend has been a sporadic issue for me over the past 3-4 years. It's always on the right side, and usually the right eye will be painful when I get the worst episodes of this issue, and when it hurts the pain is mostly noticeable with lateral or medial movement although there's a sense of it being "raw" if that makes any sense at all. It usually fades away within a number of days, and is sometimes associated with some general fatigue as well though not always. The facial pain seems to always be consistent with the upper 2 branches of my trigeminal nerve (I'm a physical therapist so I'm fairly aware of what's going on with my body, and it seems almost certain that this is my trigeminal nerve). 
In addition to this, if it's relevant at all here's a quick medical history - 
* Parsonage Turner Syndrome, 2014. Left brachial plexus was affected. Paralysis mostly proximal, left shoulder and surrounding musculature. Good recovery which started around the 9-month mark. 
* Tourette Syndrome, onset around age 8-9
* Celiac disease
I sent a message to my PCP letting know about the issues with my vision, results of the exam, and then the spontaneous recovery. I told him that for now I would just not get the glasses because I did not see what that would achieve, especially with the fluctuation in my vision, and that I'd let him know if and when the situation recurs. His response was to let him know if it came back, and that this can often be caused by "eye strain". 
I like my PCP quite a bit but I thought eye strain would be an odd cause of my situation, although maybe I'm way off with that assumption. My left eye had no issues to speak of, and I haven't modified anything in terms of what screens I'm looking at while at work or at home, the lighting conditions, or anything else that I could think of in terms of changes that might lead to spontaneous improvements. The only reason I am just a little apprehensive about the situation is due to what happened when I had Parsonage Turner Syndrome, which is really rare and not something I think any doctor should latch onto as an initial diagnosis, but it took a while for anyone to come around to the fact that it was not a rotator cuff injury as it did not fit in any way with what you would see in a rotator cuff injury both in terms of the presentation or the history. I imagine if things really get worse my PCP will do a great job, but I want to make sure I'm at least somewhat prepared with as much knowledge as possible should I feel like I'm in another scenario with a provider that is convinced that it's a really routine issue despite evidence to the contrary. 
But if it is just eye strain? Fine by me!</t>
        </is>
      </c>
      <c r="D783" t="n">
        <v>1</v>
      </c>
      <c r="E783" t="n">
        <v>4</v>
      </c>
      <c r="F783">
        <f>HYPERLINK("https://www.reddit.com/r/eyetriage/comments/d3e7mp/blurry_vision_in_one_eye_which_progressed_over/")</f>
        <v/>
      </c>
      <c r="G783" t="inlineStr">
        <is>
          <t>2019-09-12 13:50:44</t>
        </is>
      </c>
      <c r="H783" t="inlineStr"/>
    </row>
    <row r="784">
      <c r="A784" t="inlineStr">
        <is>
          <t>d3w4gy</t>
        </is>
      </c>
      <c r="B784" t="inlineStr">
        <is>
          <t>Red eyes after ckeck</t>
        </is>
      </c>
      <c r="C784" t="inlineStr">
        <is>
          <t>Hi guys, I have this condition:
Before 2 weeks I went to an ophthalmologist to Chek my eyes bcz I wear contacts and I find that they were OK. The doctor used some kind of machine that rotate on the eyeball and Chek all of it, this was on my 2 eyes, after this and I mean now I notice that my eyes have now visible red vessels specially on the sides and down the eyeball and very visible and unusual redness in night, so what should I do now am scared
PS( I didn't wear my contacts from back then)</t>
        </is>
      </c>
      <c r="D784" t="n">
        <v>1</v>
      </c>
      <c r="E784" t="n">
        <v>5</v>
      </c>
      <c r="F784">
        <f>HYPERLINK("https://www.reddit.com/r/eyetriage/comments/d3w4gy/red_eyes_after_ckeck/")</f>
        <v/>
      </c>
      <c r="G784" t="inlineStr">
        <is>
          <t>2019-09-13 14:45:00</t>
        </is>
      </c>
      <c r="H784" t="inlineStr"/>
    </row>
    <row r="785">
      <c r="A785" t="inlineStr">
        <is>
          <t>d41y8j</t>
        </is>
      </c>
      <c r="B785" t="inlineStr">
        <is>
          <t>Double vision but not double?</t>
        </is>
      </c>
      <c r="C785" t="inlineStr">
        <is>
          <t>I see some things as what I think is double and maybe ghosting? Like in a car during night and all the A/C things and airbags stuff it look like a transparent double with like 10 of them overlapping. At night sitting in the passenger seat, my eyes wander off from the road and I saw the road signs and the white ones reflecting back are doubled but with really messy black text.
During one of my classes (HS) it seems ‘blurry’ and I’m only towards the middle of the classroom. It looks distorted, but not to the point seen in the astigmatism stock photos. 
For the maybe ghosting part, it looks like it, but once again it’s not even close to the stock photo. However, I saw one of those vertical astigmatism things and it looked similar at a higher extent. 
I’ve told a friend and said that I should go to the eye doctor, but I have 20/20 when I go see my pediatrician. I’m afraid to tell my mom because I don’t want to scare her like my heart did about 6 years ago.</t>
        </is>
      </c>
      <c r="D785" t="n">
        <v>1</v>
      </c>
      <c r="E785" t="n">
        <v>1</v>
      </c>
      <c r="F785">
        <f>HYPERLINK("https://www.reddit.com/r/eyetriage/comments/d41y8j/double_vision_but_not_double/")</f>
        <v/>
      </c>
      <c r="G785" t="inlineStr">
        <is>
          <t>2019-09-14 00:04:41</t>
        </is>
      </c>
      <c r="H785" t="inlineStr"/>
    </row>
    <row r="786">
      <c r="A786" t="inlineStr">
        <is>
          <t>d44xmv</t>
        </is>
      </c>
      <c r="B786" t="inlineStr">
        <is>
          <t>Question about OH and blurred vision for up to 30 seconds after exercise</t>
        </is>
      </c>
      <c r="C786" t="inlineStr">
        <is>
          <t>Not asking for medical advice at all - more just an indication to help me know whether I should ask for a followup with my opthalmologist.
I recently had an iridotomy in my left eye for intraocular hypertension (it was around 31L/21R). On followup 2 weeks later the pressure had reduced to 21/18 which is great. I have a checkup booked for a year later, but the opthalmologist said to contact her sooner if I experience anymore blurred vision after intense exercise. I didn't ask her at the time what qualifies as 'blurred'.
I do experience it still, but I'm not sure whether it can be considered true 'blurred vision'. I can still see everything completely clearly, but I can see my vision pulsating with my heartbeat for up to \~30 seconds and it goes away when my heart slows down. 
I was just wondering if it's normal (without OH) to experience at least a bit of pulsating in your vision when looking at flat white/sky colours after suddenly standing up (i.e. an orthostatic effect). I don't have great cardiovascular health so my BP probably climbs quite high in those situations a few times a day, to adjust for the low pressure in the upper body. At what point does this pulsating actually cross the threshold into true blurred vision?  
Thanks for any advice you may have.</t>
        </is>
      </c>
      <c r="D786" t="n">
        <v>2</v>
      </c>
      <c r="E786" t="n">
        <v>12</v>
      </c>
      <c r="F786">
        <f>HYPERLINK("https://www.reddit.com/r/eyetriage/comments/d44xmv/question_about_oh_and_blurred_vision_for_up_to_30/")</f>
        <v/>
      </c>
      <c r="G786" t="inlineStr">
        <is>
          <t>2019-09-14 06:05:51</t>
        </is>
      </c>
      <c r="H786" t="inlineStr"/>
    </row>
    <row r="787">
      <c r="A787" t="inlineStr">
        <is>
          <t>d46z5j</t>
        </is>
      </c>
      <c r="B787" t="inlineStr">
        <is>
          <t>Black flashes in my eyes.</t>
        </is>
      </c>
      <c r="C787" t="inlineStr">
        <is>
          <t>It's quite hard to explain - it's almost like I blinked, but I never actually blink when it happens (I think). I often think it's like a bird flying overhead and blocking out the sun for a split second but often it's inside so it can't be that. It's been happening on and off for a few months now. It seemed to stop for a few weeks but now it's happening again. I'm 18, male, shortsighted, wear contacts mostly but also glasses, and no diagnosed health issues. Could someone please shed some light? Thank you!</t>
        </is>
      </c>
      <c r="D787" t="n">
        <v>1</v>
      </c>
      <c r="E787" t="n">
        <v>5</v>
      </c>
      <c r="F787">
        <f>HYPERLINK("https://www.reddit.com/r/eyetriage/comments/d46z5j/black_flashes_in_my_eyes/")</f>
        <v/>
      </c>
      <c r="G787" t="inlineStr">
        <is>
          <t>2019-09-14 08:56:20</t>
        </is>
      </c>
      <c r="H787" t="inlineStr"/>
    </row>
    <row r="788">
      <c r="A788" t="inlineStr">
        <is>
          <t>d4miqg</t>
        </is>
      </c>
      <c r="B788" t="inlineStr">
        <is>
          <t>Floaters After Scleral Buckle Surgery?</t>
        </is>
      </c>
      <c r="C788" t="inlineStr">
        <is>
          <t>Got hit in the eye about 3 weeks ago.  Started seeing arc flashes and a ton of floaters in my right eye.  Ophthalmologist tried lasering the tears but that didn’t work because a week later my retina was partially detaching so I had to get surgery.  Now I am 7 days post op.  Eye is healing very well.  I haven’t seen any flashes thus far but I’m not exactly going out of my way to find them because I’m terrified of seeing the flashes again.  However,  I am still having a severe amount of floaters.  If I had to rate it a 10 pre surgery, it’s about a 7.5 now but they are still everywhere.  I plan to discuss with surgeon tomorrow but can anyone tell me if these subside a little bit over time?</t>
        </is>
      </c>
      <c r="D788" t="n">
        <v>3</v>
      </c>
      <c r="E788" t="n">
        <v>15</v>
      </c>
      <c r="F788">
        <f>HYPERLINK("https://www.reddit.com/r/eyetriage/comments/d4miqg/floaters_after_scleral_buckle_surgery/")</f>
        <v/>
      </c>
      <c r="G788" t="inlineStr">
        <is>
          <t>2019-09-15 09:13:01</t>
        </is>
      </c>
      <c r="H788" t="inlineStr"/>
    </row>
    <row r="789">
      <c r="A789" t="inlineStr">
        <is>
          <t>d4n5aw</t>
        </is>
      </c>
      <c r="B789" t="inlineStr">
        <is>
          <t>Sclerals and night vision</t>
        </is>
      </c>
      <c r="C789" t="inlineStr">
        <is>
          <t>Over the last year+ I’ve tried several different hard lenses - including RGPs (Boston EO/ES, XO + Optimum Comfort) - and most recently sclerals (Onefit from Blanchard).
The goal is to correct my night vision (Halos, ghosting, tails) from post-refractive surgery. I have early signs of ectasia / surgery-mimic keratoconus , but not yet a concern - more of a ‘let’s keep an eye on it’
My new sclerals have really improved my night vision and overall comfort! - but halos, ghosting, tails are still present and have changed direction. Ghosting / tails are now directed upwards vs downwards without lenses.
I wonder if this has anything to do with the size of the optical zone? Could my vision just be catching the edge of this zone? I do see some slight ghosting (upwards) after inserting the lenses, but barely noticeable.
My doctor suspects that increasing the power (which is needed) will make a difference?
Any advice?? Thanks!</t>
        </is>
      </c>
      <c r="D789" t="n">
        <v>1</v>
      </c>
      <c r="E789" t="n">
        <v>7</v>
      </c>
      <c r="F789">
        <f>HYPERLINK("https://www.reddit.com/r/eyetriage/comments/d4n5aw/sclerals_and_night_vision/")</f>
        <v/>
      </c>
      <c r="G789" t="inlineStr">
        <is>
          <t>2019-09-15 09:59:05</t>
        </is>
      </c>
      <c r="H789" t="inlineStr"/>
    </row>
    <row r="790">
      <c r="A790" t="inlineStr">
        <is>
          <t>d4p3oz</t>
        </is>
      </c>
      <c r="B790" t="inlineStr">
        <is>
          <t>Blue 'aura' around lights?</t>
        </is>
      </c>
      <c r="C790" t="inlineStr">
        <is>
          <t>I got new glasses a few months ago (slab-off lens on one side, bifocal on the other, if that makes any difference), and since then I've noticed something odd. If I'm in a dim or dark space and I look at a light source -- say, the digital clock by my bed -- it has an aura on either side of it. The aura is bright blue, horizontal, and teardrop-shaped, with the points of the teardrops extending away from the light source. It doesn't go away when I blink, and persists until I look away. I have no other symptoms; no headache, no blurred vision. My eye doctor has been dismissive and patronizing when I ask about it (I'm in the process of finding a new doctor for this reason), and I've been unable to find an answer anywhere else, so here I am. I'm sure I'm worrying about nothing, but I've been wearing glasses since I was eight (25 now), and have never experienced anything like this. I'd like to get to the bottom of it if I can.</t>
        </is>
      </c>
      <c r="D790" t="n">
        <v>1</v>
      </c>
      <c r="E790" t="n">
        <v>0</v>
      </c>
      <c r="F790">
        <f>HYPERLINK("https://www.reddit.com/r/eyetriage/comments/d4p3oz/blue_aura_around_lights/")</f>
        <v/>
      </c>
      <c r="G790" t="inlineStr">
        <is>
          <t>2019-09-15 12:20:58</t>
        </is>
      </c>
      <c r="H790" t="inlineStr"/>
    </row>
    <row r="791">
      <c r="A791" t="inlineStr">
        <is>
          <t>d4rilv</t>
        </is>
      </c>
      <c r="B791" t="inlineStr">
        <is>
          <t>Cataract vs Visian ICL</t>
        </is>
      </c>
      <c r="C791" t="inlineStr">
        <is>
          <t>English is not my first language so please bare with me. I’ve been researching about Visian ICL and interested in having it done. But have some questions here hopefully to find answers. So basically Visian ICl is a implantable contact lens and Intraocular Lens for cataract surgery are the same thing? Or are they not? And if they’re similar so why for Visian ICL, surgeon would have to make laser holes in your eyes for drainage while for IOL, they don’t do that?</t>
        </is>
      </c>
      <c r="D791" t="n">
        <v>1</v>
      </c>
      <c r="E791" t="n">
        <v>2</v>
      </c>
      <c r="F791">
        <f>HYPERLINK("https://www.reddit.com/r/eyetriage/comments/d4rilv/cataract_vs_visian_icl/")</f>
        <v/>
      </c>
      <c r="G791" t="inlineStr">
        <is>
          <t>2019-09-15 15:15:26</t>
        </is>
      </c>
      <c r="H791" t="inlineStr"/>
    </row>
    <row r="792">
      <c r="A792" t="inlineStr">
        <is>
          <t>d51q9g</t>
        </is>
      </c>
      <c r="B792" t="inlineStr">
        <is>
          <t>Macular Dystrophy with No Adverse Vision Impact</t>
        </is>
      </c>
      <c r="C792" t="inlineStr">
        <is>
          <t>Hello eye doctors, especially retina specialists!  Hoping you can share some stories of positive outcomes, because the worst case scenario doesn't always happen...!  
Do any of you have experience treating/monitoring patients with drusen deposits that do not affect vision?  My 29 yr old boyfriend has some sort of genetic dystrophy expressing as basal laminar drusen, i.e., cuticular drusen.  There are significant amounts in both temporal maculae.  He was referred to a retina specialist after a routine eye exam for a very mild prescription to help with night driving/watching TV.  The retina specialist looked at OCT and flourescein angiography imaging.  Specialist ruled out Stargardt's based on pattern and lack of other symptoms, and lab work ruled out glomerulopathy-related type.  It's not readily identifiable as North Carolina, Sorsby, etc.  No vision problems in family history.  The best description is cuticular drusen/basal laminar drusen.    
The specialist's prognosis was that since it is not affecting his vision now, there is a good chance that it never will.  He estimated the overall likelihood at about 80% chance of no issues.  The ongoing treatment plan is annual monitoring.  The specialist did say that the risk for developing CNV is slightly higher, and for that reason as well as overall eye health, my boyfriend stopped smoking, started taking a quality AREDS-like supplement, and wears blue light glasses/browses electronics in night mode where possible.  We are going to get a second opinion from another retina specialist, and also consider genetic testing.  I'm sure you can imagine that the unknown risk of vision loss is provoking high anxiety, and sometimes it seems hard to believe the specialist's takeaway message of "you're probably never going to have vision issues from this" when we look at the pictures and see the deposits.
So, do you have any patients, or have you heard of other cases, where drusen doesn't lead to vision loss?
Thanks for reading and taking time to share good news.</t>
        </is>
      </c>
      <c r="D792" t="n">
        <v>1</v>
      </c>
      <c r="E792" t="n">
        <v>0</v>
      </c>
      <c r="F792">
        <f>HYPERLINK("https://www.reddit.com/r/eyetriage/comments/d51q9g/macular_dystrophy_with_no_adverse_vision_impact/")</f>
        <v/>
      </c>
      <c r="G792" t="inlineStr">
        <is>
          <t>2019-09-16 07:51:18</t>
        </is>
      </c>
      <c r="H792" t="inlineStr"/>
    </row>
    <row r="793">
      <c r="A793" t="inlineStr">
        <is>
          <t>d52fsd</t>
        </is>
      </c>
      <c r="B793" t="inlineStr">
        <is>
          <t>Bright jagged line in vision</t>
        </is>
      </c>
      <c r="C793" t="inlineStr">
        <is>
          <t>PVD and vitreous hemorrhages started ten weeks ago.  Had another bleed a week ago, and this morning I saw a bright jagged light in the same eye.  It got longer, and moved off to the right and disappeared in about 20 minutes.
No "curtain" not bright flashes.
Is this an emergency?</t>
        </is>
      </c>
      <c r="D793" t="n">
        <v>1</v>
      </c>
      <c r="E793" t="n">
        <v>10</v>
      </c>
      <c r="F793">
        <f>HYPERLINK("https://www.reddit.com/r/eyetriage/comments/d52fsd/bright_jagged_line_in_vision/")</f>
        <v/>
      </c>
      <c r="G793" t="inlineStr">
        <is>
          <t>2019-09-16 08:42:54</t>
        </is>
      </c>
      <c r="H793" t="inlineStr"/>
    </row>
    <row r="794">
      <c r="A794" t="inlineStr">
        <is>
          <t>d55eps</t>
        </is>
      </c>
      <c r="B794" t="inlineStr">
        <is>
          <t>Can walking in bright sunlight damage eyes?</t>
        </is>
      </c>
      <c r="C794" t="inlineStr">
        <is>
          <t>Ever since I have gotten into college, I’ve had to walk around in the sun a lot. The campus has a lot of white sidewalk and bricks that are really bright in the sunlight, and my eyes always hurt for a bit after walking from class to class. Is been about a month and I’m worried this is gonna ruin my eyesight over time. Should I be worried?</t>
        </is>
      </c>
      <c r="D794" t="n">
        <v>2</v>
      </c>
      <c r="E794" t="n">
        <v>4</v>
      </c>
      <c r="F794">
        <f>HYPERLINK("https://www.reddit.com/r/eyetriage/comments/d55eps/can_walking_in_bright_sunlight_damage_eyes/")</f>
        <v/>
      </c>
      <c r="G794" t="inlineStr">
        <is>
          <t>2019-09-16 12:39:01</t>
        </is>
      </c>
      <c r="H794" t="inlineStr"/>
    </row>
    <row r="795">
      <c r="A795" t="inlineStr">
        <is>
          <t>d57ngd</t>
        </is>
      </c>
      <c r="B795" t="inlineStr">
        <is>
          <t>Blurry vision in one eye after waking up</t>
        </is>
      </c>
      <c r="C795" t="inlineStr">
        <is>
          <t>Basically title, after waking up I noticed my right eye is blurry. I've noticed it'll kind of focus a bit but each time I blink it will blur again and it's worse when whatever I'm trying to look at or read is farther away, I've tried rinsing with water and using true tear eye drops in case something was in my eye or it was dry but so far it's stayed the same. 
I have been under a bit of stress and did have a pretty good cry last night (someone close to me has been put on hospice care and is day to day). Not sure if that could possibly have anything to do with it. I don't have any other symptoms other than the blurry vision, any ideas what it could be?</t>
        </is>
      </c>
      <c r="D795" t="n">
        <v>1</v>
      </c>
      <c r="E795" t="n">
        <v>0</v>
      </c>
      <c r="F795">
        <f>HYPERLINK("https://www.reddit.com/r/eyetriage/comments/d57ngd/blurry_vision_in_one_eye_after_waking_up/")</f>
        <v/>
      </c>
      <c r="G795" t="inlineStr">
        <is>
          <t>2019-09-16 15:18:24</t>
        </is>
      </c>
      <c r="H795" t="inlineStr"/>
    </row>
    <row r="796">
      <c r="A796" t="inlineStr">
        <is>
          <t>d5c1b8</t>
        </is>
      </c>
      <c r="B796" t="inlineStr">
        <is>
          <t>Concerned about Eyes</t>
        </is>
      </c>
      <c r="C796" t="inlineStr">
        <is>
          <t>I originally posted this on a different sub. Answers would be greatly appreciated!
Hello! I’m a 16 year old female. My prescription is -6.00 in one eye and -6.25 in the other. I’ve been wearing glasses since about 6 years old. Since starting school and getting accommodated to using my school chrome book more often and doing homework once again, I’ve noticed that almost instantly my eyes will start to hurt, then after awhile I’ll get a headache. It stops after a while after I’m no longer using the chrome book as well. My vision stays clear, but at the same it’s weird, like my eyes don’t know what to focus on, and sometimes when I’m staring at something I’ll realize my vision is blurry, I’ll blink, and my vision will be clear. I have times where this keeps happening and it’s a cycle of me blinking the blurry ness away, and then I’ll get up and do something and it’ll go away. I’m not sure what’s happening. 
To give some family history, my grandpa has glaucoma and my mother has been told she has slight cataracts. And while I don’t know the reason, my grandma on my mothers side recently had an eye removed because it caused her severe pain and she couldn’t see anything in it, it was useless.
I just want to see if this is anything I should be really concerned about and if I should tell my mother, or if it’s just something simple. School started in August.
Any replies are greatly appreciated!!</t>
        </is>
      </c>
      <c r="D796" t="n">
        <v>1</v>
      </c>
      <c r="E796" t="n">
        <v>7</v>
      </c>
      <c r="F796">
        <f>HYPERLINK("https://www.reddit.com/r/eyetriage/comments/d5c1b8/concerned_about_eyes/")</f>
        <v/>
      </c>
      <c r="G796" t="inlineStr">
        <is>
          <t>2019-09-16 21:34:02</t>
        </is>
      </c>
      <c r="H796" t="inlineStr"/>
    </row>
    <row r="797">
      <c r="A797" t="inlineStr">
        <is>
          <t>d5dggd</t>
        </is>
      </c>
      <c r="B797" t="inlineStr">
        <is>
          <t>Cant keep eye open</t>
        </is>
      </c>
      <c r="C797" t="inlineStr">
        <is>
          <t>2 weeks ago I got hit by the corner of a blanket directly in my eye.  It caused my eye to become more sensitive but overall it was only a little annoying.  However the past 2 days I can hardly keep it open. It waters constantly even when closed.  Its extremely sensitive to light. It doesnt really hurt but it is uncomfortable. I cannot even look at my computer monitor and have mostly been laying in my bed in the dark so it bothers me less. It feels like it has something in it but it has felt that way. I figured I just scratched my cornea or something. Advice?</t>
        </is>
      </c>
      <c r="D797" t="n">
        <v>1</v>
      </c>
      <c r="E797" t="n">
        <v>3</v>
      </c>
      <c r="F797">
        <f>HYPERLINK("https://www.reddit.com/r/eyetriage/comments/d5dggd/cant_keep_eye_open/")</f>
        <v/>
      </c>
      <c r="G797" t="inlineStr">
        <is>
          <t>2019-09-17 00:14:20</t>
        </is>
      </c>
      <c r="H797" t="inlineStr"/>
    </row>
    <row r="798">
      <c r="A798" t="inlineStr">
        <is>
          <t>d5g6bd</t>
        </is>
      </c>
      <c r="B798" t="inlineStr">
        <is>
          <t>How long does it take a Vitreous hemorrhage to clear?</t>
        </is>
      </c>
      <c r="C798" t="inlineStr">
        <is>
          <t>I've had several in the past three months.  Eye doctor says each time there is no retina involvement.
The most recent bleed was eight days ago.  It initially started to clear like the other times, but this time the dense blood floaters are diffusing, and most of my field of vision is hazy/grainy, and it hasn't improved in the past few days.
Also, I've read vitamin C may help.  Is it worth trying?</t>
        </is>
      </c>
      <c r="D798" t="n">
        <v>2</v>
      </c>
      <c r="E798" t="n">
        <v>2</v>
      </c>
      <c r="F798">
        <f>HYPERLINK("https://www.reddit.com/r/eyetriage/comments/d5g6bd/how_long_does_it_take_a_vitreous_hemorrhage_to/")</f>
        <v/>
      </c>
      <c r="G798" t="inlineStr">
        <is>
          <t>2019-09-17 05:20:36</t>
        </is>
      </c>
      <c r="H798" t="inlineStr"/>
    </row>
    <row r="799">
      <c r="A799" t="inlineStr">
        <is>
          <t>d5mb8u</t>
        </is>
      </c>
      <c r="B799" t="inlineStr">
        <is>
          <t>Preparing for my appointment</t>
        </is>
      </c>
      <c r="C799" t="inlineStr">
        <is>
          <t>So last week my doctor found a hole in my retina and is sending me to a specialist. She didn't tell me my retina was detached, just that she found a small hole. I have only one symptom, and that is a single black floater in dim light (and that only happens maybe once a month or so). 
So I'm wondering what should I expect/bring to the specialist? I was told they might dilate my eye, so should I have sunglasses or have someone drive me? I've heard they may do a laser procedure to burn the hole shut (or something like that?) is that something I should expect same day, another day, or does it completely depend on the specialist? Is there anything else I should prepare for, and besides my symptom is there anything I should tell/ask the doctor? I just want to be as prepared as possible so I don't take up too much of the doctors time, and I don't accidentally miss something or leave myself without a way home lol. Thank you for any answers you can provide.</t>
        </is>
      </c>
      <c r="D799" t="n">
        <v>2</v>
      </c>
      <c r="E799" t="n">
        <v>5</v>
      </c>
      <c r="F799">
        <f>HYPERLINK("https://www.reddit.com/r/eyetriage/comments/d5mb8u/preparing_for_my_appointment/")</f>
        <v/>
      </c>
      <c r="G799" t="inlineStr">
        <is>
          <t>2019-09-17 12:58:51</t>
        </is>
      </c>
      <c r="H799" t="inlineStr"/>
    </row>
    <row r="800">
      <c r="A800" t="inlineStr">
        <is>
          <t>d5nssw</t>
        </is>
      </c>
      <c r="B800" t="inlineStr">
        <is>
          <t>Amsler Grid - left eye - blur moving toward center PT 2</t>
        </is>
      </c>
      <c r="C800" t="inlineStr">
        <is>
          <t>Thanks for those who participated in my last question here:   [https://www.reddit.com/r/eyetriage/comments/ctdkwl/amsler\_grid\_left\_eye\_blur\_moving\_toward\_center/](https://www.reddit.com/r/eyetriage/comments/ctdkwl/amsler_grid_left_eye_blur_moving_toward_center/) 
It has been one month since my post.  The area that is blurry/skewed on the amsler grid has gotten 30 percent bigger but has been that way for about 3 week.  I notice when I take caffeine it is worse.
I saw the retinologist yesterday.  The tech double eye dropped me and then the retinologist went to work, very rushed I might add. My eyes weren't fully dialated till I got out to the car.  Anyway, the retinologist went through the list of observable eye stuff and said she didn't see any inflammation but I did have a small scar (from 30 years ago) but she didn't think that it would cause problem so much later!  She also said she didn't see central serous retinopathy either.  She made no mention of the swelling that was observed around the scar by the optometrist 30 days ago.  I think she missed it. I will follow up.
She did mention two weird things like "white dot syndrome" and "krills (sp) disease.  She has ordered some inflammatory blood tests to be done and wants to see me in 6 weeks.
I failed to mention that I also see phosphenes pretty regularly at night and that has been going on for 10 years.  I have also seen a vibrating effect when I look at vertical lines like blinds and that has been going on for 4 years.   Sometimes less and sometimes more.
I did some research and found nothing on these two diseases.  Need to deep dive later.</t>
        </is>
      </c>
      <c r="D800" t="n">
        <v>1</v>
      </c>
      <c r="E800" t="n">
        <v>0</v>
      </c>
      <c r="F800">
        <f>HYPERLINK("https://www.reddit.com/r/eyetriage/comments/d5nssw/amsler_grid_left_eye_blur_moving_toward_center_pt/")</f>
        <v/>
      </c>
      <c r="G800" t="inlineStr">
        <is>
          <t>2019-09-17 14:48:27</t>
        </is>
      </c>
      <c r="H800" t="inlineStr"/>
    </row>
    <row r="801">
      <c r="A801" t="inlineStr">
        <is>
          <t>d5vsuv</t>
        </is>
      </c>
      <c r="B801" t="inlineStr">
        <is>
          <t>Can someone solve my case?</t>
        </is>
      </c>
      <c r="C801" t="inlineStr">
        <is>
          <t>So i just got my prescription glasses two weeks ago for my myopia. I was happy with with it, until this past 4 days i cant see very well objects far away (20 meter+) like cars plate numbers, but everything else i can see it without a problem.
So should i be concern or is this normal ?
Also i don\`t use any medication and i use my computer for a long time, but i do exercises regularly.</t>
        </is>
      </c>
      <c r="D801" t="n">
        <v>0</v>
      </c>
      <c r="E801" t="n">
        <v>0</v>
      </c>
      <c r="F801">
        <f>HYPERLINK("https://www.reddit.com/r/eyetriage/comments/d5vsuv/can_someone_solve_my_case/")</f>
        <v/>
      </c>
      <c r="G801" t="inlineStr">
        <is>
          <t>2019-09-18 03:32:20</t>
        </is>
      </c>
      <c r="H801" t="inlineStr"/>
    </row>
    <row r="802">
      <c r="A802" t="inlineStr">
        <is>
          <t>d61dmh</t>
        </is>
      </c>
      <c r="B802" t="inlineStr">
        <is>
          <t>Can you guys explain to me how dumb this fear is?</t>
        </is>
      </c>
      <c r="C802" t="inlineStr">
        <is>
          <t>I don’t remember where I was on the internet, but I came across a couple scientific studies similar to the one below that explore the potential hazards of ophthalmic tools in regard to phototoxicity. 
https://www.ncbi.nlm.nih.gov/pmc/articles/PMC4763131/#idm140604522694544title
Some seem to suggest that bright lights used to diagnose eye problems can themselves cause issues, and honestly, it is discouraging me from getting examined myself because it makes sense. Is my fear justified or ridiculous?</t>
        </is>
      </c>
      <c r="D802" t="n">
        <v>2</v>
      </c>
      <c r="E802" t="n">
        <v>19</v>
      </c>
      <c r="F802">
        <f>HYPERLINK("https://www.reddit.com/r/eyetriage/comments/d61dmh/can_you_guys_explain_to_me_how_dumb_this_fear_is/")</f>
        <v/>
      </c>
      <c r="G802" t="inlineStr">
        <is>
          <t>2019-09-18 10:46:45</t>
        </is>
      </c>
      <c r="H802" t="inlineStr"/>
    </row>
    <row r="803">
      <c r="A803" t="inlineStr">
        <is>
          <t>d6cti9</t>
        </is>
      </c>
      <c r="B803" t="inlineStr">
        <is>
          <t>Benzodiazepines and vitreous hemorrhages</t>
        </is>
      </c>
      <c r="C803" t="inlineStr">
        <is>
          <t>Do benzodiazepines have an affect on vitreous hemorrhages?</t>
        </is>
      </c>
      <c r="D803" t="n">
        <v>1</v>
      </c>
      <c r="E803" t="n">
        <v>1</v>
      </c>
      <c r="F803">
        <f>HYPERLINK("https://www.reddit.com/r/eyetriage/comments/d6cti9/benzodiazepines_and_vitreous_hemorrhages/")</f>
        <v/>
      </c>
      <c r="G803" t="inlineStr">
        <is>
          <t>2019-09-19 04:42:48</t>
        </is>
      </c>
      <c r="H803" t="inlineStr"/>
    </row>
    <row r="804">
      <c r="A804" t="inlineStr">
        <is>
          <t>d6hvg2</t>
        </is>
      </c>
      <c r="B804" t="inlineStr">
        <is>
          <t>Size of the vitrectomy bubble - just because I’m bored!!</t>
        </is>
      </c>
      <c r="C804" t="inlineStr">
        <is>
          <t>I’m 2 weeks post-vitrectomy today with an SF6 bubble.  When I look straight ahead and stay still it’s the lower 10% of my vision or so.  I’m happy to be seeing but now the bubble is my frustration!! So I’m curious....how big is the bubble now as a percentage of my eye cavity?  
When I look straight down at it, it’s about 1/2 the diameter of my field of vision.  If I could see from 1/2 of my eye, it’d be easy math.  But I’m wondering if it’s actually smaller because the retina likely only sees from a smaller area than it actually covers (where the rods are???). Additionally I assume the bubble squishes when I lean straight over - making it appear bigger  as the circle appears distorted/flattened slightly when I’m upright....
Any way, this is just an exercise in curiosity to help me pass the time ....</t>
        </is>
      </c>
      <c r="D804" t="n">
        <v>3</v>
      </c>
      <c r="E804" t="n">
        <v>2</v>
      </c>
      <c r="F804">
        <f>HYPERLINK("https://www.reddit.com/r/eyetriage/comments/d6hvg2/size_of_the_vitrectomy_bubble_just_because_im/")</f>
        <v/>
      </c>
      <c r="G804" t="inlineStr">
        <is>
          <t>2019-09-19 11:08:00</t>
        </is>
      </c>
      <c r="H804" t="inlineStr"/>
    </row>
    <row r="805">
      <c r="A805" t="inlineStr">
        <is>
          <t>d6k8n8</t>
        </is>
      </c>
      <c r="B805" t="inlineStr">
        <is>
          <t>Can astigmatism cause chromatic aberration? Worried about my vision</t>
        </is>
      </c>
      <c r="C805" t="inlineStr">
        <is>
          <t>I'm a 24M, I have myopia and use glasses for about 8 years, for the last 2 and half years my myopia was stabilized, actually there's about a year I don't go to the ophthalmologist, but in the last 3 months my sigh got a lot worse, I've started to see double vision, ghosting, halos, and when I look at light sources it looks like the "7mm" of this image https://www.2020mag.com/courses/111042/fig2.jpg
I've searched around and it looks like I have High order Aberration together with astigmatism. I'm planning on going to doctor, but from yesterday to today, I started to see chromatic aberration around everything, like this https://upload.wikimedia.org/wikipedia/commons/thumb/6/66/Chromatic_aberration_%28comparison%29.jpg/220px-Chromatic_aberration_%28comparison%29.jpg 
But way more subtle, but it's there, and I worried because It was so suddenly and I can't seem to find a correlation searching
Also the symptoms seems to worsen fast</t>
        </is>
      </c>
      <c r="D805" t="n">
        <v>1</v>
      </c>
      <c r="E805" t="n">
        <v>3</v>
      </c>
      <c r="F805">
        <f>HYPERLINK("https://www.reddit.com/r/eyetriage/comments/d6k8n8/can_astigmatism_cause_chromatic_aberration/")</f>
        <v/>
      </c>
      <c r="G805" t="inlineStr">
        <is>
          <t>2019-09-19 13:59:46</t>
        </is>
      </c>
      <c r="H805" t="inlineStr"/>
    </row>
    <row r="806">
      <c r="A806" t="inlineStr">
        <is>
          <t>d6pgyr</t>
        </is>
      </c>
      <c r="B806" t="inlineStr">
        <is>
          <t>Will the er do anything for my eye or should I wait to call my eye doctor tomorrow?</t>
        </is>
      </c>
      <c r="C806" t="inlineStr">
        <is>
          <t>My left eye got slightly puffy about week or so ago and some flaking on the outer corner. I waited a few days and it got better except the flaking just kinda stayed the same. Now tonight as I took out my contacts for bed my eye started pouring watering and every time I try and close my eyes it waters even more and is slightly painful from the excessive watering. If I were to go to the er now (because I can’t sleep due to not being able to close my eye) would they do anything for it or am I basically screwed till tomorrow when I call my eye doctor?</t>
        </is>
      </c>
      <c r="D806" t="n">
        <v>1</v>
      </c>
      <c r="E806" t="n">
        <v>3</v>
      </c>
      <c r="F806">
        <f>HYPERLINK("https://www.reddit.com/r/eyetriage/comments/d6pgyr/will_the_er_do_anything_for_my_eye_or_should_i/")</f>
        <v/>
      </c>
      <c r="G806" t="inlineStr">
        <is>
          <t>2019-09-19 21:05:30</t>
        </is>
      </c>
      <c r="H806" t="inlineStr"/>
    </row>
    <row r="807">
      <c r="A807" t="inlineStr">
        <is>
          <t>d6r9cm</t>
        </is>
      </c>
      <c r="B807" t="inlineStr">
        <is>
          <t>I keep getting styes twice a year. This time, what can I do to reduce my chances of getting a scar?</t>
        </is>
      </c>
      <c r="C807" t="inlineStr">
        <is>
          <t>For the past 5-6 years I have been getting styes/chalazions twice a year. And every time I go to the opthalmologist its the same advice: drops, ointment and surgery. 
I did not take the surgery route before, because it causes scars underneath the eyelid. The stye went away fine leaving a small scar on top of the eyelid. This was last year. 
Now this year, I have a stye again and although the pain has decreased and it *seems* to have stopped growing and decreased a bit; I was wondering if there are anything that can be done to reduce chances of scarring (whether the scar is visible or not). 
This time, instead of waiting for an appointment, I used warm compress once at 7am and once at 10pm. I also used the eye drops during those two times as suggested by the opthalmologist. Its basically ciprofloxacin drop. Seems to be working. 
I am 29, male, living in Bangladesh by the way.</t>
        </is>
      </c>
      <c r="D807" t="n">
        <v>5</v>
      </c>
      <c r="E807" t="n">
        <v>3</v>
      </c>
      <c r="F807">
        <f>HYPERLINK("https://www.reddit.com/r/eyetriage/comments/d6r9cm/i_keep_getting_styes_twice_a_year_this_time_what/")</f>
        <v/>
      </c>
      <c r="G807" t="inlineStr">
        <is>
          <t>2019-09-20 00:12:34</t>
        </is>
      </c>
      <c r="H807" t="inlineStr"/>
    </row>
    <row r="808">
      <c r="A808" t="inlineStr">
        <is>
          <t>d6znwh</t>
        </is>
      </c>
      <c r="B808" t="inlineStr">
        <is>
          <t>Why is the outer corner of one of my eyes crusty/flaking?</t>
        </is>
      </c>
      <c r="C808" t="inlineStr">
        <is>
          <t>OK so about a week or so ago my eyes started getting slightly puffy and then on the outer corner of my eye now this is my left eye was getting kind of flaky to where like some skin would be coming off I’d have to use lots of face 
Moisturizer to make it look decent now if I covered my I would like I make up then you couldn’t tell I had anything wrong with it now the puffiness has pretty much gone away but the flaky redness on the outside my eye is still there anyone know what this could be? I thought a stye but I’ve had a stye before and it gets usually way more swollen and red than it did this time?</t>
        </is>
      </c>
      <c r="D808" t="n">
        <v>1</v>
      </c>
      <c r="E808" t="n">
        <v>2</v>
      </c>
      <c r="F808">
        <f>HYPERLINK("https://www.reddit.com/r/eyetriage/comments/d6znwh/why_is_the_outer_corner_of_one_of_my_eyes/")</f>
        <v/>
      </c>
      <c r="G808" t="inlineStr">
        <is>
          <t>2019-09-20 12:14:18</t>
        </is>
      </c>
      <c r="H808" t="inlineStr"/>
    </row>
    <row r="809">
      <c r="A809" t="inlineStr">
        <is>
          <t>d76kpk</t>
        </is>
      </c>
      <c r="B809" t="inlineStr">
        <is>
          <t>Higher order aberrations ??</t>
        </is>
      </c>
      <c r="C809" t="inlineStr">
        <is>
          <t>I'm having blurriness/vibrations in vision. Seen ophthalmologist and neuro opht. They have referred me to cornea specialist and suggested that the vibrations/distortions in my vision could be due to an optical effect (ie. higher order aberrations). Just wondering if this is something that can be acquired because I don't recall experiencing the symptoms when I was a kid (I'm 21). Also if this is the case, I'm wondering if this is something that can be treated. I've tried artificial tears to little avail.
During the appointment with the neuro, seeing from the pinhole lens helped stabilize/clarify some words. Was told that the symptoms may just be a result of extra firing of light receptor cells. 
What do you all think? Can HAO's be treated and do you think this to be the case? All tests (visual field, general ophthalmology, etc were fine). I even saw a neurologist and saw no cause for neural issue. Eyes movements are normal. No nystagmus.
Thanks!</t>
        </is>
      </c>
      <c r="D809" t="n">
        <v>0</v>
      </c>
      <c r="E809" t="n">
        <v>4</v>
      </c>
      <c r="F809">
        <f>HYPERLINK("https://www.reddit.com/r/eyetriage/comments/d76kpk/higher_order_aberrations/")</f>
        <v/>
      </c>
      <c r="G809" t="inlineStr">
        <is>
          <t>2019-09-20 22:31:32</t>
        </is>
      </c>
      <c r="H809" t="inlineStr"/>
    </row>
    <row r="810">
      <c r="A810" t="inlineStr">
        <is>
          <t>d7727q</t>
        </is>
      </c>
      <c r="B810" t="inlineStr">
        <is>
          <t>Corneal neovascularization</t>
        </is>
      </c>
      <c r="C810" t="inlineStr">
        <is>
          <t>Is it normal to have a small blood vessel in the sclera touching the cornea I don't think it is getting in though but am scared from cornea neovascularization. 
Ps: am a contact lenses wearer.</t>
        </is>
      </c>
      <c r="D810" t="n">
        <v>1</v>
      </c>
      <c r="E810" t="n">
        <v>2</v>
      </c>
      <c r="F810">
        <f>HYPERLINK("https://www.reddit.com/r/eyetriage/comments/d7727q/corneal_neovascularization/")</f>
        <v/>
      </c>
      <c r="G810" t="inlineStr">
        <is>
          <t>2019-09-20 23:30:20</t>
        </is>
      </c>
      <c r="H810" t="inlineStr"/>
    </row>
    <row r="811">
      <c r="A811" t="inlineStr">
        <is>
          <t>d7egvf</t>
        </is>
      </c>
      <c r="B811" t="inlineStr">
        <is>
          <t>27 year old software engineer with cataract</t>
        </is>
      </c>
      <c r="C811" t="inlineStr">
        <is>
          <t>Hi everyone,
I am a 27 year old software engineer diagnosed with posterior subcapsular cataract (steroid induced) who'll be going for surgery in 2-3 months. I am a bit concerned about my intermediate vision post surgery as my profession requires me to work in front of a computer/laptop for 8-10 hrs everyday. People who have done cataract surgery, how is your intermediate vision now? Were you able to use laptop for a long time with minimum discomfort after your surgery? I am planning to take monofocal lens set to distance since it is the most popular IOL among cataract patients. Also, how effective is progressive contact lens?</t>
        </is>
      </c>
      <c r="D811" t="n">
        <v>1</v>
      </c>
      <c r="E811" t="n">
        <v>4</v>
      </c>
      <c r="F811">
        <f>HYPERLINK("https://www.reddit.com/r/eyetriage/comments/d7egvf/27_year_old_software_engineer_with_cataract/")</f>
        <v/>
      </c>
      <c r="G811" t="inlineStr">
        <is>
          <t>2019-09-21 11:47:32</t>
        </is>
      </c>
      <c r="H811" t="inlineStr"/>
    </row>
    <row r="812">
      <c r="A812" t="inlineStr">
        <is>
          <t>d7ejte</t>
        </is>
      </c>
      <c r="B812" t="inlineStr">
        <is>
          <t>Severe eye strain after very short periods of certain activities</t>
        </is>
      </c>
      <c r="C812" t="inlineStr">
        <is>
          <t>Short version: Reading and video games for as little as 30 minutes strains my eyes to the point where I have headaches and discomfort for the rest of the day. 
Long version/history: This is a problem that I've been dealing with for approximately 3 years now. I noticed this began when I lost a large amount of weight (185ish to 145ish as a 5'11 male) in 2016. Up until that point I had been, for several years, a voracious reader. Usually anywhere from 100-300 pages a day depending on how much time was free. Up until then, I would only experience eye strain in situations where the cause was obvious ie. 300+ pages, or a metric ton of video games, and even then it would only be very mild. Skip to ahead to today. This morning, I did around 3 hours of studying on my computer, and didn't recall anything wrong with my eyes at the time. I thought that things were going really well with my eyes today, and picked up a book that I've been crawling through. I read about 20 pages worth of this small paperback book, and am sitting here now with heavily strained eyes. Given my past experience with this, they'll be sore as hell tomorrow too. Video games have about the same effect, and I cannot figure out for the life of me why.  I just worked for 40 hours this week staring at a screen for a huge portion of that time, and had no issues to speak of.  
&amp;amp;#x200B;
As for treatments I've tried: warm compresses have done nothing for me. Artificial tears help with the next-day soreness, but I've tried to do them before reading as a preventive thing, and didn't feel any difference. I've tried putting cold packs on them, and they're in the same vein as artificial tears where they help for the next day pain, but not anything else. In googling before, basically everyone said to go get reading glasses. They don't really seem to help at all, and the optometrist didn't really have an opinion when I told him about this problem. He did point out is that my left eye is kind of stationary. When my eyes go to track something, my left just barely moves. 
&amp;amp;#x200B;
One thing I've found that does seem to help significantly is to have a humidifier spraying basically INTO my eyes while I'm playing video games, or reading. This definitely functions for me at my desk, but it's not very practical if I want to just lay on the couch and read a book, or something. 
&amp;amp;#x200B;
If anyone has any experience with something like this, and can recommend something to fix this, or a specialist to go and see, it would be massively appreciated. I really miss reading.</t>
        </is>
      </c>
      <c r="D812" t="n">
        <v>1</v>
      </c>
      <c r="E812" t="n">
        <v>1</v>
      </c>
      <c r="F812">
        <f>HYPERLINK("https://www.reddit.com/r/eyetriage/comments/d7ejte/severe_eye_strain_after_very_short_periods_of/")</f>
        <v/>
      </c>
      <c r="G812" t="inlineStr">
        <is>
          <t>2019-09-21 11:53:39</t>
        </is>
      </c>
      <c r="H812" t="inlineStr"/>
    </row>
    <row r="813">
      <c r="A813" t="inlineStr">
        <is>
          <t>d7fdol</t>
        </is>
      </c>
      <c r="B813" t="inlineStr">
        <is>
          <t>Halos and Glare Around Lights after Eye Trauma? 27 y/o male</t>
        </is>
      </c>
      <c r="C813" t="inlineStr">
        <is>
          <t>Long story short I got hit in the eye pretty hard which ended up causing a detached retina.  From the week between the trauma and the surgery at night I had halos and glare around lights at night.  Post surgery, I have the same problem.  The optometrist and ophthalmologist both didn’t see an sign of cataracts so what could it be?  I am 2 weeks post op and 3 weeks from the date of trauma.</t>
        </is>
      </c>
      <c r="D813" t="n">
        <v>2</v>
      </c>
      <c r="E813" t="n">
        <v>10</v>
      </c>
      <c r="F813">
        <f>HYPERLINK("https://www.reddit.com/r/eyetriage/comments/d7fdol/halos_and_glare_around_lights_after_eye_trauma_27/")</f>
        <v/>
      </c>
      <c r="G813" t="inlineStr">
        <is>
          <t>2019-09-21 12:55:41</t>
        </is>
      </c>
      <c r="H813" t="inlineStr"/>
    </row>
    <row r="814">
      <c r="A814" t="inlineStr">
        <is>
          <t>d7gsv0</t>
        </is>
      </c>
      <c r="B814" t="inlineStr">
        <is>
          <t>Nystagmus?</t>
        </is>
      </c>
      <c r="C814" t="inlineStr">
        <is>
          <t>I tried googling at first but as I didn't really find an answer that fit, maybe you guys knows?  
I get rapid side to side movement in my eyes occasionally when awake, say 2-3 times a month, often when I focus on something like drawing or gaming, then difficulties concentrating and foggy vision for about a minute afterwards.  
I wondered if it was normal or not. It's more annoying than anything, but if it's not within the "normal" then I will get it checked, if it is within the normal however, I can wait and see if it gets worse, better or stays the same.   
 I don't think I am straining as I have always had good vision - but I do have "silent migraine" so basically all the visual specs and annoyances, but without the pain of migraine, so maybe it's part of that?  I could maybe have evolved some bad vision from a lot of computer use,  since I am nearly 30 now (so my last eye check was at 17)</t>
        </is>
      </c>
      <c r="D814" t="n">
        <v>2</v>
      </c>
      <c r="E814" t="n">
        <v>3</v>
      </c>
      <c r="F814">
        <f>HYPERLINK("https://www.reddit.com/r/eyetriage/comments/d7gsv0/nystagmus/")</f>
        <v/>
      </c>
      <c r="G814" t="inlineStr">
        <is>
          <t>2019-09-21 14:43:02</t>
        </is>
      </c>
      <c r="H814" t="inlineStr"/>
    </row>
    <row r="815">
      <c r="A815" t="inlineStr">
        <is>
          <t>d7knt2</t>
        </is>
      </c>
      <c r="B815" t="inlineStr">
        <is>
          <t>Question about Floaters</t>
        </is>
      </c>
      <c r="C815" t="inlineStr">
        <is>
          <t>Ok so I’m only 16 years of age (female) with -6.00 and -6.25 as my prescriptions. I’m myopic with astigmatism in both of my eyeballs and have been told I have dry eyes. I’ve had floaters since forever. When I was little it’d be a “game” to chase them. Since discovering this sub it seems floaters can be concerning, so I’ve wondered if it’s normal that I’ve had them all my life. Thank you to anyone that might reply, any answers are deeply appreciated!</t>
        </is>
      </c>
      <c r="D815" t="n">
        <v>1</v>
      </c>
      <c r="E815" t="n">
        <v>3</v>
      </c>
      <c r="F815">
        <f>HYPERLINK("https://www.reddit.com/r/eyetriage/comments/d7knt2/question_about_floaters/")</f>
        <v/>
      </c>
      <c r="G815" t="inlineStr">
        <is>
          <t>2019-09-21 19:43:40</t>
        </is>
      </c>
      <c r="H815" t="inlineStr"/>
    </row>
    <row r="816">
      <c r="A816" t="inlineStr">
        <is>
          <t>d7teyf</t>
        </is>
      </c>
      <c r="B816" t="inlineStr">
        <is>
          <t>Do I have a chalazion?</t>
        </is>
      </c>
      <c r="C816" t="inlineStr">
        <is>
          <t>I used flash for the first picture, no flash for the second picture: https://imgur.com/a/XWy1OZw
My eye started feeling a bit sore and itchy 5 days ago (September 17). Now it doesn't feel irritated at all, but there's a giant bump on my eyelid as you can see in the pictures. It doesn't hurt to touch, and there's been no discharge. Does this look and sound like a chalazion? Could it be a cancerous tumor instead?</t>
        </is>
      </c>
      <c r="D816" t="n">
        <v>2</v>
      </c>
      <c r="E816" t="n">
        <v>3</v>
      </c>
      <c r="F816">
        <f>HYPERLINK("https://www.reddit.com/r/eyetriage/comments/d7teyf/do_i_have_a_chalazion/")</f>
        <v/>
      </c>
      <c r="G816" t="inlineStr">
        <is>
          <t>2019-09-22 10:16:04</t>
        </is>
      </c>
      <c r="H816" t="inlineStr"/>
    </row>
    <row r="817">
      <c r="A817" t="inlineStr">
        <is>
          <t>d7ve8x</t>
        </is>
      </c>
      <c r="B817" t="inlineStr">
        <is>
          <t>Strabismus getting worse. Is there anything I could do</t>
        </is>
      </c>
      <c r="C817" t="inlineStr">
        <is>
          <t>Hello. Im 22 y.o and had 3 strabismus surgeries in both eyes since i was a kid. I recently went to my ophthalmologist and she recommended I get surgery again. I cannot afford the treatment anymore and feel like my eyes are getting worse looking everyday. Is there anything I could do at home? I've heard about eyepatches and getting into vr/3ds games might help. Im also curious how I suddenly dont have a grade in my left lens anymore when things are blurry there.</t>
        </is>
      </c>
      <c r="D817" t="n">
        <v>1</v>
      </c>
      <c r="E817" t="n">
        <v>6</v>
      </c>
      <c r="F817">
        <f>HYPERLINK("https://www.reddit.com/r/eyetriage/comments/d7ve8x/strabismus_getting_worse_is_there_anything_i/")</f>
        <v/>
      </c>
      <c r="G817" t="inlineStr">
        <is>
          <t>2019-09-22 12:40:52</t>
        </is>
      </c>
      <c r="H817" t="inlineStr"/>
    </row>
    <row r="818">
      <c r="A818" t="inlineStr">
        <is>
          <t>d88uq1</t>
        </is>
      </c>
      <c r="B818" t="inlineStr">
        <is>
          <t>Question about retinal detachment</t>
        </is>
      </c>
      <c r="C818" t="inlineStr">
        <is>
          <t>I am traveling out of the country with limited access to an ophthalmologist and have noticed a lot of floaters in my left eye. I have always gotten floaters but it seems more pronounced. In my google searches, I found that a sudden onset of many floaters can indicate retinal detachment. The floaters have been pretty consistent over two days and haven’t gotten worse. Just more obvious (especially in the sunlight) than normal. I do not have any shading or peripheral vision loss. 
Two questions - would retinal detachment be very obvious to me? How quickly does this progress if it is retinal detachment? 
Thanks!</t>
        </is>
      </c>
      <c r="D818" t="n">
        <v>4</v>
      </c>
      <c r="E818" t="n">
        <v>8</v>
      </c>
      <c r="F818">
        <f>HYPERLINK("https://www.reddit.com/r/eyetriage/comments/d88uq1/question_about_retinal_detachment/")</f>
        <v/>
      </c>
      <c r="G818" t="inlineStr">
        <is>
          <t>2019-09-23 09:25:54</t>
        </is>
      </c>
      <c r="H818" t="inlineStr"/>
    </row>
    <row r="819">
      <c r="A819" t="inlineStr">
        <is>
          <t>d8cucl</t>
        </is>
      </c>
      <c r="B819" t="inlineStr">
        <is>
          <t>Two bad prescriptions in a row - help!</t>
        </is>
      </c>
      <c r="C819" t="inlineStr">
        <is>
          <t>Hello!
I have pretty terrible vision - I don’t know my exact script, but I need corrective lenses to exist in the world. Recently I went to get an updated script because my old glasses weren’t doing great with middle distance reading (road signs and such) and up close (I was taking them off for reading.) I got a new script, bought regular glasses and sunglasses, and waited excitedly.
I got the new glasses and immediately didn’t like them - I’m used to new glasses making it feel like I’m walking uphill or like everything is Too Sharp for a few days, I have had glasses for over 20 years, but these ones were BLURRY. Up close things were very sharp, better than my old frames. But anything more than a few feet away had a dull blur, and the distance was essentially a watercolor painting. To be a good sport I followed the office’s advice and wore them for a week to see if I would adjust. I didn’t.
So I went back in. New doctor, new exam. New prescription. I am three days into wearing the new glasses and I hate them. Same deal - up close is great! The distance is super blurry. If you are half a block away from me, I can’t be sure you have a face. Signs across the street are blurry. Road signs still suck. Reading a white board from a back row of desks? Nope.
The thing is, my old glasses are still way better. While I may not be able to read signs, at least they aren’t blurry. I can see that trees in the distance have leaves. People down the block definitely have faces - I may need to get closer to know who they are, but I can be certain they aren’t faceless. 
I HATE to be an annoying customer, but this is like $500 of nonfuctioning glasses I now own. They didn’t
take my PD at the second appt, but I have VR at home and my measurement is maybe only a mm off or so from theirs. They said my script didn’t change too much and one eye got better (I wish I had the numbers, sorry.) So WTF IS HAPPENING and how do I deal with the shame of a second call saying I still can’t see?</t>
        </is>
      </c>
      <c r="D819" t="n">
        <v>1</v>
      </c>
      <c r="E819" t="n">
        <v>3</v>
      </c>
      <c r="F819">
        <f>HYPERLINK("https://www.reddit.com/r/eyetriage/comments/d8cucl/two_bad_prescriptions_in_a_row_help/")</f>
        <v/>
      </c>
      <c r="G819" t="inlineStr">
        <is>
          <t>2019-09-23 14:00:35</t>
        </is>
      </c>
      <c r="H819" t="inlineStr"/>
    </row>
    <row r="820">
      <c r="A820" t="inlineStr">
        <is>
          <t>d8hho4</t>
        </is>
      </c>
      <c r="B820" t="inlineStr">
        <is>
          <t>Burning sensation in eyes after I go out even for 1-2 hours. What could be the reason ?</t>
        </is>
      </c>
      <c r="C820" t="inlineStr">
        <is>
          <t>.</t>
        </is>
      </c>
      <c r="D820" t="n">
        <v>1</v>
      </c>
      <c r="E820" t="n">
        <v>2</v>
      </c>
      <c r="F820">
        <f>HYPERLINK("https://www.reddit.com/r/eyetriage/comments/d8hho4/burning_sensation_in_eyes_after_i_go_out_even_for/")</f>
        <v/>
      </c>
      <c r="G820" t="inlineStr">
        <is>
          <t>2019-09-23 20:17:23</t>
        </is>
      </c>
      <c r="H820" t="inlineStr"/>
    </row>
    <row r="821">
      <c r="A821" t="inlineStr">
        <is>
          <t>d8khux</t>
        </is>
      </c>
      <c r="B821" t="inlineStr">
        <is>
          <t>Seeing black spot in darkness?</t>
        </is>
      </c>
      <c r="C821" t="inlineStr">
        <is>
          <t>Hello, for a few years I have been seeing a small, solid black dot in my eye (not sure which one), when in darkness. It’s like an afterimage but always the same shape and in the same place. It disappears quickly.
I do have floaters, but I don’t see any of the other ones in darkness, which leads me to believe this is not a floater. 
I also feel like I can see it briefly when I move my eyes and they are focusing. 
I have had many dilated eye exams by ophthalmologists since this problem occurred, and none can tell me what it is.</t>
        </is>
      </c>
      <c r="D821" t="n">
        <v>1</v>
      </c>
      <c r="E821" t="n">
        <v>3</v>
      </c>
      <c r="F821">
        <f>HYPERLINK("https://www.reddit.com/r/eyetriage/comments/d8khux/seeing_black_spot_in_darkness/")</f>
        <v/>
      </c>
      <c r="G821" t="inlineStr">
        <is>
          <t>2019-09-24 02:00:13</t>
        </is>
      </c>
      <c r="H821" t="inlineStr"/>
    </row>
    <row r="822">
      <c r="A822" t="inlineStr">
        <is>
          <t>d8qyxn</t>
        </is>
      </c>
      <c r="B822" t="inlineStr">
        <is>
          <t>Panicking (swollen optic nerve)</t>
        </is>
      </c>
      <c r="C822" t="inlineStr">
        <is>
          <t>Hi,
let me start off by saying that I live in UK and that I can't really afford private healthcare so my only option is NHS.
So I had a regular eye test at an optometrist privately, and she has told me that I have slightly swollen optic nerve. Whether or not in both eyes I do not know. She has told me that to get admitted to the hospital to get it checked out it would be a 3 months wait. Looking at the possible causes of swollen optic nerve I'm not comfortable waiting 3 months. What are my options? Should I walk into A&amp;amp;E (ER)? Go to my GP to try and speed up the process?
I also don't know how relevant this is but I've recently finished a therapy with budesonide (an anti-inflammatory corticosteroid) for lymphocytic colitis. I've also had a brain MRI for an unrelated reason at the end of May and that didn't reveal any issues. It is worth pointing out, however, that it was an MRI without contrast and from what I've read that makes it harder for the radiologist to notice a tumour (if there was one).</t>
        </is>
      </c>
      <c r="D822" t="n">
        <v>1</v>
      </c>
      <c r="E822" t="n">
        <v>4</v>
      </c>
      <c r="F822">
        <f>HYPERLINK("https://www.reddit.com/r/eyetriage/comments/d8qyxn/panicking_swollen_optic_nerve/")</f>
        <v/>
      </c>
      <c r="G822" t="inlineStr">
        <is>
          <t>2019-09-24 11:08:01</t>
        </is>
      </c>
      <c r="H822" t="inlineStr"/>
    </row>
    <row r="823">
      <c r="A823" t="inlineStr">
        <is>
          <t>d8tv5k</t>
        </is>
      </c>
      <c r="B823" t="inlineStr">
        <is>
          <t>Unexplained vision loss.</t>
        </is>
      </c>
      <c r="C823" t="inlineStr">
        <is>
          <t>Hello all,   
I've had some eye issues for a few years now and all was well and being treated until recently when I've been having bouts of vision loss that my doc cannot explain. I was hoping the minds of reddit could help. Here is some context to help. Of course I can provide more info if needed. Any help is very appreciated.   
\- DXed with intermediate uveitis in 2017. Not a lot of inflamatory cells but recurrent macular edemas in the left eye. Right eye has 20/20 vision since always. I have been treated with one injection and many stint of Predforte drops. I am a steroid responder and the edemas cleared up within days of starting using drops. After a few weeks without drops, the edema came back.   
\- Did many tests. Positive for HLA B27. I have a few lesions in brain white matter but no MS symptoms (being followed by neurologist) and no optic nerve inflammation. Rheumatologist (yes, I have a lot of doctors) asked for several spine MRIs as there is a family history of Ankylosing Spondilitis. No symptoms or signs of AS.   
\- Started Cellcept in November 2018. I have had barely any inflammation in the eyes since then.   
\- I have developped a steroid induced cataract in the left eye. The right eye has been mostly symptom less this whole time.   
The problem is the following : for the past few months, I have had a pretty significant vision loss in the left eye (goes from 20/25 to 20/80 at least) that lasts a few weeks and goes away. I am unable to read a book or text on my phone when this happens. This has happened about once a month since May. I have seen my doctor during these episodes and she says she cannot find anything clinically wrong with my eyes. No macular edema, no inflammation, optic nerve seems OK...  
I was wondering if anyone might have an idea or point me in some direction as to what might be happening. My guess from research and context would be Optic Neuritis (and I think my doc thought of that as well) but I have no pain in the eye and MRIs show a normal optic nerve.   
I am hoping the combined minds of the internet could throw some ideas at this problem.   
Thank you very much.</t>
        </is>
      </c>
      <c r="D823" t="n">
        <v>2</v>
      </c>
      <c r="E823" t="n">
        <v>6</v>
      </c>
      <c r="F823">
        <f>HYPERLINK("https://www.reddit.com/r/eyetriage/comments/d8tv5k/unexplained_vision_loss/")</f>
        <v/>
      </c>
      <c r="G823" t="inlineStr">
        <is>
          <t>2019-09-24 14:36:55</t>
        </is>
      </c>
      <c r="H823" t="inlineStr"/>
    </row>
    <row r="824">
      <c r="A824" t="inlineStr">
        <is>
          <t>d8x4x7</t>
        </is>
      </c>
      <c r="B824" t="inlineStr">
        <is>
          <t>Looked at sun multiple times</t>
        </is>
      </c>
      <c r="C824" t="inlineStr">
        <is>
          <t>So today, I blanked out while looking out the window and I was accidentally staring at the sun for like 5 seconds. Because I have OCD, I started freaking out about it. Now because of this, I decided to look at the sun again for 5 seconds because I wanted to convince myself that it wasn't that bad. I did this a couple times throughout the day. By the end of the day, I noticed that I had small distortions in my vision that would appear for a couple seconds. So now I'm scared I gave myself solar retinopathy by repeatedly looking at the sun.</t>
        </is>
      </c>
      <c r="D824" t="n">
        <v>2</v>
      </c>
      <c r="E824" t="n">
        <v>6</v>
      </c>
      <c r="F824">
        <f>HYPERLINK("https://www.reddit.com/r/eyetriage/comments/d8x4x7/looked_at_sun_multiple_times/")</f>
        <v/>
      </c>
      <c r="G824" t="inlineStr">
        <is>
          <t>2019-09-24 19:31:03</t>
        </is>
      </c>
      <c r="H824" t="inlineStr"/>
    </row>
    <row r="825">
      <c r="A825" t="inlineStr">
        <is>
          <t>d93pg6</t>
        </is>
      </c>
      <c r="B825" t="inlineStr">
        <is>
          <t>Healing after lasik surgery</t>
        </is>
      </c>
      <c r="C825" t="inlineStr">
        <is>
          <t>Hello everyone, so it's about 1 month after I had a lasik surgery (ebk) , to correct my vision
The thing is that I work with chalk, most of the time there's chalk in the air 
I wore goggles on the the first 2 weeks and then removed them 
Is it safe for the eyes or unclean eyes can affect healing ? I do keep them moistered all the time</t>
        </is>
      </c>
      <c r="D825" t="n">
        <v>1</v>
      </c>
      <c r="E825" t="n">
        <v>2</v>
      </c>
      <c r="F825">
        <f>HYPERLINK("https://www.reddit.com/r/eyetriage/comments/d93pg6/healing_after_lasik_surgery/")</f>
        <v/>
      </c>
      <c r="G825" t="inlineStr">
        <is>
          <t>2019-09-25 07:02:12</t>
        </is>
      </c>
      <c r="H825" t="inlineStr"/>
    </row>
    <row r="826">
      <c r="A826" t="inlineStr">
        <is>
          <t>d9dxx3</t>
        </is>
      </c>
      <c r="B826" t="inlineStr">
        <is>
          <t>Sudden onset Anisocoria, Dilated Pupils, and Blurry vision after getting a tube up my nose. Ophthalmologist and Neuro-Ophthalmologist aren't concerned, but I want my eyes back</t>
        </is>
      </c>
      <c r="C826" t="inlineStr">
        <is>
          <t>To be vague, I got a procedure a few weeks ago where a camera was put through my nose. The next day I noticed that my pupils were larger, and sometimes even different sizes. My eyes have not returned to their normal (small) size. 
My vision felt blurrier, and I had a sensation of vertigo/dizziness. 
My regular Ophthalmologist wasn't concerned, but said to wait and see and he would refer me to a neurologist if dizziness continued. He mentioned Horner's syndrome, and said I lacked a droopy eyelid and something about sweat. 
I went to a Neuro-Ophthalmologist. They said it was physiological, and not to be concerned. They did their exam, and looked at an old brain mri of mine I had several years back - but I noticed pupil changes a few weeks ago! 
Neither of them dilated my pupils (I did get my pupils dilated already this year during my regular exam)
What do I do? My vision with eyeglasses checked out as 20/20 on their boards, but my pupils really are larger than normal, and things really are blurrier than they used to be. 
Do I get a 2nd/3rd opinion? Do I beg my neurologist for a CAT scan/MRI?</t>
        </is>
      </c>
      <c r="D826" t="n">
        <v>3</v>
      </c>
      <c r="E826" t="n">
        <v>8</v>
      </c>
      <c r="F826">
        <f>HYPERLINK("https://www.reddit.com/r/eyetriage/comments/d9dxx3/sudden_onset_anisocoria_dilated_pupils_and_blurry/")</f>
        <v/>
      </c>
      <c r="G826" t="inlineStr">
        <is>
          <t>2019-09-25 20:14:19</t>
        </is>
      </c>
      <c r="H826" t="inlineStr"/>
    </row>
    <row r="827">
      <c r="A827" t="inlineStr">
        <is>
          <t>d9vzal</t>
        </is>
      </c>
      <c r="B827" t="inlineStr">
        <is>
          <t>(another) update on anisocoria/possible horner’s syndrome</t>
        </is>
      </c>
      <c r="C827" t="inlineStr">
        <is>
          <t>TL;DR at bottom
fyi. this was originally posted on r/optometry but it felt better suited here and i didn’t want to clog up a place where optometrists can just talk.
this is in response to this post: https://www.reddit.com/r/optometry/comments/d32z0o/update_on_what_looked_like_horners_syndrome/?utm_source=share&amp;amp;utm_medium=ios_app&amp;amp;utm_name=iossmf
i’ve been having pretty constant headaches and occasional dizziness that started out ok but now it’s made doing normal things really annoying/frustrating. my chest pains are getting worse and i overall don’t feel so hot anymore. i’m trying to play it off and act normal but i really don’t feel well. even my coworkers noticed while i was at work. 
last night my mom saw me crying in frustration over my headaches and my clumsiness and dizziness and decided enough was enough and was taking me to the doctor in the morning
was seen by a family doctor:
-i explained the anisocoria and eye droopyness. she said she wants me to go back to the eye doctor, otherwise she’s not concerned.
-i told her about my chest pain. i said one night my chest pain was so bad i couldn’t sleep, so i tried to massage my chest and it made it much worse. she said that that means it’s simply a problem with the lining of the chest and she didn’t want to order an x-ray 
-also mentioned that anxiety can be a cause of chest pain and that i’m probably just anxious because i’m 18 and have a job
-at the end my mom chimed in about my exhaustion and told her i sleep for 15 hours at a time and she seemed unconcerned. (i agree. i’m a teenager and i sleep a lot)
-asked if i take anything for the headaches. i take 2 ibuprofen almost everyday once a day. 
-doctors orders: stop taking ibuprofen and try a little caffeine 
-she is overall unconcerned except for my pupils  and doesn’t think i have any neurological problems
-call the office if i start having problems speaking or walking but it’s unlikely 
what now? go back to my optometrist and then find an ophthalmologist? i’m just a little frustrated because i want to stop having headaches and chest pains. i’m hoping it’s something minor that just got overlooked.
so sorry for the long post 
tl;dr: went to family doctor and she said i probably don’t have a neurological problem, and i don’t need any imaging. go to eye doc, and see if he sends me back here.</t>
        </is>
      </c>
      <c r="D827" t="n">
        <v>1</v>
      </c>
      <c r="E827" t="n">
        <v>7</v>
      </c>
      <c r="F827">
        <f>HYPERLINK("https://www.reddit.com/r/eyetriage/comments/d9vzal/another_update_on_anisocoriapossible_horners/")</f>
        <v/>
      </c>
      <c r="G827" t="inlineStr">
        <is>
          <t>2019-09-26 22:37:36</t>
        </is>
      </c>
      <c r="H827" t="inlineStr"/>
    </row>
    <row r="828">
      <c r="A828" t="inlineStr">
        <is>
          <t>da7d9n</t>
        </is>
      </c>
      <c r="B828" t="inlineStr">
        <is>
          <t>Binocular Vision Dysfunction?</t>
        </is>
      </c>
      <c r="C828" t="inlineStr">
        <is>
          <t>Hey guys, a little background. I’ve always had panic attacks and about a year ago my job was very stressful and they came back pretty hard. Except this time there was a new symptom.... disorientation while driving or watching TV. So fast forward to today and my panic attacks have cleared up (new job) but the disorientation is still there. Could this be BVD? Other things that may point to BVD is that I have neck pain and a chiropractor took my picture and showed that my head tilts to one side. Thanks in advance for any feedback.</t>
        </is>
      </c>
      <c r="D828" t="n">
        <v>1</v>
      </c>
      <c r="E828" t="n">
        <v>11</v>
      </c>
      <c r="F828">
        <f>HYPERLINK("https://www.reddit.com/r/eyetriage/comments/da7d9n/binocular_vision_dysfunction/")</f>
        <v/>
      </c>
      <c r="G828" t="inlineStr">
        <is>
          <t>2019-09-27 15:09:33</t>
        </is>
      </c>
      <c r="H828" t="inlineStr"/>
    </row>
    <row r="829">
      <c r="A829" t="inlineStr">
        <is>
          <t>dain9u</t>
        </is>
      </c>
      <c r="B829" t="inlineStr">
        <is>
          <t>Please help!</t>
        </is>
      </c>
      <c r="C829" t="inlineStr">
        <is>
          <t>Dear wonderful people of r/eyetriage,
Currently, my biggest struggle/inhibition/constraint is my dry eyes. It is very difficult for me to achieve flow, for I hold back my vision a lot. What do I mean by that? Do you know that feeling when you day dream? Yep. I do that a lot. I stare out in to space a lot. If you've met me in real life, you'll notice that I look out of it and not really present in the moment. 
Whenever I focus on something for too long and actually try to use my eyes as opposed to holding my vision back (could be as short as 10 minutes and some of my worst days - I try not to drive a lot because of this. Vision becomes blurry when I drive for awhile), my vision begins to become blurry and it becomes very difficult to be in the moment. 
After visiting a myriad of doctors and paying for even the most exorbitant eye care visit, I finally met an eye doctor at my school health center that finally diagnosed me correctly: that I have dry eyes. So, I'm being treated for it. However, it's been over 3 months. I've been religiously putting in eye drops of various kinds and I've been doing the steamed towel treatment, yet I see no improvement. So, I desperately go on reddit to see if anyone have any creative solutions or approaches that can hopefully solve my dry eyes issues. I've had this problem for as long as I could remember. I think it all started when I got my first iPhone in 2011. Since I've been living with this condition 7 years, maybe all it takes is a little bit more time than 3 months to see improvements. Nonetheless, my quality of life has decreased exponentially and therefore struggle with mental health. Please help!</t>
        </is>
      </c>
      <c r="D829" t="n">
        <v>3</v>
      </c>
      <c r="E829" t="n">
        <v>7</v>
      </c>
      <c r="F829">
        <f>HYPERLINK("https://www.reddit.com/r/eyetriage/comments/dain9u/please_help/")</f>
        <v/>
      </c>
      <c r="G829" t="inlineStr">
        <is>
          <t>2019-09-28 10:01:58</t>
        </is>
      </c>
      <c r="H829" t="inlineStr"/>
    </row>
    <row r="830">
      <c r="A830" t="inlineStr">
        <is>
          <t>daovcb</t>
        </is>
      </c>
      <c r="B830" t="inlineStr">
        <is>
          <t>Understanding my dry eyes. Is my doctor legit?</t>
        </is>
      </c>
      <c r="C830" t="inlineStr">
        <is>
          <t>Over the years, I have had dry eyes. I am not a medical academic, but I might describe my condition as 'chronic'. I am here to consult with this community for advice and to validate whether my local doctor is giving me the right treatment. (I live in a country where education level is low and doctors with false credentials is not uncommon).
About me:
* Age: early 30s
* Gender: Male
* Habitually looking at computer screens for prolonged periods (for my job)
* Lives in an area that is prone to get dusty very quickly for some reason.
* Wears glasses for about 13 years now.
* I read books a lot.
Things I notice about my eyes:
* Can be super dry at times; burns when I force them shut.
* When I blink sometimes, it feels like there is a tiny grain of sand between my eyeball and pressing against the inside of my eyelids.
* In the mornings, when stare at the blue sky (that is gently being warmed by the rising sun), I notice quite a bit of 'floaters' in my eyesight.
My treatment:
* My ophthalmologist prescribes to me a combination of **OLOPAT** and **Patanol**.
* I was told to take Patanol for 3 months
Although Patanol does help to relieve the dry eyes, it doesn't fix my problem. In fact, my doctor does not tell me what is the cause of my condition. There has been recent allegations towards the hospital in which the doctor practices — they prescribe medicine whereby patients must continuously re-buy regularly so that it is more profitable.
So, I would appreciate any insight from this community on what causes dry eyes. I would appreciate the mention of topics that I can personally research.
Thank you for your time.</t>
        </is>
      </c>
      <c r="D830" t="n">
        <v>0</v>
      </c>
      <c r="E830" t="n">
        <v>3</v>
      </c>
      <c r="F830">
        <f>HYPERLINK("https://www.reddit.com/r/eyetriage/comments/daovcb/understanding_my_dry_eyes_is_my_doctor_legit/")</f>
        <v/>
      </c>
      <c r="G830" t="inlineStr">
        <is>
          <t>2019-09-28 18:33:56</t>
        </is>
      </c>
      <c r="H830" t="inlineStr"/>
    </row>
    <row r="831">
      <c r="A831" t="inlineStr">
        <is>
          <t>dauwz6</t>
        </is>
      </c>
      <c r="B831" t="inlineStr">
        <is>
          <t>What is considered a “thick” cornea?</t>
        </is>
      </c>
      <c r="C831" t="inlineStr">
        <is>
          <t>I am finding conflicting sources on what constitutes a “thin/average/thick/very thick” cornea. 
Mine are measured 610-615, an my opthom said my pressures were overestimated due to “thick” corneas.
Thank you.</t>
        </is>
      </c>
      <c r="D831" t="n">
        <v>2</v>
      </c>
      <c r="E831" t="n">
        <v>3</v>
      </c>
      <c r="F831">
        <f>HYPERLINK("https://www.reddit.com/r/eyetriage/comments/dauwz6/what_is_considered_a_thick_cornea/")</f>
        <v/>
      </c>
      <c r="G831" t="inlineStr">
        <is>
          <t>2019-09-29 06:10:13</t>
        </is>
      </c>
      <c r="H831" t="inlineStr"/>
    </row>
    <row r="832">
      <c r="A832" t="inlineStr">
        <is>
          <t>daw1yw</t>
        </is>
      </c>
      <c r="B832" t="inlineStr">
        <is>
          <t>Blue Light, Blue Eyes, Blue Blocking Glasses?</t>
        </is>
      </c>
      <c r="C832" t="inlineStr">
        <is>
          <t>Hello there,
First off, to any eye pros that frequent this sub and answer these questions: thank you. 
So, here's my situation. I am a law student, and I do lots and lots of reading, all day, every day. I also take notes in some classes/write for journals etc. On my laptop. I am concerned about eye strain/vision degradation. 
Are those blue light glasses worth getting? And overall, what are some general tips for keeping my eyes healthy? My vision (last I checked) is 20/20, but I fear that I may need glasses by the time I graduate. 
Thank you for your time.</t>
        </is>
      </c>
      <c r="D832" t="n">
        <v>2</v>
      </c>
      <c r="E832" t="n">
        <v>3</v>
      </c>
      <c r="F832">
        <f>HYPERLINK("https://www.reddit.com/r/eyetriage/comments/daw1yw/blue_light_blue_eyes_blue_blocking_glasses/")</f>
        <v/>
      </c>
      <c r="G832" t="inlineStr">
        <is>
          <t>2019-09-29 07:47:29</t>
        </is>
      </c>
      <c r="H832" t="inlineStr"/>
    </row>
    <row r="833">
      <c r="A833" t="inlineStr">
        <is>
          <t>db11gg</t>
        </is>
      </c>
      <c r="B833" t="inlineStr">
        <is>
          <t>Plz help!</t>
        </is>
      </c>
      <c r="C833" t="inlineStr">
        <is>
          <t>My left eye is having trouble looking at object afar , i think this is called myopia , idk .  
YET my right eye has a sharp hawk-like vision , should this bother me ? is this normal?  
Can i become a captain with such eyesight?</t>
        </is>
      </c>
      <c r="D833" t="n">
        <v>1</v>
      </c>
      <c r="E833" t="n">
        <v>4</v>
      </c>
      <c r="F833">
        <f>HYPERLINK("https://www.reddit.com/r/eyetriage/comments/db11gg/plz_help/")</f>
        <v/>
      </c>
      <c r="G833" t="inlineStr">
        <is>
          <t>2019-09-29 13:51:32</t>
        </is>
      </c>
      <c r="H833" t="inlineStr"/>
    </row>
    <row r="834">
      <c r="A834" t="inlineStr">
        <is>
          <t>db2wjs</t>
        </is>
      </c>
      <c r="B834" t="inlineStr">
        <is>
          <t>Help! Slight difference in vision between both eyes is driving me crazy. Already saw 4 doctors. Any input is appreciated!</t>
        </is>
      </c>
      <c r="C834" t="inlineStr">
        <is>
          <t>Need to get some input as this is making me crazy.  
I have been wearing contact lenses (dailies, -3.75 on both eyes) for many years. I’ve used Acuvue, but lately I switched to CooperVision Dailies and I have been very very happy with them.  
About two months ago, I suddenly started having issues with my right eye. It more or less coincided with vaping out of a THC/Marijuana cartridge that made my eyes really red the next day. I obviously stopped vaping from that cartridge. I can’t assume one way or the other whether this was related or not. It also coincided with my Coopervision daily contacts running out, and going back to some leftover Hubble Contacts from when I had a subscription. However, the Hubbles were being rejected by my eyes (that’s why I switched to CooperVision in the first place). 
The issue is that I feel like there is a slight variation in vision between my right eye and my left eye. The issue is in the right eye. I can’t say it’s blurry, and the really strange thing is that when I try to compare the vision in each eye by covering the other one, I can’t see a difference. Sometimes, even, the left one seems like it’s a bit blurry. Lately I’ve noticed that the letters on green highway signs look sharper in my left eye than my right eye.  
I went to renew my prescription and get new CooperVision contacts before I noticed I had an issue (originally I just thought that my eye was rejecting the Hubble contacts. I always thought these were very low quality) but when I went back to the CooperVision, I noticed I was having issues seeing.  
I went to the doctor that did my contacts/eyeglass fitting and she said that I had conjuntivitis, so I should stop using contacts for a week and use artificial tears. I did this with zero positive results. Keep in mind, this is a doctor that does eye exams at a store in a mall.  
I went to a different one (still at one of those eyeglass shops, but somewhere else) and he said that I didn’t have any conjuntivitis, but that my eye was dry. He prescribed fluorometholone for a few days and artificial tears. This didn’t help either (in fact, I think the fluorometholone makes my vision blurry).  
When using eyeglasses, I was using eyeglasses that had -3.75 in both eyes, just like my contacts. I had those made last year at some point. The new prescription the Dr at the mall was: [https://imgur.com/IL6gHuI](https://imgur.com/IL6gHuI) 
After a couple of weeks, I went to another doctor. This time with a (more) qualified doctor at a hospital. He did refraction again, dilated my pupils, and said that everything looked good and healthy, and he said that he does not know why I was having these symptoms. He said I had the wrong prescription in my eyeglasses from last year, so he gave me a new one: [https://imgur.com/E75mwI5](https://imgur.com/E75mwI5) 
At this point I thought that maybe I had two separate issues: One was having an old/wrong prescription in my eyeglasses, and that’s why I didn’t see correctly when using them. The other one was the mysterious issue with my contacts. So I had new eyeglasses made. However, I ended up using the prescription from the first link above. Unfortunately, this didn’t correct the issue, although I definitely see better with those eyeglasses than the old ones. 
I went to ANOTHER doctor who said everything looked fine and that my eyes were healthy. He did say my eyes were more red than the typical eyes, and he prescribed something for allergies (this didn’t work either). Keep in mind, I’m a daily marijuana user, so this may contribute to the redness. However, I’ve never had problems with marijuana and eyes, and I’ve been a daily user for years. 
Again, the issue is a slight difference in vision between the two eyes, and I can’t really put a finger on exactly how to describe it. I just feel like something is off. So I’m wondering:   
1. Is there a big/noticeable difference between the two prescriptions from the two links above? Now I’m thinking maybe I should get eyeglasses with the second prescription as this one was made with refraction with my pupils dilated. 
2. Any clues as to what the next step can be? 
Thank you! Any input is much appreciated</t>
        </is>
      </c>
      <c r="D834" t="n">
        <v>1</v>
      </c>
      <c r="E834" t="n">
        <v>5</v>
      </c>
      <c r="F834">
        <f>HYPERLINK("https://www.reddit.com/r/eyetriage/comments/db2wjs/help_slight_difference_in_vision_between_both/")</f>
        <v/>
      </c>
      <c r="G834" t="inlineStr">
        <is>
          <t>2019-09-29 16:18:59</t>
        </is>
      </c>
      <c r="H834" t="inlineStr"/>
    </row>
    <row r="835">
      <c r="A835" t="inlineStr">
        <is>
          <t>dbf3tn</t>
        </is>
      </c>
      <c r="B835" t="inlineStr">
        <is>
          <t>One consistent floater</t>
        </is>
      </c>
      <c r="C835" t="inlineStr">
        <is>
          <t>I noticed about four months ago that I have one singular floater in my right eye that has not moved or gone away in that time. It is a single black dot with a small line extending off of it and is always the same shape and the same place, right about in the center of my line of vision so I end up "chasing it" with my eyes often since it's just right in the middle. I had been under the impression that floaters generally disappear on their own or at least should vary over time, so it struck me as odd that this one is just constant and wondered if I had actually done something to injure my eye. Is there anything I should do about it other than waiting?</t>
        </is>
      </c>
      <c r="D835" t="n">
        <v>1</v>
      </c>
      <c r="E835" t="n">
        <v>6</v>
      </c>
      <c r="F835">
        <f>HYPERLINK("https://www.reddit.com/r/eyetriage/comments/dbf3tn/one_consistent_floater/")</f>
        <v/>
      </c>
      <c r="G835" t="inlineStr">
        <is>
          <t>2019-09-30 10:35:28</t>
        </is>
      </c>
      <c r="H835" t="inlineStr"/>
    </row>
    <row r="836">
      <c r="A836" t="inlineStr">
        <is>
          <t>dbfpf7</t>
        </is>
      </c>
      <c r="B836" t="inlineStr">
        <is>
          <t>Post Macular Hole Surgery - any way to improve healing/vision?</t>
        </is>
      </c>
      <c r="C836" t="inlineStr">
        <is>
          <t>I had an auto-accident that caused a macular hole about 4-5 months ago. I had surgery (vitrectomy with macular hole repair).
Immediately after the surgery I noticed that where I had warped vision before, now I have a big grey area that I cannot see through. Are there any things I can try to help my eye heal/repair that area? 
I'm just wondering if there are any supplements, or eye exercises, etc that might help. I realize that there is a chance that it never heals/repairs, but I am trying to stay positive and investigate all things that might help.</t>
        </is>
      </c>
      <c r="D836" t="n">
        <v>1</v>
      </c>
      <c r="E836" t="n">
        <v>4</v>
      </c>
      <c r="F836">
        <f>HYPERLINK("https://www.reddit.com/r/eyetriage/comments/dbfpf7/post_macular_hole_surgery_any_way_to_improve/")</f>
        <v/>
      </c>
      <c r="G836" t="inlineStr">
        <is>
          <t>2019-09-30 11:15:10</t>
        </is>
      </c>
      <c r="H836" t="inlineStr"/>
    </row>
    <row r="837">
      <c r="A837" t="inlineStr">
        <is>
          <t>dbifz8</t>
        </is>
      </c>
      <c r="B837" t="inlineStr">
        <is>
          <t>When an ophthalmologist does surgery for corneal edema, how risky is it likely to be, and how successful is it usually?</t>
        </is>
      </c>
      <c r="C837" t="inlineStr">
        <is>
          <t>Is it routine surgery that nearly all ophthalmologists do successfully nearly all the time?  Does it usually completely solve the problem?</t>
        </is>
      </c>
      <c r="D837" t="n">
        <v>1</v>
      </c>
      <c r="E837" t="n">
        <v>5</v>
      </c>
      <c r="F837">
        <f>HYPERLINK("https://www.reddit.com/r/eyetriage/comments/dbifz8/when_an_ophthalmologist_does_surgery_for_corneal/")</f>
        <v/>
      </c>
      <c r="G837" t="inlineStr">
        <is>
          <t>2019-09-30 14:16:15</t>
        </is>
      </c>
      <c r="H837" t="inlineStr"/>
    </row>
    <row r="838">
      <c r="A838" t="inlineStr">
        <is>
          <t>dbm25a</t>
        </is>
      </c>
      <c r="B838" t="inlineStr">
        <is>
          <t>Eye pain and contacts</t>
        </is>
      </c>
      <c r="C838" t="inlineStr">
        <is>
          <t>So I’ve worn contacts since about 12-13 years old and I’m 23 now with glasses occasionally the years. In 2017 I got new glasses and prescription with caused me to feel like I was in a fish bowl until my prescription was lowered. Since my glasses were fixed I had been wearing them 95% of the time. 
Now since I want to wear contacts they hurt my eyes and not that they’re uncomfortable but that my eyes physically hurt in the backs when I wear them for even 45 min to workout. I think it’s also starting with my glasses and my eyes hurting which has started within the last few months. I have an appointment October 9th, could my prescription have changed that fast? Would it be a wrong prescription causing all this eye pain or something else. 
My grandmother had a detached retina and obviously I’ve googled my symptoms and that’s what it’s telling me it could be 😐</t>
        </is>
      </c>
      <c r="D838" t="n">
        <v>1</v>
      </c>
      <c r="E838" t="n">
        <v>2</v>
      </c>
      <c r="F838">
        <f>HYPERLINK("https://www.reddit.com/r/eyetriage/comments/dbm25a/eye_pain_and_contacts/")</f>
        <v/>
      </c>
      <c r="G838" t="inlineStr">
        <is>
          <t>2019-09-30 18:42:46</t>
        </is>
      </c>
      <c r="H838" t="inlineStr"/>
    </row>
    <row r="839">
      <c r="A839" t="inlineStr">
        <is>
          <t>dbrrhm</t>
        </is>
      </c>
      <c r="B839" t="inlineStr">
        <is>
          <t>Would any of these ingredients be a major issue, if they got in post-lasik eyes?</t>
        </is>
      </c>
      <c r="C839" t="inlineStr">
        <is>
          <t>I know it says don't get it in your eyes. But I got them in my eyes and didn't think it was a big enough deal to wash it out.:
https://i5.wal.co/asr/a75ed6c0-696f-416b-b66d-f6d255d8f6ea_4.3d0252b77e4699e2b793cdd3806b44c9.jpeg-595f9b23d472534f2b46685699a5258e8440a5eb-legacy-q85.jpg
Also, about 6 months after lasik in both eyes, I had to get a flap-lift to remove a fiber in my right eye. Maybe 2 weeks later, I got this hyaluronic acid in my eyes, thinking nbd, but I think my vision has actually worsened...
I get it. I'm stupid. But, what could the effects reasonably be, if any, and why?</t>
        </is>
      </c>
      <c r="D839" t="n">
        <v>1</v>
      </c>
      <c r="E839" t="n">
        <v>0</v>
      </c>
      <c r="F839">
        <f>HYPERLINK("https://www.reddit.com/r/eyetriage/comments/dbrrhm/would_any_of_these_ingredients_be_a_major_issue/")</f>
        <v/>
      </c>
      <c r="G839" t="inlineStr">
        <is>
          <t>2019-10-01 04:06:20</t>
        </is>
      </c>
      <c r="H839" t="inlineStr"/>
    </row>
    <row r="840">
      <c r="A840" t="inlineStr">
        <is>
          <t>dbw264</t>
        </is>
      </c>
      <c r="B840" t="inlineStr">
        <is>
          <t>Vision heal</t>
        </is>
      </c>
      <c r="C840" t="inlineStr">
        <is>
          <t xml:space="preserve"> I have 1.5 astigmatisms on each eye. not much but I wear glasses for the last 15 years. suddenly last Monday I woke up and put my glasses on like I do every day. But I felt a little dizzy and I thought it was because the glasses were dirty so I went to clean the lenses. When I was on the way to my work I notice that I was still feeling weird with my vision, so I took my glasses out and my vision was perfect. I was seeing everything perfectly without the glasses. what could have caused this symptom? maybe blood pressure?</t>
        </is>
      </c>
      <c r="D840" t="n">
        <v>2</v>
      </c>
      <c r="E840" t="n">
        <v>2</v>
      </c>
      <c r="F840">
        <f>HYPERLINK("https://www.reddit.com/r/eyetriage/comments/dbw264/vision_heal/")</f>
        <v/>
      </c>
      <c r="G840" t="inlineStr">
        <is>
          <t>2019-10-01 09:41:59</t>
        </is>
      </c>
      <c r="H840" t="inlineStr"/>
    </row>
    <row r="841">
      <c r="A841" t="inlineStr">
        <is>
          <t>dbxruo</t>
        </is>
      </c>
      <c r="B841" t="inlineStr">
        <is>
          <t>Double vision in right eye only, doctor couldn’t find anything, 1 year after last visit - still the same</t>
        </is>
      </c>
      <c r="C841" t="inlineStr">
        <is>
          <t>Hello
Im kinda desperate.I’m looking for people who had similiar condition since two doctors did not see anything wrong in my eye. 
Basically, a little bit more than a year ago, I had uveitis and afterwards I noticed, that I have double vision in my right eye only. This means that when Im looking with both eyes I do not get double vision unless that object is only visible by my right eye. What is more, if I cover my left eye completely and cover half of my right eye with my finger - double vision dissapears. 
Double vision means I’m seeing shadow of the object at around 7 oclock. The farther object is, the worse it looks.
My doctors tested me for various stuff and did not find anything. The only diagnosis i got was that my cornea might be a little bit scratched or something like that ( not sure how to translate ).  I actually got 1.0 on my both eyes, just that vision on my left eye is super blurry and I have to stare into things a bit since everything is doubled.</t>
        </is>
      </c>
      <c r="D841" t="n">
        <v>1</v>
      </c>
      <c r="E841" t="n">
        <v>3</v>
      </c>
      <c r="F841">
        <f>HYPERLINK("https://www.reddit.com/r/eyetriage/comments/dbxruo/double_vision_in_right_eye_only_doctor_couldnt/")</f>
        <v/>
      </c>
      <c r="G841" t="inlineStr">
        <is>
          <t>2019-10-01 11:45:07</t>
        </is>
      </c>
      <c r="H841" t="inlineStr"/>
    </row>
    <row r="842">
      <c r="A842" t="inlineStr">
        <is>
          <t>dc0u7r</t>
        </is>
      </c>
      <c r="B842" t="inlineStr">
        <is>
          <t>Rapidly Deteriorating Vision Following Trabeculectomy</t>
        </is>
      </c>
      <c r="C842" t="inlineStr">
        <is>
          <t>My father, who is in his 60's, recently had a trabeculectomy procedure performed for his open-angle glaucoma. Prior to this procedure, when he started noticing some of his vision decreasing, his vision registered around 20/150 with an average pressure (best I can remember) of around 17-20 while just taking Travatan and Bromonidine. He was still fairly functional day-to-day and continuing to work without issue except for reading taking longer and driving just recently being out of the question. He had also complained of some color vision loss and things looking dulled out. 
Following the procedure, now 4 months later, his vision registers anywhere from 20/500 to 20/1000 depending on what kind of day he is having. His pressure spiked to 25-35 just after the surgery. Lowered to 13 for a very short time, and now rests around 16-20 every time it is checked.
His central vision is nearly non-existent the way he describes it and his pressure keeps spiking any time they try to take him off or change the dosage of any combination of now 3 drops and methazolamide pills, even now that the bleb has opened. 
The doctor seems to have used every viable med he can think of to regulate the pressure, but has him on more drops than before and now pills, which irritates his eye to the point where he has to keep it closed whenever possible to avoid excess pain.
Has anyone heard of this significant amount of vision loss following this procedure? Any recommendations on the next steps to take, if any? 
He feels like he is completely losing his quality of life and is caught in a loop where he will just keep trying new meds until his vision is gone with no arrest.</t>
        </is>
      </c>
      <c r="D842" t="n">
        <v>5</v>
      </c>
      <c r="E842" t="n">
        <v>4</v>
      </c>
      <c r="F842">
        <f>HYPERLINK("https://www.reddit.com/r/eyetriage/comments/dc0u7r/rapidly_deteriorating_vision_following/")</f>
        <v/>
      </c>
      <c r="G842" t="inlineStr">
        <is>
          <t>2019-10-01 15:15:47</t>
        </is>
      </c>
      <c r="H842" t="inlineStr"/>
    </row>
    <row r="843">
      <c r="A843" t="inlineStr">
        <is>
          <t>dc3qxz</t>
        </is>
      </c>
      <c r="B843" t="inlineStr">
        <is>
          <t>Keep using heat compress on chalazion?</t>
        </is>
      </c>
      <c r="C843" t="inlineStr">
        <is>
          <t>After 2 weeks, my chalazion finally appears to be coming to a head: [https://imgur.com/a/udeSJfZ](https://imgur.com/a/udeSJfZ)
For the past several days, I've been using a heated eye mask 5 times a day for 10 minutes at a time. Should I keep using it until the chalazion completely recovers? Or would that be useless/harmful at this point?</t>
        </is>
      </c>
      <c r="D843" t="n">
        <v>1</v>
      </c>
      <c r="E843" t="n">
        <v>2</v>
      </c>
      <c r="F843">
        <f>HYPERLINK("https://www.reddit.com/r/eyetriage/comments/dc3qxz/keep_using_heat_compress_on_chalazion/")</f>
        <v/>
      </c>
      <c r="G843" t="inlineStr">
        <is>
          <t>2019-10-01 19:02:16</t>
        </is>
      </c>
      <c r="H843" t="inlineStr"/>
    </row>
    <row r="844">
      <c r="A844" t="inlineStr">
        <is>
          <t>dcfavx</t>
        </is>
      </c>
      <c r="B844" t="inlineStr">
        <is>
          <t>Ocumetics Bionic Lens?</t>
        </is>
      </c>
      <c r="C844" t="inlineStr">
        <is>
          <t>Is anyone aware of any clinical trials on the Ocumetics Bionic Lens, an accommodative IOL?  I am unable to find any (or at least any completed trial results) and I'm wondering if this is real or vaporware. 
Any professionals in the field have any opinion on this?
Their website - [Ocumetics Bionic Lens](https://www.ocumetics.com/)</t>
        </is>
      </c>
      <c r="D844" t="n">
        <v>2</v>
      </c>
      <c r="E844" t="n">
        <v>0</v>
      </c>
      <c r="F844">
        <f>HYPERLINK("https://www.reddit.com/r/eyetriage/comments/dcfavx/ocumetics_bionic_lens/")</f>
        <v/>
      </c>
      <c r="G844" t="inlineStr">
        <is>
          <t>2019-10-02 12:41:33</t>
        </is>
      </c>
      <c r="H844" t="inlineStr"/>
    </row>
    <row r="845">
      <c r="A845" t="inlineStr">
        <is>
          <t>dciven</t>
        </is>
      </c>
      <c r="B845" t="inlineStr">
        <is>
          <t>Working out after CXL Cross Linking?</t>
        </is>
      </c>
      <c r="C845" t="inlineStr">
        <is>
          <t xml:space="preserve"> 
Hello everyone.
I  had CXL Cross Linking for a bilateral Keratoconus on Monday Sept 23rd  so that's like a week and 2 or three days ago. My doctor took off the  bandage lenses 3 days post surgery. My vision is now practically back to  pre-surgery with no extra haze but just slight sunlight sensitivity  (much less than the first couple of days).Can I go back to the gym now ?   I mostly do weightlifting/resistance training.</t>
        </is>
      </c>
      <c r="D845" t="n">
        <v>2</v>
      </c>
      <c r="E845" t="n">
        <v>0</v>
      </c>
      <c r="F845">
        <f>HYPERLINK("https://www.reddit.com/r/eyetriage/comments/dciven/working_out_after_cxl_cross_linking/")</f>
        <v/>
      </c>
      <c r="G845" t="inlineStr">
        <is>
          <t>2019-10-02 16:56:27</t>
        </is>
      </c>
      <c r="H845" t="inlineStr"/>
    </row>
    <row r="846">
      <c r="A846" t="inlineStr">
        <is>
          <t>dcl2aa</t>
        </is>
      </c>
      <c r="B846" t="inlineStr">
        <is>
          <t>mild Keratoconus, -is it worth getting surgery?</t>
        </is>
      </c>
      <c r="C846" t="inlineStr">
        <is>
          <t>I had a wonderful ophthamologist who spotted mild Keratoconus in my left eye when I was 35. Basically white writing on a black background splits and my eye often feels like it's "pulling" in the morning. 
He told me that it tends to settle down after 40 and now I'm nearly 42. It isn't a major issue but before he retired he said the efficacy of cross linking has been shown and may even improve or reverse some of the damage. 
So my question is, with a very mild case and being over 40 is it worth looking into getting this done? I'm overseas at the minute (Japan) and could get it done fairly quickly. 
My second question is, after cross linking, is laser eye surgery possible? 
Thanks for any help offered! :)</t>
        </is>
      </c>
      <c r="D846" t="n">
        <v>1</v>
      </c>
      <c r="E846" t="n">
        <v>2</v>
      </c>
      <c r="F846">
        <f>HYPERLINK("https://www.reddit.com/r/eyetriage/comments/dcl2aa/mild_keratoconus_is_it_worth_getting_surgery/")</f>
        <v/>
      </c>
      <c r="G846" t="inlineStr">
        <is>
          <t>2019-10-02 20:00:41</t>
        </is>
      </c>
      <c r="H846" t="inlineStr"/>
    </row>
    <row r="847">
      <c r="A847" t="inlineStr">
        <is>
          <t>dcwubr</t>
        </is>
      </c>
      <c r="B847" t="inlineStr">
        <is>
          <t>¿How does a chalazion drain?</t>
        </is>
      </c>
      <c r="C847" t="inlineStr">
        <is>
          <t>I have a chalazion since two months ago. I don't feel pain at all. I've been to the doctor and he's given me an hydrocortisone, oxytetracycline and polymyxin eye ointment which I've been applying to the eye for a week now. The chalazion started in the middle of the upper eyelid and has now gone to the inferior side of it. It has morphed over time and now it looks like a big pus-filled pimple.  
I've read a lot about it and I understand how it evolves, what I have to do to threat it, etc, but I HAVE ONE DOUBT: How is the process by which the chalazion drains itself? AND ESPECIALLY: Does it drain to the outside or to the interior of of the eyelid?</t>
        </is>
      </c>
      <c r="D847" t="n">
        <v>1</v>
      </c>
      <c r="E847" t="n">
        <v>0</v>
      </c>
      <c r="F847">
        <f>HYPERLINK("https://www.reddit.com/r/eyetriage/comments/dcwubr/how_does_a_chalazion_drain/")</f>
        <v/>
      </c>
      <c r="G847" t="inlineStr">
        <is>
          <t>2019-10-03 13:40:43</t>
        </is>
      </c>
      <c r="H847" t="inlineStr"/>
    </row>
    <row r="848">
      <c r="A848" t="inlineStr">
        <is>
          <t>dcxh3f</t>
        </is>
      </c>
      <c r="B848" t="inlineStr">
        <is>
          <t>Is a retinal camera and field vision test necessary at every annual eye exam in a patient with normal vision/no occular issues but family history of glaucoma?</t>
        </is>
      </c>
      <c r="C848" t="inlineStr">
        <is>
          <t>I get my eyes checked every 1.5 years by  at by a optometrist at one of those national chain eyeglass stores. My vision is normal and I have no occular issues. I am in my 30s. My grandmother had glaucoma (diabetes) and Mac degeneration, but otherwise no family history of occular diseases. 
Every time I go in for my eye exam, they try to sell me on the retinal camera and field test as an additional add on for $20. $20 to determine if there is any issue with my precious eyes and sight is money well spent in my opinion, if it's an actual necessary test and not just an unnecessary way for this store to make more money. 
So should I be getting this test every year with my eye exam, or every few years, or not until a certain age? 
Thanks</t>
        </is>
      </c>
      <c r="D848" t="n">
        <v>5</v>
      </c>
      <c r="E848" t="n">
        <v>21</v>
      </c>
      <c r="F848">
        <f>HYPERLINK("https://www.reddit.com/r/eyetriage/comments/dcxh3f/is_a_retinal_camera_and_field_vision_test/")</f>
        <v/>
      </c>
      <c r="G848" t="inlineStr">
        <is>
          <t>2019-10-03 14:24:51</t>
        </is>
      </c>
      <c r="H848" t="inlineStr"/>
    </row>
    <row r="849">
      <c r="A849" t="inlineStr">
        <is>
          <t>dcyt2a</t>
        </is>
      </c>
      <c r="B849" t="inlineStr">
        <is>
          <t>Afterimage</t>
        </is>
      </c>
      <c r="C849" t="inlineStr">
        <is>
          <t>I went to an opthamologist regarding the issue I posted about here before and they dilated my pupils and looked into my eye using that thing that shines light. Ever since I see an afterimage (like the one when you look into a bright light that disappears after a while)  in my right eye, except this one does not disappear. It's been there for the last 20 hours or so. It's there when I blink or switch from looking at something dark to looking at something bright.
&amp;amp;#x200B;
What the hell.</t>
        </is>
      </c>
      <c r="D849" t="n">
        <v>1</v>
      </c>
      <c r="E849" t="n">
        <v>9</v>
      </c>
      <c r="F849">
        <f>HYPERLINK("https://www.reddit.com/r/eyetriage/comments/dcyt2a/afterimage/")</f>
        <v/>
      </c>
      <c r="G849" t="inlineStr">
        <is>
          <t>2019-10-03 16:03:34</t>
        </is>
      </c>
      <c r="H849" t="inlineStr"/>
    </row>
    <row r="850">
      <c r="A850" t="inlineStr">
        <is>
          <t>dczlte</t>
        </is>
      </c>
      <c r="B850" t="inlineStr">
        <is>
          <t>Weird eye sensation</t>
        </is>
      </c>
      <c r="C850" t="inlineStr">
        <is>
          <t>I need advice. I’ve been having a weird on/off eye sensation for months on end now. It initially felt like a weird pressure/pain behind my right eye. It is subtle enough that I only notice it sometimes. It gets worse in certain situations such as when it’s really bright out or when I tear up. I went to a new optometrist who told me my eye looked fine and it was because my previous optometrist labeled my contact boxes wrong and I was wearing the wrong contact in the wrong eye. I have astigmatism so she said that’s probably what I was feeling by “weird sensation”. Months go on and the feeling persists. I go see an ophthalmologist who does a more in depth look at my eye and he says everything looks healthy. Again, the pain persists. I notice that my right eye sees things a smidge darker which  is especially noticeable at night. My doctor think the sensation is a result of my deviated septum and that it’s my sinuses and gives me a cat scan on my sinuses. AGAIN, everything is fine. I don’t know what to do at this point. I initially thought it was all in my head but this feeling keeps coming up. I’m worried if I don’t figure out what it is sooner or later I can really mess myself up. I don’t even know if it’s an eye issue anymore. What if it’s something else. I’m just wondering if anyone has heard of anything that could cause this? I’m really tired of not getting answers :(.</t>
        </is>
      </c>
      <c r="D850" t="n">
        <v>1</v>
      </c>
      <c r="E850" t="n">
        <v>4</v>
      </c>
      <c r="F850">
        <f>HYPERLINK("https://www.reddit.com/r/eyetriage/comments/dczlte/weird_eye_sensation/")</f>
        <v/>
      </c>
      <c r="G850" t="inlineStr">
        <is>
          <t>2019-10-03 17:09:50</t>
        </is>
      </c>
      <c r="H850" t="inlineStr"/>
    </row>
    <row r="851">
      <c r="A851" t="inlineStr">
        <is>
          <t>dd7m07</t>
        </is>
      </c>
      <c r="B851" t="inlineStr">
        <is>
          <t>If you had early onset cataracts (mid-40s)</t>
        </is>
      </c>
      <c r="C851" t="inlineStr">
        <is>
          <t>Which IOL would you choose?
Monofocal, Monofocal/Monovision, Multi-focal, Accommodative?
Ideally the answer would be an accommodative IOL, but in the US the only one approved I believe is the Crystalens and I'm not sure how much benefit that product yields.  You read that it provides up to 2D of accommodation but some studies have show it to be as low as 0.4D.  
Are there any better accommodative IOLs on the market in other countries? I'm willing to travel. Are there better accommodative IOL nearing approval in the US or Canada? 
What about Multi-Focal IOLs?  Seems like a mixed bag to me. I hear people reporting low contrast, visual distortions, halos, etc. When they work do they really significantly reduce the need for reading glasses?
Monovision might be a decent option for me.  I wear glasses and I've had prescription shifts where I've had one eye undercorrected by as much as 1.25D while the other eye was well corrected, so I essentially had monovision in those instances.
I'm most interested in accommodative IOLs, but it seems that there's got to be something out there better than the Crystalens.
I'm most interested in hearing from professionals and those that have these various IOLs.</t>
        </is>
      </c>
      <c r="D851" t="n">
        <v>2</v>
      </c>
      <c r="E851" t="n">
        <v>14</v>
      </c>
      <c r="F851">
        <f>HYPERLINK("https://www.reddit.com/r/eyetriage/comments/dd7m07/if_you_had_early_onset_cataracts_mid40s/")</f>
        <v/>
      </c>
      <c r="G851" t="inlineStr">
        <is>
          <t>2019-10-04 06:48:55</t>
        </is>
      </c>
      <c r="H851" t="inlineStr"/>
    </row>
    <row r="852">
      <c r="A852" t="inlineStr">
        <is>
          <t>ddbwt7</t>
        </is>
      </c>
      <c r="B852" t="inlineStr">
        <is>
          <t>Vision loss</t>
        </is>
      </c>
      <c r="C852" t="inlineStr">
        <is>
          <t>Hi guys. I just found this subreddit and i hope i get some helpful information.
So, i experience like a sudden vision loss maybe 5 times a year. It happened today again. I started having it at my early 20's but now its more often this is the 5th time this year.
So it goes like this. Not sure why but my eyes are so sensitive to light that i lose my eyesight and all i can see is white, everything is white and i cant see anything only maybe if I focus much on a human face i can barely see his nose nothing else. Everytime i experience this, when my vision is back to normal i experience headache pain, but to be specific the pain is above my eyes and the front of the head, mostly on one side. At those moments of vision loss im desoriented,confused and just waiting for my vision to come back. Im wearing glasses with blue screen protector because i work on a computer, but today i arrived at work, i put my glasses on i turned on the computer and when i looked in the monitor because our software is all white, i lost my vision at same moment.
Sometimes i lose my vision for computer screens , sometimes when i get of the computer after working for some hours and go outside not sure why i lose it while im walking, or maybe the traffic lights are the reason. One time i just woke up , went outside to drink cofee at the balcony i lost it again. Not sure if digital eye strain i dont know what it is.
I also have these white floating stuff  (not sure how they call them) in my vision all the time. 
The doctor made me do test EEG for epylepsy, the results were totaly great. Next step is MRI. I read on the internet about Multiple sclerosis, so not sure if its it.
Sorry for my bad english its not my native language, but i need some information if anyone else have experienced this. Some of the doctors say that they think its not multiple sclerosis so not sure what to think.
Please if anyone else had this issues, please let me know, life is shit with this going on and my anxiety is through the roof.
Thanks</t>
        </is>
      </c>
      <c r="D852" t="n">
        <v>1</v>
      </c>
      <c r="E852" t="n">
        <v>13</v>
      </c>
      <c r="F852">
        <f>HYPERLINK("https://www.reddit.com/r/eyetriage/comments/ddbwt7/vision_loss/")</f>
        <v/>
      </c>
      <c r="G852" t="inlineStr">
        <is>
          <t>2019-10-04 12:10:10</t>
        </is>
      </c>
      <c r="H852" t="inlineStr"/>
    </row>
    <row r="853">
      <c r="A853" t="inlineStr">
        <is>
          <t>ddv14g</t>
        </is>
      </c>
      <c r="B853" t="inlineStr">
        <is>
          <t>I saw a sudden flash of light at the top of my field of vision. Already had PVD in both eyes. Wondering whether to page ophthalmologist or call Monday a.m. More in text.</t>
        </is>
      </c>
      <c r="C853" t="inlineStr">
        <is>
          <t>I see an ophthalmologist every six months to have my retinas checked, as I've a family history of macular degeneration and also have type 2 diabetes (very well-controlled - last A1c was in pre-diabetic range).  I just experienced a very sudden and brief flash of light at the top of my field of vision, as if the overhead flourescent lights in my kitchen had flashed on and off suddenly.  Couldn't tell which eye it was in.  No other symptoms.  When I last saw my ophthalmologist in June, my optic nerves, maculae, and retinas were fine.  I do have slighlty high pressure in my eyes, but she's not too concerned about it.  My blood pressure is excellent, if that's relevant.  I'm wondering if there's any reason to page her now?  I'm inclined to wait until Monday morning, unless something happens again over the weekend, but I'd appreciate your thoughts on this.</t>
        </is>
      </c>
      <c r="D853" t="n">
        <v>3</v>
      </c>
      <c r="E853" t="n">
        <v>13</v>
      </c>
      <c r="F853">
        <f>HYPERLINK("https://www.reddit.com/r/eyetriage/comments/ddv14g/i_saw_a_sudden_flash_of_light_at_the_top_of_my/")</f>
        <v/>
      </c>
      <c r="G853" t="inlineStr">
        <is>
          <t>2019-10-05 16:16:21</t>
        </is>
      </c>
      <c r="H853" t="inlineStr"/>
    </row>
    <row r="854">
      <c r="A854" t="inlineStr">
        <is>
          <t>de7bfb</t>
        </is>
      </c>
      <c r="B854" t="inlineStr">
        <is>
          <t>Depth perception goes squirrly on bike/horse/etc when looking straight ahead vs angled</t>
        </is>
      </c>
      <c r="C854" t="inlineStr">
        <is>
          <t>I have roughly 20/250 vision with best correction, but my right eye is notably worse than my left. Unsure what background  I should give.  
The situation is: When biking, or driving an atv, riding a horse, or the like. If I'm focusing more on the ground immediately in front of me or on a trail without long sight lines? I'm fine, navigate, respond. Everything's good. If I have to deal wit ha road or other long pathway where it's a long line of sight and i"m looking ahead (as in trying to see if anything's coming, thigns that need avoiding, or simple sighting landmarks) everything just feels 'off' The closest way  Ican describe it is my eye and my inner ear are having disagreements on balance and distance doesn't make sense. There isn't a 'sick at the stomach' or other nausia. Just 'the concept of distance is becoming nonsensical.'  
I have no idea what's going on here. I can walk fine. I do fine RIDING in vehicles. Also sorta happens when riding on the back of a motorcycle so I'm unsure if it's visual, inner ear, or if I'm just having freak out episodes. Whatever it is makes me attempting to cycle look like a no-go for safety concerns.</t>
        </is>
      </c>
      <c r="D854" t="n">
        <v>1</v>
      </c>
      <c r="E854" t="n">
        <v>2</v>
      </c>
      <c r="F854">
        <f>HYPERLINK("https://www.reddit.com/r/eyetriage/comments/de7bfb/depth_perception_goes_squirrly_on_bikehorseetc/")</f>
        <v/>
      </c>
      <c r="G854" t="inlineStr">
        <is>
          <t>2019-10-06 11:36:45</t>
        </is>
      </c>
      <c r="H854" t="inlineStr"/>
    </row>
    <row r="855">
      <c r="A855" t="inlineStr">
        <is>
          <t>dei1ur</t>
        </is>
      </c>
      <c r="B855" t="inlineStr">
        <is>
          <t>Stye and yellow pus</t>
        </is>
      </c>
      <c r="C855" t="inlineStr">
        <is>
          <t xml:space="preserve"> 
Hi guys,
I saw my optho a few days ago for a stye that's on the inner side of the eyelid. She prescribed twice a day tobramycin and dexamethosne drops a few days ago to use for 1 week. But I've noticed yellow crusty discharge for the past few mornings. Is this the pus from the stye draining ro should I be concerned?</t>
        </is>
      </c>
      <c r="D855" t="n">
        <v>2</v>
      </c>
      <c r="E855" t="n">
        <v>0</v>
      </c>
      <c r="F855">
        <f>HYPERLINK("https://www.reddit.com/r/eyetriage/comments/dei1ur/stye_and_yellow_pus/")</f>
        <v/>
      </c>
      <c r="G855" t="inlineStr">
        <is>
          <t>2019-10-07 04:20:07</t>
        </is>
      </c>
      <c r="H855" t="inlineStr"/>
    </row>
    <row r="856">
      <c r="A856" t="inlineStr">
        <is>
          <t>deizd9</t>
        </is>
      </c>
      <c r="B856" t="inlineStr">
        <is>
          <t>Small wave on Amsler Grid</t>
        </is>
      </c>
      <c r="C856" t="inlineStr">
        <is>
          <t>Hi 👋 
In short, I am a 29 year-old Caucasian male with very minimal prior/current vision impairment (very mild distance prescription only).  Four months ago, I went to an eye center for a routine eye exam- my first exam in 10 years- as I thought I might need a slight prescription to renew my driver’s license.  The OD referred me to a retina specialist due to the drusen he saw during eye dilation. The retina specialist diagnosed me with macular dystrophy, specifically basal laminar drusen/cuticular drusen, and recommended annual follow-ups/weekly tests on the Amsler Grid. Said 80% chance likely to have no vision loss.
However, for the past couple of months, I have noticed a slight wave on the Amsler Grid with my left eye in the upper right quadrant. The wave is small (a straight line the length of two tiny squares) and will move right when I focus my eye towards  it and also sometimes resolve. 
Do you think given the fact that I have cuticular Drusen, that this might be an early sign/ start of central vision loss? Could it be something else? I have been extremely stressed as of late &amp;amp; I heard stress can cause issues with the eyes. 
I posted a picture of one of my scans, you can see it on my profile if you’d like to take a better look. 
Any insight would be greatly appreciated!</t>
        </is>
      </c>
      <c r="D856" t="n">
        <v>1</v>
      </c>
      <c r="E856" t="n">
        <v>1</v>
      </c>
      <c r="F856">
        <f>HYPERLINK("https://www.reddit.com/r/eyetriage/comments/deizd9/small_wave_on_amsler_grid/")</f>
        <v/>
      </c>
      <c r="G856" t="inlineStr">
        <is>
          <t>2019-10-07 05:49:04</t>
        </is>
      </c>
      <c r="H856" t="inlineStr"/>
    </row>
    <row r="857">
      <c r="A857" t="inlineStr">
        <is>
          <t>del3vq</t>
        </is>
      </c>
      <c r="B857" t="inlineStr">
        <is>
          <t>Suspected papilledema in left eye.</t>
        </is>
      </c>
      <c r="C857" t="inlineStr">
        <is>
          <t>Hello. I am a pregnant, 28 year old female. I went to the eye doctor for my routine eye exam over the weekend. While I was there, the doctor found some swelling inthe optic nerve in my left eye (which is actually pictures on the right in this photo:https://imgur.com/a/6WC7MyF). The doctor asked me if I have pain in my left eye when I look around, which is negative. He then asked me if I have been having head aches or whooshing sounds in my ears. I had awful headaches about a month ago for a few weeks, but because my BP was normal, my midwife and OB weren't concerned about it. I have been having some whooshing sound in my right ear. 
They are currently trying to get me referred to a neurooptimologist. I will go ASAP whenever they can get me in.
In the mean time, can anyone tell me how bad this is looking? How worried would you be?
Thanks!</t>
        </is>
      </c>
      <c r="D857" t="n">
        <v>3</v>
      </c>
      <c r="E857" t="n">
        <v>2</v>
      </c>
      <c r="F857">
        <f>HYPERLINK("https://www.reddit.com/r/eyetriage/comments/del3vq/suspected_papilledema_in_left_eye/")</f>
        <v/>
      </c>
      <c r="G857" t="inlineStr">
        <is>
          <t>2019-10-07 08:36:20</t>
        </is>
      </c>
      <c r="H857" t="inlineStr"/>
    </row>
    <row r="858">
      <c r="A858" t="inlineStr">
        <is>
          <t>dep1it</t>
        </is>
      </c>
      <c r="B858" t="inlineStr">
        <is>
          <t>Help, eye pain.</t>
        </is>
      </c>
      <c r="C858" t="inlineStr">
        <is>
          <t>Hi, I am a 30 yr old male, myopic (-3.0) and I wore glasses and contacts for most of my life.
So one day, about six months ago, I was wearing my contact lenses and I started to notice some discomfort in my right eye. Initially, I didnt think much of it, as I thought it was simply irritation. And then I got really worried when it did not go away. (And I havent worn my contacts ever since)
The symptoms are only present in my right eye, and they are:
- a dull pain, located on the sclera, outer side, and it feels like its the size of a grain of sand. It seems like it could be on the surface or beneath it and its constantly present.
- the other symptom is sensitivity to light, and I have trouble seeing in dark rooms.
A part from that, there is no redness or anything out of the ordinary when I inspect my eye.
So far these past months, I have consulted multiple specialists including optometrists and an ophtamologist. After a series of tests, they havent found anything wrong on the outside or inside of my eye. They said that its not inflamation nor an infection. The only thing they prescribed is hydrating drops(hylo gel), which havent really helped. I have also tried cold/warm compresses which did not help either.
If anyone has any insight on what it could be or what I could try, I would very much appreciate that as I am very desperate.
Thank you,</t>
        </is>
      </c>
      <c r="D858" t="n">
        <v>1</v>
      </c>
      <c r="E858" t="n">
        <v>2</v>
      </c>
      <c r="F858">
        <f>HYPERLINK("https://www.reddit.com/r/eyetriage/comments/dep1it/help_eye_pain/")</f>
        <v/>
      </c>
      <c r="G858" t="inlineStr">
        <is>
          <t>2019-10-07 13:14:53</t>
        </is>
      </c>
      <c r="H858" t="inlineStr"/>
    </row>
    <row r="859">
      <c r="A859" t="inlineStr">
        <is>
          <t>depokv</t>
        </is>
      </c>
      <c r="B859" t="inlineStr">
        <is>
          <t>20/30 Vision to 20/20?</t>
        </is>
      </c>
      <c r="C859" t="inlineStr">
        <is>
          <t>I don’t know what other thread to post this on so I hope it’s ok that i’m posting it here. I want to get into the FBI but they require you have 20/20 in one eye and 20/40 in another. As of right now, I have 20/40 in one eye and 20/30 in the other. I went to an eye doctor today and she said glasses or contacts would not improve my 20/30 into 20/20. Is this true? I have nystagmus so maybe that has something to do with it? Is there a way i could get that one eye to 20/20? 
Thank you!</t>
        </is>
      </c>
      <c r="D859" t="n">
        <v>3</v>
      </c>
      <c r="E859" t="n">
        <v>5</v>
      </c>
      <c r="F859">
        <f>HYPERLINK("https://www.reddit.com/r/eyetriage/comments/depokv/2030_vision_to_2020/")</f>
        <v/>
      </c>
      <c r="G859" t="inlineStr">
        <is>
          <t>2019-10-07 13:59:34</t>
        </is>
      </c>
      <c r="H859" t="inlineStr"/>
    </row>
    <row r="860">
      <c r="A860" t="inlineStr">
        <is>
          <t>detmbx</t>
        </is>
      </c>
      <c r="B860" t="inlineStr">
        <is>
          <t>Ophthalmologist opinion needed: Kayser-Fleischer rings</t>
        </is>
      </c>
      <c r="C860" t="inlineStr">
        <is>
          <t>Hello docs,
I have a quick question that I was hoping you guys could help me with. You can all tell me no, if this isn't the place for this or if its just not possible. I see, and have seen, golden rings around my iris, and I have a small concern that they might be K-F rings. The main problems are I have light brown eyes and am not a professional.
Can anyone offer any help?</t>
        </is>
      </c>
      <c r="D860" t="n">
        <v>0</v>
      </c>
      <c r="E860" t="n">
        <v>1</v>
      </c>
      <c r="F860">
        <f>HYPERLINK("https://www.reddit.com/r/eyetriage/comments/detmbx/ophthalmologist_opinion_needed_kayserfleischer/")</f>
        <v/>
      </c>
      <c r="G860" t="inlineStr">
        <is>
          <t>2019-10-07 19:12:42</t>
        </is>
      </c>
      <c r="H860" t="inlineStr"/>
    </row>
    <row r="861">
      <c r="A861" t="inlineStr">
        <is>
          <t>dev1u4</t>
        </is>
      </c>
      <c r="B861" t="inlineStr">
        <is>
          <t>Eye pain behind eye when sleeping</t>
        </is>
      </c>
      <c r="C861" t="inlineStr">
        <is>
          <t>Everytime I close my eyes  feel pressure under my forehed and pain behind my eye. I can also hear the blood vessels pulsating. Any idea what it could be ? I use artificial tears and eye gel daily.</t>
        </is>
      </c>
      <c r="D861" t="n">
        <v>1</v>
      </c>
      <c r="E861" t="n">
        <v>1</v>
      </c>
      <c r="F861">
        <f>HYPERLINK("https://www.reddit.com/r/eyetriage/comments/dev1u4/eye_pain_behind_eye_when_sleeping/")</f>
        <v/>
      </c>
      <c r="G861" t="inlineStr">
        <is>
          <t>2019-10-07 21:22:13</t>
        </is>
      </c>
      <c r="H861" t="inlineStr"/>
    </row>
    <row r="862">
      <c r="A862" t="inlineStr">
        <is>
          <t>df2xvx</t>
        </is>
      </c>
      <c r="B862" t="inlineStr">
        <is>
          <t>'Ocular Migraine' Differential Diagnosis</t>
        </is>
      </c>
      <c r="C862" t="inlineStr">
        <is>
          <t>I have been experiencing intermittent visual loss, predominantly in one eye, for fourteen months. It has happened approximately 8 times in this time span. The symptoms include an insidious onset of visual loss (generally beginning with central visual loss and progressing outward) followed by recovery of vision within thirty to forty five minutes. It has affected a single eye on each occasion with the exception of one occasion where both eyes were affected and rather than my normal central vision loss I experienced complete loss of vision with the exception of a narrow window of sight near the bottom of my usual visual window. The episodes are painless, self-resolving, and don't appear to have any triggers.
I have a history of double vision caused by a lazy eye. The double vision used to be very predictable and would occur only when I was very fatigued and when I was looking at distant objects. I also have visual snow. In August I experienced a greying of my vision and expected an ocular migraine to follow. Instead I began seeing double and have not stopped. As stated, generally my double is predictable and easily remedied with sleep. This double has differed in that it occurs at all times and when viewing things near and far (even things as close as my computer, hand, phone, etc). The double has improved/lessened over the past three weeks but still remains (before it was every waking minute, now it's probably 60% of the time).
Approximately a year ago I was diagnosed by my PCP with ocular migraines following a normal visual exam. I sought assistance again this time as I'm now seeing double in addition to the other symptoms. I got an MRI to rule out MS and am pending a visit to the neuro. The MRI showed deep white matter hyperintensities. Differential diagnoses include migraine. 
My primary question in this:
Do ocular migraines cause double vision as well? I am not finding anything that suggests they do. I understand my visual loss is consistent with ocular migraines but want to ensure I am not missing anything that could be the cause of my double vision as well.</t>
        </is>
      </c>
      <c r="D862" t="n">
        <v>1</v>
      </c>
      <c r="E862" t="n">
        <v>0</v>
      </c>
      <c r="F862">
        <f>HYPERLINK("https://www.reddit.com/r/eyetriage/comments/df2xvx/ocular_migraine_differential_diagnosis/")</f>
        <v/>
      </c>
      <c r="G862" t="inlineStr">
        <is>
          <t>2019-10-08 10:08:28</t>
        </is>
      </c>
      <c r="H862" t="inlineStr"/>
    </row>
    <row r="863">
      <c r="A863" t="inlineStr">
        <is>
          <t>df8gny</t>
        </is>
      </c>
      <c r="B863" t="inlineStr">
        <is>
          <t>Night vision flipped</t>
        </is>
      </c>
      <c r="C863" t="inlineStr">
        <is>
          <t>I'm  trying out scleral lenses after many unsuccessful trials with RGPs and  still having some trouble with night vision.  Overall, it's been a huge  improvement - but, I'm hoping we still have room to troubleshoot.
What's  interesting is the starbursts / ghosting has flipped - so, without the  lenses the light / images smears down and with the lens it smears up.   Any idea why this may be happening, or have you had any experience  solving a similar issue?  My Dr has adjusted the power and fit looks +  feels great, she's happy with progress so far.
Would  adjusting the base curve make a difference?  Is there anything else I  could look into or suggest (e.g., lens geometry, material, etc.)?
Any advice without knowing my full history would be more than appreciated :)</t>
        </is>
      </c>
      <c r="D863" t="n">
        <v>1</v>
      </c>
      <c r="E863" t="n">
        <v>1</v>
      </c>
      <c r="F863">
        <f>HYPERLINK("https://www.reddit.com/r/eyetriage/comments/df8gny/night_vision_flipped/")</f>
        <v/>
      </c>
      <c r="G863" t="inlineStr">
        <is>
          <t>2019-10-08 16:38:15</t>
        </is>
      </c>
      <c r="H863" t="inlineStr"/>
    </row>
    <row r="864">
      <c r="A864" t="inlineStr">
        <is>
          <t>df9eoc</t>
        </is>
      </c>
      <c r="B864" t="inlineStr">
        <is>
          <t>Overnight change in eyesight with glasses.</t>
        </is>
      </c>
      <c r="C864" t="inlineStr">
        <is>
          <t>Hello! Im looking for some advice on my issue and having a hard time finding any online because it's kind of specific. 
Today I woke up and my vision with glasses had completely changed. Without glasses, I can see close up and not far away. That's the same as it has been. With my glasses, though, my distance vision seems to be great but my close up vision is super blurry. 
I wore contacts for the first time in at least a year this past Monday. I accidentally slept in them and could tell my eyes were upset but I gave myself a break from them. It's in both eyes and it seems that even without the glasses tonight it's getting blurrier. 
I'm on vacation until the 10th and I don't know of anywhere I can use my health insurance. Any advice is appreciated.</t>
        </is>
      </c>
      <c r="D864" t="n">
        <v>2</v>
      </c>
      <c r="E864" t="n">
        <v>10</v>
      </c>
      <c r="F864">
        <f>HYPERLINK("https://www.reddit.com/r/eyetriage/comments/df9eoc/overnight_change_in_eyesight_with_glasses/")</f>
        <v/>
      </c>
      <c r="G864" t="inlineStr">
        <is>
          <t>2019-10-08 17:48:26</t>
        </is>
      </c>
      <c r="H864" t="inlineStr"/>
    </row>
    <row r="865">
      <c r="A865" t="inlineStr">
        <is>
          <t>dfb6lx</t>
        </is>
      </c>
      <c r="B865" t="inlineStr">
        <is>
          <t>Weird symptoms, could be one of a couple things?</t>
        </is>
      </c>
      <c r="C865" t="inlineStr">
        <is>
          <t>Hey all! 25 y/o m here. For the last few years I've noticed double vision/ghosting both at distance (~30ft) and on screens at pretty much any distance. It's not necessarily debilitating, but it can be annoying - especially while driving at night, and it's been slowly getting more noticeable as time goes on. I can see perfectly fine (barring screens) close up, but after a certain point things just get a little.. softer? Not sure if I'd consider it "blurry" as it seems more like the edges of things are doubled slightly. 
I've spent tons of time researching it and definitely terrifying myself over the possibility of something major, but it seems like it's most likely either dry eyes (I work and play behind a computer almost all day every day and have for many years) or astigmatism. When performing a pinhole test, my focus seems to function properly. I can also move my brow and/or eyelids in certain ways to get my vision back to how I think it should be, but that doesn't last after letting go. 
The strangest part is that the 'intensity' of the ghosting changes almost every time I blink. My eyes feel sort of watery, sort of gooey, sometimes burn and are almost always red. I can't seem to find anything online that explains why blinking would have such effects on my vision, so I'm pretty in the dark there. I've recently purchased a bottle of Systane Complete at the recommendation of a few people on reddit, but the changes have been negligible if anything (it feels like it might be doing SOMETHING, though that could very easily just be placebo.)
Any tips would be appreciated! I'm sure my best course of action is to just get an eye exam, but I figured I'd check here before spending the money that I don't have. Thanks all!</t>
        </is>
      </c>
      <c r="D865" t="n">
        <v>1</v>
      </c>
      <c r="E865" t="n">
        <v>1</v>
      </c>
      <c r="F865">
        <f>HYPERLINK("https://www.reddit.com/r/eyetriage/comments/dfb6lx/weird_symptoms_could_be_one_of_a_couple_things/")</f>
        <v/>
      </c>
      <c r="G865" t="inlineStr">
        <is>
          <t>2019-10-08 20:15:43</t>
        </is>
      </c>
      <c r="H865" t="inlineStr"/>
    </row>
    <row r="866">
      <c r="A866" t="inlineStr">
        <is>
          <t>dfcchj</t>
        </is>
      </c>
      <c r="B866" t="inlineStr">
        <is>
          <t>Visual static?</t>
        </is>
      </c>
      <c r="C866" t="inlineStr">
        <is>
          <t>Hi all,
When I look at white or light coloured walls I  floaters and almost like static in my vision, but not when I look at objects or darker colours. I sometimes also see a light halo or ring around people who are against white/light backgrounds. I’ve also had floaters in my vision since forever. If I look at bright lights and then look away, I can see a glare/light in the shape of the light in my vision which takes a few seconds to go away. This is especially obvious during nighttime when I’m driving. My eyesight isn’t great, -6.00 and -5.75 with astigmatism in my left eye, but no one in my family has great eyesight.
Is this common for people with poor eyesight?</t>
        </is>
      </c>
      <c r="D866" t="n">
        <v>3</v>
      </c>
      <c r="E866" t="n">
        <v>1</v>
      </c>
      <c r="F866">
        <f>HYPERLINK("https://www.reddit.com/r/eyetriage/comments/dfcchj/visual_static/")</f>
        <v/>
      </c>
      <c r="G866" t="inlineStr">
        <is>
          <t>2019-10-08 22:08:58</t>
        </is>
      </c>
      <c r="H866" t="inlineStr"/>
    </row>
    <row r="867">
      <c r="A867" t="inlineStr">
        <is>
          <t>dfk8c9</t>
        </is>
      </c>
      <c r="B867" t="inlineStr">
        <is>
          <t>Timoptic drops</t>
        </is>
      </c>
      <c r="C867" t="inlineStr">
        <is>
          <t>I have been diagnosed with glaucoma and I was prescribed with timolol(timoptic) drops. Any extensive teachings?</t>
        </is>
      </c>
      <c r="D867" t="n">
        <v>1</v>
      </c>
      <c r="E867" t="n">
        <v>5</v>
      </c>
      <c r="F867">
        <f>HYPERLINK("https://www.reddit.com/r/eyetriage/comments/dfk8c9/timoptic_drops/")</f>
        <v/>
      </c>
      <c r="G867" t="inlineStr">
        <is>
          <t>2019-10-09 10:20:44</t>
        </is>
      </c>
      <c r="H867" t="inlineStr"/>
    </row>
    <row r="868">
      <c r="A868" t="inlineStr">
        <is>
          <t>dfm7rg</t>
        </is>
      </c>
      <c r="B868" t="inlineStr">
        <is>
          <t>Infrared photo thermal damage</t>
        </is>
      </c>
      <c r="C868" t="inlineStr">
        <is>
          <t>If you accidentally stand in the passive IR sensor at a supermarket, can it damage your retinas?</t>
        </is>
      </c>
      <c r="D868" t="n">
        <v>1</v>
      </c>
      <c r="E868" t="n">
        <v>2</v>
      </c>
      <c r="F868">
        <f>HYPERLINK("https://www.reddit.com/r/eyetriage/comments/dfm7rg/infrared_photo_thermal_damage/")</f>
        <v/>
      </c>
      <c r="G868" t="inlineStr">
        <is>
          <t>2019-10-09 12:41:06</t>
        </is>
      </c>
      <c r="H868" t="inlineStr"/>
    </row>
    <row r="869">
      <c r="A869" t="inlineStr">
        <is>
          <t>dfnn1j</t>
        </is>
      </c>
      <c r="B869" t="inlineStr">
        <is>
          <t>I have Retinopathy Of Prematurity And I Am Seeing Flashes And I Need To Find A Hospital</t>
        </is>
      </c>
      <c r="C869" t="inlineStr">
        <is>
          <t>A few months ago I saw and have been seeing one or two sparkles in my vision a day. Relatively recently it has gotten much worse and I'm seeing at least 7 a day, but even that seems like I'm vastly underestimating it. I also have been recently seeing a dark circle that appears for a few seconds about once every day or two. I was thinking of going to Wills Eye Hospital in Philadelphia. Can someone help me understand the eye report I got a few months ago? Here are some photos of it: [https://imgur.com/a/ozcTOxO](https://imgur.com/a/ozcTOxO)</t>
        </is>
      </c>
      <c r="D869" t="n">
        <v>1</v>
      </c>
      <c r="E869" t="n">
        <v>8</v>
      </c>
      <c r="F869">
        <f>HYPERLINK("https://www.reddit.com/r/eyetriage/comments/dfnn1j/i_have_retinopathy_of_prematurity_and_i_am_seeing/")</f>
        <v/>
      </c>
      <c r="G869" t="inlineStr">
        <is>
          <t>2019-10-09 14:22:14</t>
        </is>
      </c>
      <c r="H869" t="inlineStr"/>
    </row>
    <row r="870">
      <c r="A870" t="inlineStr">
        <is>
          <t>dfq81r</t>
        </is>
      </c>
      <c r="B870" t="inlineStr">
        <is>
          <t>Should I go to the ER for this?</t>
        </is>
      </c>
      <c r="C870" t="inlineStr">
        <is>
          <t>I was out for a bike ride a few hours ago around my university campus. It is particularly windy. Something blew into my left eye and I had the all-too-familiar sensation of something being stuck in my eye. I got home was getting a bit concerned when I didn't feel it go away. I spent several 10 minute sessions trying to flush it out with running water, holding my head at different angles each time. 
It's been a few hours since the bike ride. I still feel "it" scratching my left eye when I blink, or when I close my eye and rotate my eyeball from left to right. It hurts pretty acutely when I feel the scratch. My vision is still normal. "It" does not seem to move, though tilting my head back, with my face toward the ceiling does seem to negate the effect. Facing down enhances the effect.
I am getting increasingly concerned this is a small rock / metal object that is lodged in my upper eyelid and cannot be flushed out. I am afraid to go to bed and wake up with a seriously damaged cornea. I have been unable to find much of use searching the internet or this subreddit history.
Is this worth going to the ER? Should I be concerned? Or should I just sleep it off and go tomorrow if it is still a problem? I really don't want to risk permanent eye damage. Please help. Thank you.</t>
        </is>
      </c>
      <c r="D870" t="n">
        <v>1</v>
      </c>
      <c r="E870" t="n">
        <v>5</v>
      </c>
      <c r="F870">
        <f>HYPERLINK("https://www.reddit.com/r/eyetriage/comments/dfq81r/should_i_go_to_the_er_for_this/")</f>
        <v/>
      </c>
      <c r="G870" t="inlineStr">
        <is>
          <t>2019-10-09 17:37:34</t>
        </is>
      </c>
      <c r="H870" t="inlineStr"/>
    </row>
    <row r="871">
      <c r="A871" t="inlineStr">
        <is>
          <t>dfv7hn</t>
        </is>
      </c>
      <c r="B871" t="inlineStr">
        <is>
          <t>My brother was hit in the eye with a rock</t>
        </is>
      </c>
      <c r="C871" t="inlineStr">
        <is>
          <t>I’ll spare the details of the situation but he ended up doing ok. He has Anisocoria now and we’re not sure if it’s permanent. Can the Anisocoria make the effected eye more prone to Cataracts?</t>
        </is>
      </c>
      <c r="D871" t="n">
        <v>1</v>
      </c>
      <c r="E871" t="n">
        <v>1</v>
      </c>
      <c r="F871">
        <f>HYPERLINK("https://www.reddit.com/r/eyetriage/comments/dfv7hn/my_brother_was_hit_in_the_eye_with_a_rock/")</f>
        <v/>
      </c>
      <c r="G871" t="inlineStr">
        <is>
          <t>2019-10-10 01:56:37</t>
        </is>
      </c>
      <c r="H871" t="inlineStr"/>
    </row>
    <row r="872">
      <c r="A872" t="inlineStr">
        <is>
          <t>dfwt1i</t>
        </is>
      </c>
      <c r="B872" t="inlineStr">
        <is>
          <t>Foggy smudges in eyes</t>
        </is>
      </c>
      <c r="C872" t="inlineStr">
        <is>
          <t>Hi, I'm 26 and I developed floaters, my ophthalmologist told me that I'm having PVD. Somehow I managed to live with it, but my concern are foggy, blurring specks, which I see when moving eyes and looking at the light source (e.g computer screen). It bothers me a lot, because I'm CS student. Those are floaters too? Will it go away or I have to undergo vitrectomy to remove it?</t>
        </is>
      </c>
      <c r="D872" t="n">
        <v>3</v>
      </c>
      <c r="E872" t="n">
        <v>6</v>
      </c>
      <c r="F872">
        <f>HYPERLINK("https://www.reddit.com/r/eyetriage/comments/dfwt1i/foggy_smudges_in_eyes/")</f>
        <v/>
      </c>
      <c r="G872" t="inlineStr">
        <is>
          <t>2019-10-10 04:45:26</t>
        </is>
      </c>
      <c r="H872" t="inlineStr"/>
    </row>
    <row r="873">
      <c r="A873" t="inlineStr">
        <is>
          <t>dg1tbj</t>
        </is>
      </c>
      <c r="B873" t="inlineStr">
        <is>
          <t>Can Sphere Value decrease?</t>
        </is>
      </c>
      <c r="C873" t="inlineStr">
        <is>
          <t>On one of my eye the prescription changes from:
Sphere: -1.25 -&amp;gt; -1.0
Cyl: -0.75 -&amp;gt; -1.0
Axis: 140 -&amp;gt; 160
Before I go and get new glasses I want to make sure that the Sphere value makes sense.</t>
        </is>
      </c>
      <c r="D873" t="n">
        <v>2</v>
      </c>
      <c r="E873" t="n">
        <v>6</v>
      </c>
      <c r="F873">
        <f>HYPERLINK("https://www.reddit.com/r/eyetriage/comments/dg1tbj/can_sphere_value_decrease/")</f>
        <v/>
      </c>
      <c r="G873" t="inlineStr">
        <is>
          <t>2019-10-10 10:59:35</t>
        </is>
      </c>
      <c r="H873" t="inlineStr"/>
    </row>
    <row r="874">
      <c r="A874" t="inlineStr">
        <is>
          <t>dg9suu</t>
        </is>
      </c>
      <c r="B874" t="inlineStr">
        <is>
          <t>Slightly flaky skin on the outer corner of my left eye what could this be?</t>
        </is>
      </c>
      <c r="C874" t="inlineStr">
        <is>
          <t>So about a month or so ago probably a little less my eye became slightly swollen and red almost like I had a stye eye then the next day it was fine and not swollen or red anymore but the outer corner is slightly flaky and it’s still like this. It doesn’t hurt or anything else so idk what this could be. Anyone know? It looks like eczema when I googled eye problems just without the swollen or redness.</t>
        </is>
      </c>
      <c r="D874" t="n">
        <v>2</v>
      </c>
      <c r="E874" t="n">
        <v>3</v>
      </c>
      <c r="F874">
        <f>HYPERLINK("https://www.reddit.com/r/eyetriage/comments/dg9suu/slightly_flaky_skin_on_the_outer_corner_of_my/")</f>
        <v/>
      </c>
      <c r="G874" t="inlineStr">
        <is>
          <t>2019-10-10 21:12:49</t>
        </is>
      </c>
      <c r="H874" t="inlineStr"/>
    </row>
    <row r="875">
      <c r="A875" t="inlineStr">
        <is>
          <t>dga078</t>
        </is>
      </c>
      <c r="B875" t="inlineStr">
        <is>
          <t>Corneal topography - Afraid of Keratoconus</t>
        </is>
      </c>
      <c r="C875" t="inlineStr">
        <is>
          <t>Hello friends, I'm 30 year old male and i suffer from astigmatism in both eyes since teenage years, recently (at the last month or so my vision has worsen) my ophthalmologist referred me to a corneal mapping test to rule out Keratoconus.
This is the first time in my life I've had this test and I'm afraid of the results - my doctor's next appointment is only a month from now and only then he can tell me the results. I would love if any of you can give me information from his or hers experience And give an opinion on the mapping results.
THANK YOU VERY VERY MUCH.
https://i.redd.it/scwo743haur31.jpg</t>
        </is>
      </c>
      <c r="D875" t="n">
        <v>1</v>
      </c>
      <c r="E875" t="n">
        <v>5</v>
      </c>
      <c r="F875">
        <f>HYPERLINK("https://www.reddit.com/r/eyetriage/comments/dga078/corneal_topography_afraid_of_keratoconus/")</f>
        <v/>
      </c>
      <c r="G875" t="inlineStr">
        <is>
          <t>2019-10-10 21:33:38</t>
        </is>
      </c>
      <c r="H875" t="inlineStr"/>
    </row>
    <row r="876">
      <c r="A876" t="inlineStr">
        <is>
          <t>dggeot</t>
        </is>
      </c>
      <c r="B876" t="inlineStr">
        <is>
          <t>Suggestions for keeping a BCL moist overnight</t>
        </is>
      </c>
      <c r="C876" t="inlineStr">
        <is>
          <t>Hi all, I was recently diagnosed with RCE, and have been wearing a bandage contact lens for the past 4 weeks. In 2 more weeks it comes off. The lens is mostly a great help but sometimes it gets dried out during the night and in one case I feel like the dry lens may have contributed to a small tear which of course is not ideal. I had been using the Refresh Long Lasting Hydration drops at night because I could not find the overnight options (and I figured maybe there was not much difference). But after the incident with the tear I made more of an effort and tracked down the Refresh Celluvisc which is the overnight gel formula. I am not sure about the gel, I can feel that it coats my eye which does prevent it feeling dry but I wonder if it's an issue to use it with a BCL. It also feels like it takes a while for my tear production to kick in after getting up when I've used the gel (I have been applying Blink Gel Tears Contacts formula shortly after getting up to counteract this, but I did that before I used the gel too). Anyway, just curious if there is a recommended eye drop for my situation.</t>
        </is>
      </c>
      <c r="D876" t="n">
        <v>1</v>
      </c>
      <c r="E876" t="n">
        <v>2</v>
      </c>
      <c r="F876">
        <f>HYPERLINK("https://www.reddit.com/r/eyetriage/comments/dggeot/suggestions_for_keeping_a_bcl_moist_overnight/")</f>
        <v/>
      </c>
      <c r="G876" t="inlineStr">
        <is>
          <t>2019-10-11 08:01:21</t>
        </is>
      </c>
      <c r="H876" t="inlineStr"/>
    </row>
    <row r="877">
      <c r="A877" t="inlineStr">
        <is>
          <t>dgxg4c</t>
        </is>
      </c>
      <c r="B877" t="inlineStr">
        <is>
          <t>Help</t>
        </is>
      </c>
      <c r="C877" t="inlineStr">
        <is>
          <t>Hello. I went to the opthalmologist three days ago and was told my retina was thin but nothing was wrong with my eyes. Starting the next day until today however I have been noticing floaters and I experienced three very quick flashes of light in succession (which could be symptoms of retina detachment). The floaters are still here but I haven't got another flashes of light. I don't know if I should go back to the opthalmologist right away or wait to go until I have another flashes experience.</t>
        </is>
      </c>
      <c r="D877" t="n">
        <v>1</v>
      </c>
      <c r="E877" t="n">
        <v>8</v>
      </c>
      <c r="F877">
        <f>HYPERLINK("https://www.reddit.com/r/eyetriage/comments/dgxg4c/help/")</f>
        <v/>
      </c>
      <c r="G877" t="inlineStr">
        <is>
          <t>2019-10-12 09:35:14</t>
        </is>
      </c>
      <c r="H877" t="inlineStr"/>
    </row>
    <row r="878">
      <c r="A878" t="inlineStr">
        <is>
          <t>dgyrfu</t>
        </is>
      </c>
      <c r="B878" t="inlineStr">
        <is>
          <t>Is it possible to keep a healthy eye without a lacrimal sac?</t>
        </is>
      </c>
      <c r="C878" t="inlineStr">
        <is>
          <t>This might not be the appropriate place or way to ask this - but, I hope you will accept it as I am new here and come from a non-related / non-medical background.
A family friend had a surgery recently and it turn out that his lacrimal sac was affected due to years of smaller procedures. I presume that these procedures were invasive and might have perforated and damaged it severely. From what I know, the doctors hope that they could replace the lacrimal sac with an artificial one...
Not sure how well I explained the situation, but I have limited information and don't feel comfortable asking for more information, unless I come with some sort of references that might be useful.
Is there a way to keep a healthy eye without a lacrimal sac?
Thank you for any help!</t>
        </is>
      </c>
      <c r="D878" t="n">
        <v>1</v>
      </c>
      <c r="E878" t="n">
        <v>1</v>
      </c>
      <c r="F878">
        <f>HYPERLINK("https://www.reddit.com/r/eyetriage/comments/dgyrfu/is_it_possible_to_keep_a_healthy_eye_without_a/")</f>
        <v/>
      </c>
      <c r="G878" t="inlineStr">
        <is>
          <t>2019-10-12 11:16:41</t>
        </is>
      </c>
      <c r="H878" t="inlineStr"/>
    </row>
    <row r="879">
      <c r="A879" t="inlineStr">
        <is>
          <t>dha1ju</t>
        </is>
      </c>
      <c r="B879" t="inlineStr">
        <is>
          <t>About subepithelial infiltrates (SEI)</t>
        </is>
      </c>
      <c r="C879" t="inlineStr">
        <is>
          <t>I recently had a pretty bad case of viral conjunctivis. Now, three weeks later, then redness, swelling and tearing is gone, but one of my eyes is now plagued with SEI. My vision is extremely blurry in that eye, as in, I could not read or write anything if both of my eyes were like this. I have seen an optometrist and an ophtalmologist a few days ago, and they have given me  corticosteroid drops (Fluorometholone 0.1%) to apply for one week.  My questions are:
1) If I understand the science behind this, the infiltrates are essentially due to white blood cells fighting off the virus residuals in my cornea. Is that correct?
2) How long does this usually last? The half-blurred vision is giving me constant headaches. It's been about five days now and it feels like it hasn't improved at all.
3) Am I still contagious? Can the virus residual still find its way out of my cornea and onto other people?
Thanks.</t>
        </is>
      </c>
      <c r="D879" t="n">
        <v>3</v>
      </c>
      <c r="E879" t="n">
        <v>11</v>
      </c>
      <c r="F879">
        <f>HYPERLINK("https://www.reddit.com/r/eyetriage/comments/dha1ju/about_subepithelial_infiltrates_sei/")</f>
        <v/>
      </c>
      <c r="G879" t="inlineStr">
        <is>
          <t>2019-10-13 05:37:15</t>
        </is>
      </c>
      <c r="H879" t="inlineStr"/>
    </row>
    <row r="880">
      <c r="A880" t="inlineStr">
        <is>
          <t>dhd4gf</t>
        </is>
      </c>
      <c r="B880" t="inlineStr">
        <is>
          <t>Blind spots and other issues</t>
        </is>
      </c>
      <c r="C880" t="inlineStr">
        <is>
          <t>I have been having various problems with my eyes and have been to my Optometrist for an appointment I made a while in advance that coincidentally was when I began to experience a few problems but no blind "spots" yet in my eyes, like eye pain, "flickering", colors appearing a shade darker. 
My Optometrist did not find anything and I did not mention anything in hopes that it might just "go away" eventually. When it didn't go away I made another appointment about 2 weeks later around the end of August, same establishment but different Optometrist who couldn't find anything but said I had allergies in my eyes and gave me allergy drops, to which over a month later of the 2 months I am seeing no improvements at all besides a temporary relief of eye pain.
Around early to mid-September I started to notice more floaters in my left eye, which I've always had floaters in my eyes for 4 years now, in my left eye I am noticing one new big floater and in both eyes dozens of new perfectly circular floaters, my left eye also has minor flashes now and I experienced one massive flash in my peripheral but nothing else.
It is around $80 for everytime I go to that doctor so I decided to schedule an appointment with family doctor and she could not see anything inside my eyes around a week ago in October, and here's where the main concerning thing begins, about a week ago I began to see "blind spots" in both eyes around the same time that are not my Optic Nerve blind spots, in particular there is one spot in my right eye between my central gaze and my Optic Nerve blind spot where I can make my mouse cursor almost completely disappear inside it. Left eye:  [https://i.imgur.com/crGOYHD.png](https://i.imgur.com/crGOYHD.png) and Right eye:  [https://i.imgur.com/a2OByzB.png](https://i.imgur.com/a2OByzB.png). The big black spots are the Optic Nerve blind spots that I put there to show that they aren't my optic nerve spots. All the small black dots are "weak spots" where stuff seems to go fuzzy, and I have 2 or so spots in my right eye where I can make stuff almost completely disappear in them and I think around 2 in my left eye as well. 
Just wondering where I should go from this point because it would be another $80 to go to my Optometrist again for an exam in which they likely won't even find anything wrong just like the last time, or go back to family doctor again and try to see what can be done, in which case I went for an eye exam in 2018 to the same Optometrist and he referred me to a "specialist" (which I am assuming would be an Opthamologist?) and to this day, 1 year and 2 months later have not received any calls from the specialist to come in for an appointment. 
To add my family doctor asked me if I wanted to do a blood test, which not sure how that would have to do with my eyes but I went to do it anyways on Tuesday and am still waiting to see the results for that so I am not sure if that would give any clues on what is going on with my eyes or I would just be wasting my time waiting for the results.</t>
        </is>
      </c>
      <c r="D880" t="n">
        <v>1</v>
      </c>
      <c r="E880" t="n">
        <v>2</v>
      </c>
      <c r="F880">
        <f>HYPERLINK("https://www.reddit.com/r/eyetriage/comments/dhd4gf/blind_spots_and_other_issues/")</f>
        <v/>
      </c>
      <c r="G880" t="inlineStr">
        <is>
          <t>2019-10-13 09:54:45</t>
        </is>
      </c>
      <c r="H880" t="inlineStr"/>
    </row>
    <row r="881">
      <c r="A881" t="inlineStr">
        <is>
          <t>dhfb60</t>
        </is>
      </c>
      <c r="B881" t="inlineStr">
        <is>
          <t>Eye fullness feeling on late nights. Should I go see the doctor again?</t>
        </is>
      </c>
      <c r="C881" t="inlineStr">
        <is>
          <t>Hi all, I have a serious problem with insomnia (usually stay up late, often pull all nights, for years). Lately it seems my brain cannot take insomnia any more because for the first time in my life I experienced migraine on the right side of the head. Fast forward a few weeks, now when I stay up late I feel the pain expands to the eyes. This week whenever I stay up late (though tried really hard to go to bed early, including taking melatonin), I have a strong sense of eye fullness. After a sleep my eyes become normal again, but as long as I stay up late, that feeling comes.
I went see an expert on eye health on 17/9 to check for glaucoma (back then this eye fullness problem didnt exist), he told me that my eyes were good and that there were no signs for glaucoma, despite my eyes being highly myopic (~ -10D both eyes).
I have two questions:
- How likely is it for this eye fullness to kill my optic nerve?
- Should I go see the doctor again or should I just try to sleep well and ignore this feeling?
Please help because I'm kind of short on money right now, so it's a big deal not to waste money on unnecessary health check.
Thank you!</t>
        </is>
      </c>
      <c r="D881" t="n">
        <v>1</v>
      </c>
      <c r="E881" t="n">
        <v>10</v>
      </c>
      <c r="F881">
        <f>HYPERLINK("https://www.reddit.com/r/eyetriage/comments/dhfb60/eye_fullness_feeling_on_late_nights_should_i_go/")</f>
        <v/>
      </c>
      <c r="G881" t="inlineStr">
        <is>
          <t>2019-10-13 12:34:25</t>
        </is>
      </c>
      <c r="H881" t="inlineStr"/>
    </row>
    <row r="882">
      <c r="A882" t="inlineStr">
        <is>
          <t>dhhuk9</t>
        </is>
      </c>
      <c r="B882" t="inlineStr">
        <is>
          <t>Can eye strain cause pain away from the eye?</t>
        </is>
      </c>
      <c r="C882" t="inlineStr">
        <is>
          <t>I’m doing better now, but when my anxiety is at its worst, I really hate bright and flashing lights. A month or so ago in response to bright, flashing lights, I shut my eyes forcefully, started rubbing them, and massaging the area around it. 
The next day I noticed that the area around my eye was sensitive to the touch. Not too bad. But annoying. On and slightly to the side of my left eyebrow and to the left of my eye. It went away for a few weeks and has been back for a few days. 
A friend told me it sounds like classic eye strain. Does that sound right? I also have keratoconus in that eye.</t>
        </is>
      </c>
      <c r="D882" t="n">
        <v>1</v>
      </c>
      <c r="E882" t="n">
        <v>1</v>
      </c>
      <c r="F882">
        <f>HYPERLINK("https://www.reddit.com/r/eyetriage/comments/dhhuk9/can_eye_strain_cause_pain_away_from_the_eye/")</f>
        <v/>
      </c>
      <c r="G882" t="inlineStr">
        <is>
          <t>2019-10-13 15:50:24</t>
        </is>
      </c>
      <c r="H882" t="inlineStr"/>
    </row>
    <row r="883">
      <c r="A883" t="inlineStr">
        <is>
          <t>dhl8qw</t>
        </is>
      </c>
      <c r="B883" t="inlineStr">
        <is>
          <t>Infrared</t>
        </is>
      </c>
      <c r="C883" t="inlineStr">
        <is>
          <t>Could the infrared from a television remote damage your retina if someone was to shine it directly into your eyes? Ie children playing with the remotes and aiming them at each other’s faces etc</t>
        </is>
      </c>
      <c r="D883" t="n">
        <v>1</v>
      </c>
      <c r="E883" t="n">
        <v>1</v>
      </c>
      <c r="F883">
        <f>HYPERLINK("https://www.reddit.com/r/eyetriage/comments/dhl8qw/infrared/")</f>
        <v/>
      </c>
      <c r="G883" t="inlineStr">
        <is>
          <t>2019-10-13 20:58:19</t>
        </is>
      </c>
      <c r="H883" t="inlineStr"/>
    </row>
    <row r="884">
      <c r="A884" t="inlineStr">
        <is>
          <t>di015i</t>
        </is>
      </c>
      <c r="B884" t="inlineStr">
        <is>
          <t>Eye Exercises</t>
        </is>
      </c>
      <c r="C884" t="inlineStr">
        <is>
          <t>Hey, just wondering if anyone on here can confirm weather they actually work or not?
I have really good vision but my right eye is not quite as clear. If they do work, what are some exercises I can do to either increase sharpness in vision or at least prevent it from deteriorating further?
Thanks!</t>
        </is>
      </c>
      <c r="D884" t="n">
        <v>3</v>
      </c>
      <c r="E884" t="n">
        <v>12</v>
      </c>
      <c r="F884">
        <f>HYPERLINK("https://www.reddit.com/r/eyetriage/comments/di015i/eye_exercises/")</f>
        <v/>
      </c>
      <c r="G884" t="inlineStr">
        <is>
          <t>2019-10-14 17:44:12</t>
        </is>
      </c>
      <c r="H884" t="inlineStr"/>
    </row>
    <row r="885">
      <c r="A885" t="inlineStr">
        <is>
          <t>diqlu9</t>
        </is>
      </c>
      <c r="B885" t="inlineStr">
        <is>
          <t>Seeing sparkles and dark blobs</t>
        </is>
      </c>
      <c r="C885" t="inlineStr">
        <is>
          <t>Hey r/eyetriage, I have two issues that I would appreciate getting some help explaining.
First off, for over two months I've been seeing sparkles when I look at something bright. It happens both with artificial light sources and white coloured surfaces reflecting light. Basically, when I look away, or close my eyes, I see little purple and greenish sparkles in the afterimage that usually disappear in a second. It only seems to happen in my central vision.
The second issue - since mid-summer I've been noticing dark blue blobs in my vision when I enter a dark room from a well lit one. It happens regularly when I come back home from the uni - blue blobs that move around my vision and dissipate after a couple of seconds. It doesn't seem to happen in complete darkness, like when I turn the lights off before going to sleep.
I have high myopia (5.5R/6.5L) and I've seen my ophthalmologist about these issues last month - he said my eyes are physically fine (apart from the nearsightedness of course), and it could be me adjusting to new glasses, or just ageing (even though I'm only 25).
What do you guys think? Is this normal, or should I get a second opinion, or maybe see a neurologist?</t>
        </is>
      </c>
      <c r="D885" t="n">
        <v>3</v>
      </c>
      <c r="E885" t="n">
        <v>2</v>
      </c>
      <c r="F885">
        <f>HYPERLINK("https://www.reddit.com/r/eyetriage/comments/diqlu9/seeing_sparkles_and_dark_blobs/")</f>
        <v/>
      </c>
      <c r="G885" t="inlineStr">
        <is>
          <t>2019-10-16 08:08:36</t>
        </is>
      </c>
      <c r="H885" t="inlineStr"/>
    </row>
    <row r="886">
      <c r="A886" t="inlineStr">
        <is>
          <t>dj3fsa</t>
        </is>
      </c>
      <c r="B886" t="inlineStr">
        <is>
          <t>Right eye burning/nightblindness</t>
        </is>
      </c>
      <c r="C886" t="inlineStr">
        <is>
          <t>I have had a history of vision problems. I had retinopathy of prematurity and at a month and a half old had it corrected with laser eye surgery. I had no eye problems until March 2016 and I started to see double. I went to the eye dog and they told me I was nearsighted and had astigmatism in my right eye. A year later they told me the astigmatism has gotten slightly worse and have me glasses with a strobger prescription. Anyways my right eye has burned like there is always something in it, I have used eye drops with Propyelene Glycol in them and it helps for a short time, then back to burning off and on. Nothing in particular sets it off. I have had this problem off and on ever since getting Sensodyne toothpaste in that eyeball over a year ago. I flushed it with water and it felt icy hot all day but did no damage as far as my eye doc can tell. What could help my eye not burn so much? I also have dry eyes at times and my vision gets blurry so I use an OTC eye drop to get my eyes to see right again. I have a hard time seeing at night even with my glasses everything is double vision in the dark or dim lot places and my eye doc told me it was because of my astigmatism in my right eye, but it equally effects both eyes. Any thoughts? I want to be able to drive a car and so stuff like that but with being so blind at night it is hard to even read what street I'm on at night, but during the day it's pretty easy to see.</t>
        </is>
      </c>
      <c r="D886" t="n">
        <v>1</v>
      </c>
      <c r="E886" t="n">
        <v>4</v>
      </c>
      <c r="F886">
        <f>HYPERLINK("https://www.reddit.com/r/eyetriage/comments/dj3fsa/right_eye_burningnightblindness/")</f>
        <v/>
      </c>
      <c r="G886" t="inlineStr">
        <is>
          <t>2019-10-17 01:34:06</t>
        </is>
      </c>
      <c r="H886" t="inlineStr"/>
    </row>
    <row r="887">
      <c r="A887" t="inlineStr">
        <is>
          <t>djh2jz</t>
        </is>
      </c>
      <c r="B887" t="inlineStr">
        <is>
          <t>Blocked tear ducts ruled out. Dry eyes ruled out. I'm so confused.</t>
        </is>
      </c>
      <c r="C887" t="inlineStr">
        <is>
          <t>I went to an eye hospital yesterday and they did a test to check the pressure of my eyes (I got 14.4 and 15.2?) and check if saline could go through my eye? I have no idea what they were trying but the doctor said I don't have blocked tear ducts.
But my question now is if that's the case, why is it that when I hold a hot compress to my eye a gush of tears (or some kind of fluid?) falls from my eyes. It's worse on the right where the inner corner is also swollen.</t>
        </is>
      </c>
      <c r="D887" t="n">
        <v>0</v>
      </c>
      <c r="E887" t="n">
        <v>6</v>
      </c>
      <c r="F887">
        <f>HYPERLINK("https://www.reddit.com/r/eyetriage/comments/djh2jz/blocked_tear_ducts_ruled_out_dry_eyes_ruled_out/")</f>
        <v/>
      </c>
      <c r="G887" t="inlineStr">
        <is>
          <t>2019-10-17 19:43:19</t>
        </is>
      </c>
      <c r="H887" t="inlineStr"/>
    </row>
    <row r="888">
      <c r="A888" t="inlineStr">
        <is>
          <t>djiltf</t>
        </is>
      </c>
      <c r="B888" t="inlineStr">
        <is>
          <t>long-term use of steroid drop for marginal keratitis</t>
        </is>
      </c>
      <c r="C888" t="inlineStr">
        <is>
          <t>Long story short, I have had many corneal ulcers in just one eye and lots of scarring from them, thought to be marginal keratitis.  I saw a new eye doctor with a new ulcer, who thinks I should be on a steroid drop once a day permanently to prevent further damage and symptoms.  I am worried about cataract development though.  I did have a few months this year of remission, when I wasn't working on the computer nearly as much.  A few years ago, I did simple lid cleaning twice a day on the advice of a doctor and did well for a couple of years.  I stopped the cleaning due to life turning upside down and stress and tears, and soon after developed another ulcer.  I never really resumed the lid hygiene; I guess I wasn't convinced at the time it was preventing recurrences.  I thought stress and increasing time working on the computer were contributing.
Now I want to give lid hygiene another try if it would save me from the daily steroid drops, expense, and side effects.  It also seems my current computer work is less aggravating somehow, meaning my eyes feel less dry and pretty great actually (It's hard for me to tell if discomfort I have is from dry eye or a low-grade hypersensitivity response).  I have been doing the lid hygiene the last couple weeks as well.  
I already asked my eye doctor if I really should use the drops indefinitely, and it sounded like it was preferred to recurrences and is not a big deal and just need pressure checks now and then.  I did mention I had used lotemax when I was first diagnosed and was prescribed that if I wanted, considering the cost, but otherwise, it would be pred AC.  If I must use a steroid forever, what is the current safest yet effective one?      Is there an alternative to the steroid drops to prevent recurrences, or is it truly too risky to try?  The affected eye does have worse vision but not so bad that I feel the need for glasses.</t>
        </is>
      </c>
      <c r="D888" t="n">
        <v>1</v>
      </c>
      <c r="E888" t="n">
        <v>0</v>
      </c>
      <c r="F888">
        <f>HYPERLINK("https://www.reddit.com/r/eyetriage/comments/djiltf/longterm_use_of_steroid_drop_for_marginal/")</f>
        <v/>
      </c>
      <c r="G888" t="inlineStr">
        <is>
          <t>2019-10-17 21:57:18</t>
        </is>
      </c>
      <c r="H888" t="inlineStr"/>
    </row>
    <row r="889">
      <c r="A889" t="inlineStr">
        <is>
          <t>djselr</t>
        </is>
      </c>
      <c r="B889" t="inlineStr">
        <is>
          <t>Eyes can't seem to "target", feel like they're jumping around</t>
        </is>
      </c>
      <c r="C889" t="inlineStr">
        <is>
          <t>I'm 34 and I've had perfect vision my whole life. Within the last six weeks, especially from afternoon on, my eyes can't seem to exactly hold focus on anything at any distance. 
I don't mean it's blurry, I can still see detail from less than a foot to fifty yards. And it's not exactly double-vision, but the object can seem to have a slight ghost outline. Covering each individual eye makes no difference.
Again, this came on pretty rapidly and is way more noticable in late day. I'm weirded out. I also suspect this is regular "you're getting old" and I don't know what bad vision looks like because I've never had it.
Thanks for any help.</t>
        </is>
      </c>
      <c r="D889" t="n">
        <v>2</v>
      </c>
      <c r="E889" t="n">
        <v>4</v>
      </c>
      <c r="F889">
        <f>HYPERLINK("https://www.reddit.com/r/eyetriage/comments/djselr/eyes_cant_seem_to_target_feel_like_theyre_jumping/")</f>
        <v/>
      </c>
      <c r="G889" t="inlineStr">
        <is>
          <t>2019-10-18 12:21:29</t>
        </is>
      </c>
      <c r="H889" t="inlineStr"/>
    </row>
    <row r="890">
      <c r="A890" t="inlineStr">
        <is>
          <t>djsne8</t>
        </is>
      </c>
      <c r="B890" t="inlineStr">
        <is>
          <t>Very bright projector used for huge lecture halls was in eyes</t>
        </is>
      </c>
      <c r="C890" t="inlineStr">
        <is>
          <t>So I have college classes in huge lecture halls with like 300 person capacity and they have very large screens for the projectors. The projector sits in some big black box at the top of the class behind the very back row. Today, the only seats available to sit at were right in front of the projector, and as I was sitting down in from of it, the light was in my eyes for a few seconds. I saw a blind spot but it went away. The reason I’m afraid is the projector is probably very powerful since it’s used for that huge lecture hall, and it being like less than a foot away from eyes seems very dangerous. Did my eyes get damaged from the few seconds it was shining in my eyes?</t>
        </is>
      </c>
      <c r="D890" t="n">
        <v>1</v>
      </c>
      <c r="E890" t="n">
        <v>2</v>
      </c>
      <c r="F890">
        <f>HYPERLINK("https://www.reddit.com/r/eyetriage/comments/djsne8/very_bright_projector_used_for_huge_lecture_halls/")</f>
        <v/>
      </c>
      <c r="G890" t="inlineStr">
        <is>
          <t>2019-10-18 12:38:29</t>
        </is>
      </c>
      <c r="H890" t="inlineStr"/>
    </row>
    <row r="891">
      <c r="A891" t="inlineStr">
        <is>
          <t>djy4vp</t>
        </is>
      </c>
      <c r="B891" t="inlineStr">
        <is>
          <t>Small change in lenses causing issues</t>
        </is>
      </c>
      <c r="C891" t="inlineStr">
        <is>
          <t>Hello. I went to the eye dr on the 9th. I got a scan of the glands in my eyes and my left eye is blocked partially and my right is very blocked. Doing at home treatment for that and possibly lipiflow Nov. 8th. 
But I did the whole “which is better” game and I ended up needing .25 higher contact lense for my left eye. Now I’m at -2.50 in my left and -2.00 in my right. Going to -2.50 was super sharp and great in the exam room but now that I’ve worn them a few times and looked at stuff closer up and far away I think it’s an issue. It feels like it could be an issue in my right eye but I tried a -2.25 in my right and it just made it worse. 
Could the dry eyes be causing an issue with that? Should I wait until after the lipiflow to see if that helps or see if they’ll bump me back down on the 8th</t>
        </is>
      </c>
      <c r="D891" t="n">
        <v>1</v>
      </c>
      <c r="E891" t="n">
        <v>2</v>
      </c>
      <c r="F891">
        <f>HYPERLINK("https://www.reddit.com/r/eyetriage/comments/djy4vp/small_change_in_lenses_causing_issues/")</f>
        <v/>
      </c>
      <c r="G891" t="inlineStr">
        <is>
          <t>2019-10-18 20:03:05</t>
        </is>
      </c>
      <c r="H891" t="inlineStr"/>
    </row>
    <row r="892">
      <c r="A892" t="inlineStr">
        <is>
          <t>dkjr5k</t>
        </is>
      </c>
      <c r="B892" t="inlineStr">
        <is>
          <t>risk of cataract with long-term steroid use</t>
        </is>
      </c>
      <c r="C892" t="inlineStr">
        <is>
          <t>Hello,
My new optometrist thinks I should use a steroid drop a day to control a hypersensitivity response that has led to corneal scarring and neovascularization over the years.  I was prescribed pred AC but when I mentioned I had also used Lotemax in the past , I was given an Rx for that as well.  IOP is being checked, more closely at first.  
I'm also worried about cataract formation.  None of my eye doctors has actually mentioned that as a possibility.  My research shows it's a worry more for oral steroids.  While the risk of increased IOP can be found, I haven't found any info on the chances of developing a cataract with daily steroid eyedrops.  I could ask at my next appointment, of course, but it's a ways off and I just wanted to have an idea.  I'm a little concerned daily steroid drops is overkill versus trying more preventative measures at first.</t>
        </is>
      </c>
      <c r="D892" t="n">
        <v>2</v>
      </c>
      <c r="E892" t="n">
        <v>4</v>
      </c>
      <c r="F892">
        <f>HYPERLINK("https://www.reddit.com/r/eyetriage/comments/dkjr5k/risk_of_cataract_with_longterm_steroid_use/")</f>
        <v/>
      </c>
      <c r="G892" t="inlineStr">
        <is>
          <t>2019-10-20 06:41:41</t>
        </is>
      </c>
      <c r="H892" t="inlineStr"/>
    </row>
    <row r="893">
      <c r="A893" t="inlineStr">
        <is>
          <t>dksq3q</t>
        </is>
      </c>
      <c r="B893" t="inlineStr">
        <is>
          <t>Eye damage from PS4 controller light bar</t>
        </is>
      </c>
      <c r="C893" t="inlineStr">
        <is>
          <t>While I was playing on the Play Station 4 earlier today, I realized I looked at the light bar on my controller several times and for maybe 10 seconds at a time. Many of these times, the controller was only a couple inches from my face too (I hold it in a very strange way). How likely is it that I've damaged my eyes permanently from this?</t>
        </is>
      </c>
      <c r="D893" t="n">
        <v>1</v>
      </c>
      <c r="E893" t="n">
        <v>2</v>
      </c>
      <c r="F893">
        <f>HYPERLINK("https://www.reddit.com/r/eyetriage/comments/dksq3q/eye_damage_from_ps4_controller_light_bar/")</f>
        <v/>
      </c>
      <c r="G893" t="inlineStr">
        <is>
          <t>2019-10-20 17:49:27</t>
        </is>
      </c>
      <c r="H893" t="inlineStr"/>
    </row>
    <row r="894">
      <c r="A894" t="inlineStr">
        <is>
          <t>dksyk9</t>
        </is>
      </c>
      <c r="B894" t="inlineStr">
        <is>
          <t>A question about Amsler Grid</t>
        </is>
      </c>
      <c r="C894" t="inlineStr">
        <is>
          <t>Hi all, I would like to ask about the Amsler Grid. All instructions about Amsler grid tells me to look for blurry, curvy, dark or blank. I found a video on Youtube that well demonstrate the symptoms, except for blurry. Isn't it a natural thing that when we focus on something, the peripheral vision becomes blurry? So how blurry is dangerous when it comes to Amsler Grid testing?
In my case, I notice no curvy/dark/blank areas, but the bottom left corner of the grid is a little bit blurry when I focus my right eye on the central spot. When I move the right eye from the bottom left corner to the central dot, the bottom left corner becomes blurry almost immediately. In the case of my left eye, it's a little less blurry doing the same movement. Is this something to worry about?</t>
        </is>
      </c>
      <c r="D894" t="n">
        <v>3</v>
      </c>
      <c r="E894" t="n">
        <v>4</v>
      </c>
      <c r="F894">
        <f>HYPERLINK("https://www.reddit.com/r/eyetriage/comments/dksyk9/a_question_about_amsler_grid/")</f>
        <v/>
      </c>
      <c r="G894" t="inlineStr">
        <is>
          <t>2019-10-20 18:09:31</t>
        </is>
      </c>
      <c r="H894" t="inlineStr"/>
    </row>
    <row r="895">
      <c r="A895" t="inlineStr">
        <is>
          <t>dktte9</t>
        </is>
      </c>
      <c r="B895" t="inlineStr">
        <is>
          <t>Poked Eye Question</t>
        </is>
      </c>
      <c r="C895" t="inlineStr">
        <is>
          <t>I went to rub my eye with it closed, and accidentally poked it pretty good (while it was closed) and when I did I saw the white light. 
The white light only occurred when I poked the eyeball...the second my finger was removed it went away. 
It definitely hurt as it was an accident and it’s still a little sore, but I just wanted to make sure that was normal and that I didn’t cause any serious eye damage.
Could anyone give me any feedback or let me know what symptoms to look out for? Thanks</t>
        </is>
      </c>
      <c r="D895" t="n">
        <v>2</v>
      </c>
      <c r="E895" t="n">
        <v>1</v>
      </c>
      <c r="F895">
        <f>HYPERLINK("https://www.reddit.com/r/eyetriage/comments/dktte9/poked_eye_question/")</f>
        <v/>
      </c>
      <c r="G895" t="inlineStr">
        <is>
          <t>2019-10-20 19:22:32</t>
        </is>
      </c>
      <c r="H895" t="inlineStr"/>
    </row>
    <row r="896">
      <c r="A896" t="inlineStr">
        <is>
          <t>dkvqi2</t>
        </is>
      </c>
      <c r="B896" t="inlineStr">
        <is>
          <t>Flashing spot near or around center of vision</t>
        </is>
      </c>
      <c r="C896" t="inlineStr">
        <is>
          <t>Hello, I am almost a 19 year old male. For the past months I've noticed that especially in the dark, I tend to notice this small dot/spot that appears out of nowhere, then kinda drifts off. When I move my eyes, it kinda moves with me too. Sometimes when I have looked down it appears too. I've never noticed this before, but it could perhaps be I'm just more self-aware.
Also, I think when I sleep in certain positions, I get more phosophenes rather than sleeping in other positions. I also remember one time in work where it was sunny and hot outside and I ended up to have some kind of aura in my pheriphral vision, which looked to be some kind of phosophones that may have lasted for 10 minutes. What's strange is that if these were migraines, I don't have headaches.
Multiple times for months I've Googled symptoms like these but could not find an answer. I am hoping to find a trustworthy opthamalogist sometime soon, but I am wondering if this is anything serious. I typically do not notice these spots in the day, probably because I'm focused on something such as playing video games or anything else. But this has bothered me mentally for months.
I may have perhaps had some small, dim camera flashes when I had been laying in bed a couple times, but I cannot be sure honestly. It may have been just something in my head or something from outside my bedroom window.
If anyone can provide any useful information, I would kindly appreciate that.</t>
        </is>
      </c>
      <c r="D896" t="n">
        <v>1</v>
      </c>
      <c r="E896" t="n">
        <v>1</v>
      </c>
      <c r="F896">
        <f>HYPERLINK("https://www.reddit.com/r/eyetriage/comments/dkvqi2/flashing_spot_near_or_around_center_of_vision/")</f>
        <v/>
      </c>
      <c r="G896" t="inlineStr">
        <is>
          <t>2019-10-20 22:20:37</t>
        </is>
      </c>
      <c r="H896" t="inlineStr"/>
    </row>
    <row r="897">
      <c r="A897" t="inlineStr">
        <is>
          <t>dkwn02</t>
        </is>
      </c>
      <c r="B897" t="inlineStr">
        <is>
          <t>Neo/Partial LSCD no contacts (please help)</t>
        </is>
      </c>
      <c r="C897" t="inlineStr">
        <is>
          <t>(Already posted on optometry and got a good response was wondering if anyone here had any insight)
A month ago I had an eye exam that showed Neovascularization at 4 o clock and 7 o clock. I saw another optometrist who said it looked more like pannus. I have never worn contacts and the opticians said they’ve never seen anybody with neo who hasnt worn contacts. However I did get hit in the eye playing sports over 4-5 years ago (eye went red Subconjunctival hemorrhage) healed within a week, but I have had a half dozen full eye exams with an ophthalmologist and opticians in that time period of 4 years since the hit and they’ve always said my eyes are healthy and havent even mentioned neo or pannus.
I went to see 2 ophthalmologists since my neo was discovered who didnt mention pannus and said it was blood vessel growth they believe it may be due to a dry eye as I have a tear break up time of 2 seconds in the eye and what looks like MGD. But they said take eye drops and do warm compress massages for now. They believe it wouldnt be caused from the trauma from 4/5 years ago as some neo/pannus would have been picked up much sooner and this has just come about in these past 9 months. (Last eye exam by ophthalmologist Dec 2018, injury april 2015, neo picked up September 2019)
I was wondering after doing alot of research could i possibly have limbal stem cell damage from the hit which has taken 4/5 years to grow or is this not likely?
Im trying to figure out why these vessels have grown as my eye seems fine, albeit these last 9 months it has felt irritated and dry. But could it be possible ive got slight limbal stem cell damage or would this have been picked up by ophthalmologists in the past 4-5 years? Or even picked up at a recent check. 
Besides this what could it be could it just be neo from dry eye and a lack of oxygen somehow from that? Or can you have an injury years ago that causes neo now 4 years later?
I’d appreciate any information that would help, thanks!</t>
        </is>
      </c>
      <c r="D897" t="n">
        <v>2</v>
      </c>
      <c r="E897" t="n">
        <v>0</v>
      </c>
      <c r="F897">
        <f>HYPERLINK("https://www.reddit.com/r/eyetriage/comments/dkwn02/neopartial_lscd_no_contacts_please_help/")</f>
        <v/>
      </c>
      <c r="G897" t="inlineStr">
        <is>
          <t>2019-10-21 00:00:32</t>
        </is>
      </c>
      <c r="H897" t="inlineStr"/>
    </row>
    <row r="898">
      <c r="A898" t="inlineStr">
        <is>
          <t>dl0tk6</t>
        </is>
      </c>
      <c r="B898" t="inlineStr">
        <is>
          <t>These are not floaters, what are they?</t>
        </is>
      </c>
      <c r="C898" t="inlineStr">
        <is>
          <t>In February I woke up and suddenly there was a floater in my eye which hasn't gone away since. But along with that floater came a weird phenomena that I haven't been able to look up online because it's difficult to explain in short language.
When my eyes go from the outside in (moving from either side peripheral to the center) a shadowed vertical line or curtain quickly follows, also moving from outside in. The curtain goes away soon after, and it is easily distinguishable from the floater because it is a thick shadow instead of a squiggly line. It moves predictably every time I move my eyes from outside to to the center. 
One thing it does seem to have in common with floaters is that it is more noticable in bright situations (like being outside or in a bright white room)
Can someone please give me a clue as to what this is?</t>
        </is>
      </c>
      <c r="D898" t="n">
        <v>5</v>
      </c>
      <c r="E898" t="n">
        <v>13</v>
      </c>
      <c r="F898">
        <f>HYPERLINK("https://www.reddit.com/r/eyetriage/comments/dl0tk6/these_are_not_floaters_what_are_they/")</f>
        <v/>
      </c>
      <c r="G898" t="inlineStr">
        <is>
          <t>2019-10-21 06:49:01</t>
        </is>
      </c>
      <c r="H898" t="inlineStr"/>
    </row>
    <row r="899">
      <c r="A899" t="inlineStr">
        <is>
          <t>dl8m70</t>
        </is>
      </c>
      <c r="B899" t="inlineStr">
        <is>
          <t>double vision only on phone</t>
        </is>
      </c>
      <c r="C899" t="inlineStr">
        <is>
          <t>so i recently noticed that when only looking down i see double on my phone (only the letters and numbers are doubles) for example i won’t see my wallpaper double but instead the text. if i put my hand or any object the same distance as my phone and look down i don’t see double . i can’t seem to find anything online about this. making an appointment with the doctor soon i’m just confused . the text appear below each other and doesn’t go away when i close either eye</t>
        </is>
      </c>
      <c r="D899" t="n">
        <v>1</v>
      </c>
      <c r="E899" t="n">
        <v>0</v>
      </c>
      <c r="F899">
        <f>HYPERLINK("https://www.reddit.com/r/eyetriage/comments/dl8m70/double_vision_only_on_phone/")</f>
        <v/>
      </c>
      <c r="G899" t="inlineStr">
        <is>
          <t>2019-10-21 16:05:52</t>
        </is>
      </c>
      <c r="H899" t="inlineStr"/>
    </row>
    <row r="900">
      <c r="A900" t="inlineStr">
        <is>
          <t>dlbdu2</t>
        </is>
      </c>
      <c r="B900" t="inlineStr">
        <is>
          <t>LASIK before pregnancy?</t>
        </is>
      </c>
      <c r="C900" t="inlineStr">
        <is>
          <t>Not sure if this belongs here...
24F here. My optometrist told me to wait until I am done having children to have LASIK because the hormones from pregnancy can change my prescription. I asked my OBGYN, and he said he hasn’t heard of such a thing. 
In my own research, I found it only impacts about 10% of women.
Any optometrists know anything about this?</t>
        </is>
      </c>
      <c r="D900" t="n">
        <v>3</v>
      </c>
      <c r="E900" t="n">
        <v>5</v>
      </c>
      <c r="F900">
        <f>HYPERLINK("https://www.reddit.com/r/eyetriage/comments/dlbdu2/lasik_before_pregnancy/")</f>
        <v/>
      </c>
      <c r="G900" t="inlineStr">
        <is>
          <t>2019-10-21 19:36:59</t>
        </is>
      </c>
      <c r="H900" t="inlineStr"/>
    </row>
    <row r="901">
      <c r="A901" t="inlineStr">
        <is>
          <t>dleivx</t>
        </is>
      </c>
      <c r="B901" t="inlineStr">
        <is>
          <t>Wrong prescription ?</t>
        </is>
      </c>
      <c r="C901" t="inlineStr">
        <is>
          <t>I got a new prescription from my ophthalmologist to accomodatoe for my cornea. It is however slightly different then my old prescription.
My new one : R sphere:-7,25 cyl:-1,25 and my old one : R sphere:-8,50 cyl:-0,75. The left stayed mostly the same. Is this normal ? They also tested my vision before and after dilated pupils.</t>
        </is>
      </c>
      <c r="D901" t="n">
        <v>0</v>
      </c>
      <c r="E901" t="n">
        <v>3</v>
      </c>
      <c r="F901">
        <f>HYPERLINK("https://www.reddit.com/r/eyetriage/comments/dleivx/wrong_prescription/")</f>
        <v/>
      </c>
      <c r="G901" t="inlineStr">
        <is>
          <t>2019-10-22 00:36:51</t>
        </is>
      </c>
      <c r="H901" t="inlineStr"/>
    </row>
    <row r="902">
      <c r="A902" t="inlineStr">
        <is>
          <t>dlpicx</t>
        </is>
      </c>
      <c r="B902" t="inlineStr">
        <is>
          <t>double vision</t>
        </is>
      </c>
      <c r="C902" t="inlineStr">
        <is>
          <t>so i’m very scared and i have an appointment coming up but i recently got double vision. here’s the thing though, it only occurs when i look down which is a sign of binocular diplopia but when i cover each eye i still have it in each eye which is a sign of monocular diplopia. i’m very confused also i only see double on my phone when looking down so only the text and apps look double but i don’t see double of my phone and also it looks like astigmatism because of light streaks coming out of the text however if i put another object at the same distance and look down i won’t see double. when i close my eye (each of them) they twitch too i’m very scared i know i’m only 18 so it’s probably nothing serious but of course i looked on google :)</t>
        </is>
      </c>
      <c r="D902" t="n">
        <v>1</v>
      </c>
      <c r="E902" t="n">
        <v>2</v>
      </c>
      <c r="F902">
        <f>HYPERLINK("https://www.reddit.com/r/eyetriage/comments/dlpicx/double_vision/")</f>
        <v/>
      </c>
      <c r="G902" t="inlineStr">
        <is>
          <t>2019-10-22 15:16:34</t>
        </is>
      </c>
      <c r="H902" t="inlineStr"/>
    </row>
    <row r="903">
      <c r="A903" t="inlineStr">
        <is>
          <t>dlsppj</t>
        </is>
      </c>
      <c r="B903" t="inlineStr">
        <is>
          <t>Bright white dots in vision</t>
        </is>
      </c>
      <c r="C903" t="inlineStr">
        <is>
          <t>So I’ve never had this happen before. Every few days I’ll suddenly get tiny white dots in my vision, that are really bright. They’re almost like lights. I get greyish dots too but they aren’t prominent like white ones and aren’t “bright”. All of a sudden I’ve also been seeing shadows in the corner of my eye pretty frequently. Sometimes I’ll think I see a fly or a bug or something. I’ve also been getting floaters lately anytime I got outside which has never happened before??? And I get like, these grayish lines going inward toward each other in the sunlight too. It’s hard to explain. It’s kind of like a water ripple but in reverse.  It doesn’t distort my vision, it’s just a weird gray overlay. I’m 19 and looked it up and can’t find any answers on this other than sometimes you get floaters when you get old??? I’m also pregnant like idk if that has anything to do with it but has anyone else has this happen before???</t>
        </is>
      </c>
      <c r="D903" t="n">
        <v>2</v>
      </c>
      <c r="E903" t="n">
        <v>8</v>
      </c>
      <c r="F903">
        <f>HYPERLINK("https://www.reddit.com/r/eyetriage/comments/dlsppj/bright_white_dots_in_vision/")</f>
        <v/>
      </c>
      <c r="G903" t="inlineStr">
        <is>
          <t>2019-10-22 19:20:10</t>
        </is>
      </c>
      <c r="H903" t="inlineStr"/>
    </row>
    <row r="904">
      <c r="A904" t="inlineStr">
        <is>
          <t>dluhe3</t>
        </is>
      </c>
      <c r="B904" t="inlineStr">
        <is>
          <t>What kind of infection is this?</t>
        </is>
      </c>
      <c r="C904" t="inlineStr">
        <is>
          <t>31/m mixed White with Mexican
[https://imgur.com/a/MT474r4#0cLBR8K](https://imgur.com/a/MT474r4#0cLBR8K)
Currently taking Doxycycline Hyclate for 3 months with little improvement. Have tried Gentamycin and AzaSite to no avail as well. I use warm compresses, eyelid wipes, systane and clean the eyes often.
I've gone to two different doctors about his problem for the past year. Literally this started last October with a eyelid pimple in one and a stye in the right eye. They told me that this is Blepharitis. Though that is the diagnosis I don't have much crust. This mostly affects my left eye specifically and it feels like the eyeball is inflamed or swollen. When it really feels swollen it feels like it hurts to look up or down. I have so many floaters floating around which change day to in shapes and sizes. They honestly resemble fungi spores. The floaters have gotten worse in the past few months to where they block texts on a phone and peoples faces when talking. When these pimples begin to show it constantly feels like an eye lash is embedded in my lid and it drives me insane with the already pain and swolleness of the entire eye sock area. 
It was only tonight that my right eye started bothering me and felt like an eye lash was in there and before showering i was looking at my eye in the mirror and noticed a weird looking what I thought was a bubble floating in the liquid as I pull my eyelid down. It seemed to be free flowing as I moved my lid. I ended up losing it but as I pulled my lid down further I saw a larger yellowish clear lipid looking pimple on the bottom most inner part of my right eyelid. That seems to be where the lash sensation is coming from at the moment.
Now for the most embarrassing part that I still haven't told my drs because I feel weird. About a year and half ago I was eating my GF out in her car when she ejaculated and it had a direct flow into my left eye. It burned and being in the car I didn't have much to wash my eye out with other than a water bottle. This is where The floaters with fungi looking structure come into play. Could this have caused a fungal infection slowly? like a yeast infection? even though she didn't have one at the time. 
Other issues. I work at a hospital so I have direct contact with patients and last year I got what I believe to be a skin particle in my left eye from a patient who was very flaky and when I mean flaky this dude moved and dust would come off of him. I did wash out my eye but not the best it should have been.
Final thing to mention. Last December two months after the eyelid pimples began I started to get crazy vertigo and the worse headaches you can even imagine. The headaches and vertigo seem to come and linger always within a day after the pimples begin to show. So it's like when my eyes flare up I expect the next day to began my migraine from hell with a tight throat thick mucus and clogged sinuses. Now I don't know if this is just craziest coincidences or there is some kind of infection that is all connected. I've been to 2 ENT's 1 neurologist 2 CT scans and an MRI to which nothing impressive was shown. 
I'm not sure what else to do to ease this or feel normal again. This is seriously impacting my life. Sorry for any spelling mistakes I'm tired and my eyes are burning.</t>
        </is>
      </c>
      <c r="D904" t="n">
        <v>4</v>
      </c>
      <c r="E904" t="n">
        <v>8</v>
      </c>
      <c r="F904">
        <f>HYPERLINK("https://www.reddit.com/r/eyetriage/comments/dluhe3/what_kind_of_infection_is_this/")</f>
        <v/>
      </c>
      <c r="G904" t="inlineStr">
        <is>
          <t>2019-10-22 22:07:20</t>
        </is>
      </c>
      <c r="H904" t="inlineStr"/>
    </row>
    <row r="905">
      <c r="A905" t="inlineStr">
        <is>
          <t>dmdjdb</t>
        </is>
      </c>
      <c r="B905" t="inlineStr">
        <is>
          <t>Question About IOLs</t>
        </is>
      </c>
      <c r="C905" t="inlineStr">
        <is>
          <t>Hi guys,
I have cataracts, and while they aren't really affecting vision yet, I can't help but think ahead to the IOL and cataract surgery.
I'm young (27) and the cataracts are steroid related. I'm myopic (have been most of my life) and quite used to wearing glasses for distance vision -- I actually like how I look with glasses. 
My question is if I got my IOL to keep my distance glasses, what affect would this have on my daily life? Would I eventually need reading glasses as I get older like most people? 
And would the cataract surgery basically keep me as is with my glasses set for distance; the only thing changing being a reduction of the negative things that come with cataracts?
Essentially I'm wanting to prepare for the future. Any advice is welcome!</t>
        </is>
      </c>
      <c r="D905" t="n">
        <v>2</v>
      </c>
      <c r="E905" t="n">
        <v>3</v>
      </c>
      <c r="F905">
        <f>HYPERLINK("https://www.reddit.com/r/eyetriage/comments/dmdjdb/question_about_iols/")</f>
        <v/>
      </c>
      <c r="G905" t="inlineStr">
        <is>
          <t>2019-10-24 01:41:42</t>
        </is>
      </c>
      <c r="H905" t="inlineStr"/>
    </row>
    <row r="906">
      <c r="A906" t="inlineStr">
        <is>
          <t>dmm8ii</t>
        </is>
      </c>
      <c r="B906" t="inlineStr">
        <is>
          <t>Multiple retina tears - been through it?</t>
        </is>
      </c>
      <c r="C906" t="inlineStr">
        <is>
          <t>My partner is rocking his fifth procedure to fix retinal tears and scar tissue in the past 3 months: surgery with the air  bubble, another air bubble, surgery with the band, surgery with a gas bubble and now a gas bubble “top up”.  Has anyone had experiences with this and came out the other side?  Feels like we’re living an unfun Groundhog Day.</t>
        </is>
      </c>
      <c r="D906" t="n">
        <v>3</v>
      </c>
      <c r="E906" t="n">
        <v>6</v>
      </c>
      <c r="F906">
        <f>HYPERLINK("https://www.reddit.com/r/eyetriage/comments/dmm8ii/multiple_retina_tears_been_through_it/")</f>
        <v/>
      </c>
      <c r="G906" t="inlineStr">
        <is>
          <t>2019-10-24 13:27:54</t>
        </is>
      </c>
      <c r="H906" t="inlineStr"/>
    </row>
    <row r="907">
      <c r="A907" t="inlineStr">
        <is>
          <t>dn1286</t>
        </is>
      </c>
      <c r="B907" t="inlineStr">
        <is>
          <t>Do you think I have a fungal eye infection from a tree branch? My ophthalmologist is dismissing the idea</t>
        </is>
      </c>
      <c r="C907" t="inlineStr">
        <is>
          <t xml:space="preserve"> 23F hispanic
Background: I was poked in my inner lacrimal fold with a tree branch halfway through my treatment with Neo/poly/dex steroid antibiotics for some tiny eye cysts underneath my lid. I decided to continue the antibiotic drops hoping the infection that developed would go away before i made another expensive trip to the doctor. The condition had not gotten better in a week and I am having red eyes, as well as a lot of yellow discharge throughout the entire day. I let my ophthalmologist know and he wanted to give me two more weeks with the steroid antibiotics but i told him about the risk for glaucoma with that and he dismissed me and said naah, you'll be fine. its only a tiny amount of steroid--- yet he changed his mind and gave me a prescription for drops without steroids.
The first antibiotics treat gram negative bacteria, the second treat gram positive as well as good activity against gram negative (moxifloxacin) but also $100 more expensive and very costly for me. I told him i was worried this might be a fungal infection because I got this after the \*tree branch\* which is a way you contract fungal eye infections. He didn’t seem to care and told me to just use antibiotics for two more weeks. I also told him how I thought the infection spread from one eye to the other and he outright laughed and said that is not how infection works. But I was using the same paper towel for both eyes so I don’t understand how that is so far-fetched. I also had severe vision loss (extremely blurry) in the eye that got poked and he said it was due to my dry eye. But both of my eyes are dry and I would expect to have vision loss in the one the infection traveled to as well, so he said “oh, then it’s just trauma”. A week into the infection I started getting shooting eye pain in the center of my eye ( about 3/10 on the pain scale if 2/10 was a pinch) in the morning as well as a feeling of pressure behind the eye. However, they checked my eye pressure and they were normal (14&amp;amp;15). I have a feeling of grittiness as well as light sensitivity more predominant in the originally infected eye.
I feel like he is taking my money and trying to make me go for more visits with products that won’t help. He doesn't know what is in my eye but it seems like he wants to go through the entire repertoire of antibiotics before culturing my eye sample to see exactly what I have and how to treat it properly. Do you think I have a fungal eye infection? How long would it take for me to see graying of my eye caused by fungal eye infections? If this was bacterial I would have expected to see results in the week. but its been ten days with absolutely no improvement. I am not on any other medications aside from the eye drops prescribed.</t>
        </is>
      </c>
      <c r="D907" t="n">
        <v>2</v>
      </c>
      <c r="E907" t="n">
        <v>5</v>
      </c>
      <c r="F907">
        <f>HYPERLINK("https://www.reddit.com/r/eyetriage/comments/dn1286/do_you_think_i_have_a_fungal_eye_infection_from_a/")</f>
        <v/>
      </c>
      <c r="G907" t="inlineStr">
        <is>
          <t>2019-10-25 10:51:54</t>
        </is>
      </c>
      <c r="H907" t="inlineStr"/>
    </row>
    <row r="908">
      <c r="A908" t="inlineStr">
        <is>
          <t>dn7pyi</t>
        </is>
      </c>
      <c r="B908" t="inlineStr">
        <is>
          <t>Surgical Vision Correction of Myopia with Dry Eye Syndrome</t>
        </is>
      </c>
      <c r="C908" t="inlineStr">
        <is>
          <t>&amp;amp;#x200B;
I used extended wear soft contacts (-5.5 and -6.0) for many years with no problems up until a few years ago. After a few bouts of GPC, I was diagnosed with Dry Eye Syndrome. It is mild, but I have become completely intolerant to contact lenses. I've tried many 1 day versions with no success - they are just too uncomfortable after even an hour.
I was unable to qualify for Lasik because of "small areas of cell death" on my eye that were revealed with that green dye; the surgeon felt this was due to my dry eye and gave me lots of prescriptions to try to improve the condition of my eyes for surgery. My eyes felt pretty good, but after 2 follow-ups he was not comfortable with my progress. At that point, I felt that I clearly was not an ideal candidate, and so became worried about what my outcome my might be, would my dry eyes significantly worsen, etc., so I stopped trying to qualify.
I do not want to be limited to glasses for the rest of my life. Are there any good surgical options out there for me? (Not sure if this matters, but I did have had one instance of an ocular herpes lesion in one eye - treated successfully). Also, I read something maybe a year or 2 ago about a new surgical technique still in the testing phases that didn't involve any corneal cutting at all - any info on the name of this procedure, etc. would be much appreciated. Thanks in advance for any thoughts!</t>
        </is>
      </c>
      <c r="D908" t="n">
        <v>0</v>
      </c>
      <c r="E908" t="n">
        <v>11</v>
      </c>
      <c r="F908">
        <f>HYPERLINK("https://www.reddit.com/r/eyetriage/comments/dn7pyi/surgical_vision_correction_of_myopia_with_dry_eye/")</f>
        <v/>
      </c>
      <c r="G908" t="inlineStr">
        <is>
          <t>2019-10-25 19:19:16</t>
        </is>
      </c>
      <c r="H908" t="inlineStr"/>
    </row>
    <row r="909">
      <c r="A909" t="inlineStr">
        <is>
          <t>dnj9o6</t>
        </is>
      </c>
      <c r="B909" t="inlineStr">
        <is>
          <t>White ring in (iris)eye? is this normal?</t>
        </is>
      </c>
      <c r="C909" t="inlineStr">
        <is>
          <t>https://www.reddit.com/r/AskDocs/comments/cukstm/white_ring_in_iris/</t>
        </is>
      </c>
      <c r="D909" t="n">
        <v>1</v>
      </c>
      <c r="E909" t="n">
        <v>1</v>
      </c>
      <c r="F909">
        <f>HYPERLINK("https://www.reddit.com/r/eyetriage/comments/dnj9o6/white_ring_in_iriseye_is_this_normal/")</f>
        <v/>
      </c>
      <c r="G909" t="inlineStr">
        <is>
          <t>2019-10-26 13:26:31</t>
        </is>
      </c>
      <c r="H909" t="inlineStr"/>
    </row>
    <row r="910">
      <c r="A910" t="inlineStr">
        <is>
          <t>dnmg3y</t>
        </is>
      </c>
      <c r="B910" t="inlineStr">
        <is>
          <t>Dark blob in peripheral vision</t>
        </is>
      </c>
      <c r="C910" t="inlineStr">
        <is>
          <t>Hello, I have been having concerns with my eyes for the past few months but lately my symptoms have been getting more concerning. What I see is pretty consistent with visual snow, grainy vision with flashes and floaters when looking at brighter backgrounds. I went to an optometrist to rule out any sort of retinal issue or other issue that needs to be addressed, and he said my eyes look fine and that the flashes and floaters can be caused by eye strain (I am very far sighted). 
Fast forward a few weeks, and I have developed a dark blob at the very side of the vision in my left eye. It is not present in the vision of my right eye. I can only see it when I blink, and after I blink it lingers for a fraction of a second before disappearing; it basically flashes on and off when I blink. It can best be described as a black blob. I can only see it when I tilt my head at an angle, and it has been there for at least three days, although I kind of think that I remember seeing it as far back as last week. It is not a floater, as it stays in the same spot and I am concerned that it could be a problem with my retina. Is this a threat to my vision, and how promptly do I need to see an ophthalmologist? Considering I just went a few weeks ago, it is going to be hard to convince my parents that anything is wrong.</t>
        </is>
      </c>
      <c r="D910" t="n">
        <v>2</v>
      </c>
      <c r="E910" t="n">
        <v>7</v>
      </c>
      <c r="F910">
        <f>HYPERLINK("https://www.reddit.com/r/eyetriage/comments/dnmg3y/dark_blob_in_peripheral_vision/")</f>
        <v/>
      </c>
      <c r="G910" t="inlineStr">
        <is>
          <t>2019-10-26 17:49:13</t>
        </is>
      </c>
      <c r="H910" t="inlineStr"/>
    </row>
    <row r="911">
      <c r="A911" t="inlineStr">
        <is>
          <t>dnr70r</t>
        </is>
      </c>
      <c r="B911" t="inlineStr">
        <is>
          <t>After an air freshener got in my eye, wide range of treatments aren't solving the issue</t>
        </is>
      </c>
      <c r="C911" t="inlineStr">
        <is>
          <t>Almost 4 months ago I had the misfortune of having an air freshener go off right in my left eye (didnt touch the right) when I was out in public and I had to leave to find somewhere to flush it out with water which took about 10 minutes until I could, which I did for about 15 minutes. It stung a lot and the next day had dry eye symptoms, something I'm familiar with. I saw an opthamologist the next day who said the usual, try artificial tears and 4 months later with 3 different opthamologists and gone through around 8 different eye drops and nothing seems to help it. As a preface, all 3 opthamologists have done combined I think 7 or 8 eye tests, slit tests etc all the usual stuff and confirm over and over that there's no damage.
The symptoms have gone all over the place but one thing is constant, the upper, inner corner of the eye feels sticky. Every morning I wake up and the left eye is pretty much watering and theres sleep built up while the right eye is clear and theres the persistent feeling of something gritty in my eye and itchyness in that upper corner. There are no other dry eye symptoms, only those two. For the first few months I was given steroid creams to take the inflammation down, then I was given anti-allergens as my eye showed symptoms of allergies (again, the left only). No changes to anything, by now I stopped the artificial tears as they did nothing. My eye started to produce an excess amount of mucus all day long, leading to a period of mucus fishing syndrome where multiple times a day I would find myself removing visibly large amounts from the corner. I was very well aware of how to stop this but the production was way too high.
A second opthamologist identified MGD in the left eye only and said it was actually quite noticeable and appeared to have flared, likely the cause of all this mucus production. so I went to a specialist. I've been doing to warm compresses and had MGD expression with the blephasteam process done along with trying more medicated drops. The excess production is certainly down like 98% of what it was, but nothing appears to be improving with regards to the main symptoms and the itchyness remains. The third opthamologist has explained to me how blocked the glands were when I first saw her and how they are clearing up noticeably so it appears its all getting better but I feel the same. Whether or not there was excess mucus production, I constantly feel like there is something sticky in my eye and every day I wake up its the same story with one dried up and the other perfectly clear.
For what its worth, I am super susceptible to allergies and have OCD which can manifest itself in a form of hypochondria. I'm the sort of person who gets a cut while swimming and my mind instantly focuses on stories of flesh eating bacteria living in water. There's no doubt that the constant itching my eyes isn't helping anything but I never actually touch my eye, just the area around. Sometimes what I do is actually just get my finger a bit cold and press the area between the eye and the nose, since cold touch is really good at stopping itches (I've had eczema, cold is amazing). I've gone through at least 8 different drops to help dry eyes, not a single one of them appears to do anything. Going off the drops also changes nothing.
So yeah, any ideas appreciated. Thanks. I'm aware theres a possibility this could al go away if I just stopped touching my eye for like a week, but sometimes the itch is insane and no drops help.</t>
        </is>
      </c>
      <c r="D911" t="n">
        <v>0</v>
      </c>
      <c r="E911" t="n">
        <v>2</v>
      </c>
      <c r="F911">
        <f>HYPERLINK("https://www.reddit.com/r/eyetriage/comments/dnr70r/after_an_air_freshener_got_in_my_eye_wide_range/")</f>
        <v/>
      </c>
      <c r="G911" t="inlineStr">
        <is>
          <t>2019-10-27 02:40:15</t>
        </is>
      </c>
      <c r="H911" t="inlineStr"/>
    </row>
    <row r="912">
      <c r="A912" t="inlineStr">
        <is>
          <t>dns2e2</t>
        </is>
      </c>
      <c r="B912" t="inlineStr">
        <is>
          <t>Can the blood from a vitreous hemorrhage pose a risk to the retina?</t>
        </is>
      </c>
      <c r="C912" t="inlineStr">
        <is>
          <t>I have blood from a hemorrhage that has been clearing very slowly.  My doctor told me I was at an increased risk for retinal tear or detachment.
I don't understand the mechanism behind his concern.
I had understood the PVD created an increased risk, but he believes the PVD is complete.
Any thoughts?  Can the blood itself create a risk to the retina?  If so, how.
Worth noting:  Vision has improved and pressure is good.</t>
        </is>
      </c>
      <c r="D912" t="n">
        <v>1</v>
      </c>
      <c r="E912" t="n">
        <v>3</v>
      </c>
      <c r="F912">
        <f>HYPERLINK("https://www.reddit.com/r/eyetriage/comments/dns2e2/can_the_blood_from_a_vitreous_hemorrhage_pose_a/")</f>
        <v/>
      </c>
      <c r="G912" t="inlineStr">
        <is>
          <t>2019-10-27 04:29:59</t>
        </is>
      </c>
      <c r="H912" t="inlineStr"/>
    </row>
    <row r="913">
      <c r="A913" t="inlineStr">
        <is>
          <t>do4tsk</t>
        </is>
      </c>
      <c r="B913" t="inlineStr">
        <is>
          <t>How long does it take for blurry vision to go away after severe EKC?</t>
        </is>
      </c>
      <c r="C913" t="inlineStr">
        <is>
          <t>I had two weeks of EKC viral conjunctivitis. It's mostly gone now, very little red left in the white of my eye, but now my vision is blurry. I was tested at 20/20 during the initial phase of infection, but now the one eye that was infected can't read large text from a few feet away.
I've read a few places that this could take anywhere from days to months to go away. Wondering if anyone here has any idea of possible complications, thanks!</t>
        </is>
      </c>
      <c r="D913" t="n">
        <v>2</v>
      </c>
      <c r="E913" t="n">
        <v>2</v>
      </c>
      <c r="F913">
        <f>HYPERLINK("https://www.reddit.com/r/eyetriage/comments/do4tsk/how_long_does_it_take_for_blurry_vision_to_go/")</f>
        <v/>
      </c>
      <c r="G913" t="inlineStr">
        <is>
          <t>2019-10-27 22:59:09</t>
        </is>
      </c>
      <c r="H913" t="inlineStr"/>
    </row>
    <row r="914">
      <c r="A914" t="inlineStr">
        <is>
          <t>do6chr</t>
        </is>
      </c>
      <c r="B914" t="inlineStr">
        <is>
          <t>A rare eye problem</t>
        </is>
      </c>
      <c r="C914" t="inlineStr">
        <is>
          <t xml:space="preserve">
I am 22 years old and I have a high myopia L-9.5,R-10 along with a cylindrical 2.25 in both eyes. When i was a kid, i was afraid of the doctor, so i did not tell my parents that my eyesight was waning, resulting in me wearing a wrong spectacles of power 2.5 for 8 years, durimg which i feel i have damaged my eyes.I am now wearing the correct spectacles for the past 5 years. I see a multitude of floaters along with black dots, whenever i look at almost anything. In addition to it, my main problem is that, i see millions of black dots, that are moving at a very fast pace in the periphery of the vision. They are closing in as the years have gone by. Apart from it, i am able to see the pukinjees tree sometimes when i open my eyes along with the pressure phosphene that one gets when we press our eyes. One of the pressure phosphenes has blocked a very small part of my peripheral vision. Also, recently, i cannot close my eyes for long as i see millions of flashes, along with the feeling that the flashes are flickering. When i open my eyes, the flickering of image continues for about 20 seconds. I have been to multiple doctors and they claim that everything is fine with my eyes but i feel that my vision is waning as the black pressure phosphenes are enclosing and the millions of tiny dots are also moving towards my central vision. In addition to this, i cannot sleep because of the problem mentioned above. Please guide me as i am unable to find a solution or an answer</t>
        </is>
      </c>
      <c r="D914" t="n">
        <v>2</v>
      </c>
      <c r="E914" t="n">
        <v>2</v>
      </c>
      <c r="F914">
        <f>HYPERLINK("https://www.reddit.com/r/eyetriage/comments/do6chr/a_rare_eye_problem/")</f>
        <v/>
      </c>
      <c r="G914" t="inlineStr">
        <is>
          <t>2019-10-28 02:12:48</t>
        </is>
      </c>
      <c r="H914" t="inlineStr"/>
    </row>
    <row r="915">
      <c r="A915" t="inlineStr">
        <is>
          <t>do8fvf</t>
        </is>
      </c>
      <c r="B915" t="inlineStr">
        <is>
          <t>Seeing bright flashes of light</t>
        </is>
      </c>
      <c r="C915" t="inlineStr">
        <is>
          <t>Im 14M, I have normal vision 20/20, have never worn glasses before.
  It started last week when I woke up from a nap (in the afternoon), then to be greeted by bright flashes, of white light that were seeming to appear every few minutes before they stopped again. Keep in mind that the room I slept in, when I sleep, I would face the open window. 
  Anyways, I thought it was some kind of eye strain due to my facial muscles near left eye feeling tense and I felt tired to open my eyes. That night, I slept on the living room couch and weirdly I saw the bright flash appear in the room where I first saw them, but weirdly it was shining between the gap of the door. 
  So fast forward to now, I have rested my eyes as much as I could, and I'm still have that weak/tired feeling of opening my eyes, the bright flashes had stopped occuring until today. Now the bright flash I saw happened (at night) in the exact same roomthat I first mentioned and when was not facing the open window, when the bright flash occurred, it seemed to have occurred at the side of my eye, as if it is seen directionally which is so weird. 
  So now I am confused on whether I am actually seeing these bright flashes of light which is caused by an eye problem or the bright flashes are coming from an actual light source. I know that the only light source I have in the room is the led on the ceiling, but the bright flash is coming from the open window. [I always see the bright flash as coming from a light source from the area between the fish tank and the white rectangular box with red numbers on it at the bottom of the pic.](https://i.imgur.com/qORcihr.jpg)</t>
        </is>
      </c>
      <c r="D915" t="n">
        <v>3</v>
      </c>
      <c r="E915" t="n">
        <v>1</v>
      </c>
      <c r="F915">
        <f>HYPERLINK("https://www.reddit.com/r/eyetriage/comments/do8fvf/seeing_bright_flashes_of_light/")</f>
        <v/>
      </c>
      <c r="G915" t="inlineStr">
        <is>
          <t>2019-10-28 05:54:40</t>
        </is>
      </c>
      <c r="H915" t="inlineStr"/>
    </row>
    <row r="916">
      <c r="A916" t="inlineStr">
        <is>
          <t>do9ikp</t>
        </is>
      </c>
      <c r="B916" t="inlineStr">
        <is>
          <t>Normal after retinopexy?</t>
        </is>
      </c>
      <c r="C916" t="inlineStr">
        <is>
          <t>Hi all! So Friday morning, I had laser retinopexy done on both eyes for partial detachment, tears, and lattice degeneration. Because of all these things, they said it would be a little more than a couple of zaps with the laser, which it definitely was. They didn’t use a gas bubble or freeze it, either, so overall it was simple. There haven’t been any real issues since but my eyes are a bit sore still and sensitive to light. Is this normal and how long should I expect this?</t>
        </is>
      </c>
      <c r="D916" t="n">
        <v>3</v>
      </c>
      <c r="E916" t="n">
        <v>8</v>
      </c>
      <c r="F916">
        <f>HYPERLINK("https://www.reddit.com/r/eyetriage/comments/do9ikp/normal_after_retinopexy/")</f>
        <v/>
      </c>
      <c r="G916" t="inlineStr">
        <is>
          <t>2019-10-28 07:23:44</t>
        </is>
      </c>
      <c r="H916" t="inlineStr"/>
    </row>
    <row r="917">
      <c r="A917" t="inlineStr">
        <is>
          <t>doj86o</t>
        </is>
      </c>
      <c r="B917" t="inlineStr">
        <is>
          <t>glaucoma help- hydrus stent vs. goniotomy with cataract surgery</t>
        </is>
      </c>
      <c r="C917" t="inlineStr">
        <is>
          <t>Hello- I'm a neurologist looking for advice on how to manage my dad's advanced glaucoma. He has a hemifield visual field cut from glaucoma in OD, an inferior arcuate defect in his OS. I wish I knew how to attach his visual field pics (HIPAA de-identified of course). He also has cataracts and macular pucker in his OD. He uses his eyes a lot to read, so these issues have become especially bothersome. Also, his IOPs on cosopt and xalatan have been pretty good (about 12-16) so it's not like they are very elevated. I suspect he has normotension glaucoma and my understanding based on my reading is that in these cases, it is good for IOP to be &amp;lt;12. Our local glaucoma specialist recommended a goniotomy procedure (not sure which one, as it seems there are many...based on my own reading, it sounds like Kahook Dual Blade Goniotomy with CS might be a good option). The other glaucoma specialist who is at Wilmer Eye Institute (Hopkins) recommended a Hydrus stent with CS. Now, I am a bit skeptical that the stents will work given his glaucoma is so advanced and they are mostly approved for mild-moderate glaucoma and I suspect they would not lower his IOP enough. However, this glaucoma specialist said he has seen good results. My very basic understanding is that the Hydrus stent with CS may be less effective in the long run but has less risk/adverse effects, whereas the goniotomy has more risks/side effects but is more likely to be effective. Is this understanding correct? He has seen a couple glaucoma specialists and we have gotten mixed advice, so are not sure how to proceed. Of course, by not making any decision, we are making a decision- which is to just let my dad's vision slowly get worse. It would be great to get some other people's input, and maybe even some recs on who to see in the country, though my understanding is that in these cases, it is better to stay local in case he needs follow up? In that case, maybe just sticking with his local glaucoma specialist would be best, since the Hopkins guy is 3 hours away?  Thanks in advance!</t>
        </is>
      </c>
      <c r="D917" t="n">
        <v>2</v>
      </c>
      <c r="E917" t="n">
        <v>4</v>
      </c>
      <c r="F917">
        <f>HYPERLINK("https://www.reddit.com/r/eyetriage/comments/doj86o/glaucoma_help_hydrus_stent_vs_goniotomy_with/")</f>
        <v/>
      </c>
      <c r="G917" t="inlineStr">
        <is>
          <t>2019-10-28 18:54:28</t>
        </is>
      </c>
      <c r="H917" t="inlineStr"/>
    </row>
    <row r="918">
      <c r="A918" t="inlineStr">
        <is>
          <t>dojk63</t>
        </is>
      </c>
      <c r="B918" t="inlineStr">
        <is>
          <t>At night, and to a lesser extent sometimes during the day, points of light are sort of undefined/have rays and bold text is sometimes double?</t>
        </is>
      </c>
      <c r="C918" t="inlineStr">
        <is>
          <t>I want to just say that i'm sort of a hypochondriac about my eyes. So, uh, keep that in mind. Anyway, I went to the eye doctor (ophthalmologist) for an eye exam a couple weeks ago since I noticed I have floaters, which are annoying. I'm 30. He told me my retinas are perfectly fine and my corneas are also perfectly fine (he had noticed some dry eye related stuff last time that he said is gone now). 
A day or two later, I've noticed that points of light seem to be sort of undefined sometimes. Bold text ESPECIALLY white text on a black background is sometimes sort of double (like ghost images above the actual text). Sometimes black text on a white background sort of creeps upward too. It's more of a problem at night; during the day its mostly fine. I have noticed that things are more defined/fine when I (at night) look at something bright and then look at the bold text or point of light, etc.
Now, my sleep has been absolutely terrible and i've been pretty stressed out due to this and unrelated stuff. My eyes have been quite dry but I've been lubricating them regularly. Should I make another appointment? Is this something really bad? Are my pupils messed up? Are my corneas messed up? Am I just stressed out and not sleeping well? Any suggestions? Thanks!</t>
        </is>
      </c>
      <c r="D918" t="n">
        <v>1</v>
      </c>
      <c r="E918" t="n">
        <v>3</v>
      </c>
      <c r="F918">
        <f>HYPERLINK("https://www.reddit.com/r/eyetriage/comments/dojk63/at_night_and_to_a_lesser_extent_sometimes_during/")</f>
        <v/>
      </c>
      <c r="G918" t="inlineStr">
        <is>
          <t>2019-10-28 19:21:59</t>
        </is>
      </c>
      <c r="H918" t="inlineStr"/>
    </row>
    <row r="919">
      <c r="A919" t="inlineStr">
        <is>
          <t>dos7ch</t>
        </is>
      </c>
      <c r="B919" t="inlineStr">
        <is>
          <t>RCE with BCL, hazy vision for 2 days, should I be concerned?</t>
        </is>
      </c>
      <c r="C919" t="inlineStr">
        <is>
          <t>I have RCE in my right eye and have been wearing a BCL for 7 weeks
Three nights ago I hurt my eye. I think the BCL got dried out and opened a new erosion (pain was very similar to my first erosion)
The next day, the pain had dissipated considerably but the vision in that eye got very hazy (like looking through foggy glass). It's now been two days since what I think was an erosion but my vision is still very hazy. It's perhaps a bit better today than yesterday but I'm not certain
Should I be worried about hazy vision two days after an erosion if I am not in much pain or discomfort? 
I found something online that alarmed me a bit, [this document](https://www.ouh.nhs.uk/patient-guide/leaflets/files/11034Pbandage.pdf) about BCL care (one of the only things I could find online on this subject at all) says "If you notice that your vision is more hazy in the morning than it was the night before and stays hazy, contact us immediately". What is it they are concerned about there?
Not wanting to have to pay to see my doctor if it's nothing to worry about yet ... plus I have a followup scheduled with him in two weeks anyway</t>
        </is>
      </c>
      <c r="D919" t="n">
        <v>1</v>
      </c>
      <c r="E919" t="n">
        <v>6</v>
      </c>
      <c r="F919">
        <f>HYPERLINK("https://www.reddit.com/r/eyetriage/comments/dos7ch/rce_with_bcl_hazy_vision_for_2_days_should_i_be/")</f>
        <v/>
      </c>
      <c r="G919" t="inlineStr">
        <is>
          <t>2019-10-29 09:25:41</t>
        </is>
      </c>
      <c r="H919" t="inlineStr"/>
    </row>
    <row r="920">
      <c r="A920" t="inlineStr">
        <is>
          <t>doto01</t>
        </is>
      </c>
      <c r="B920" t="inlineStr">
        <is>
          <t>Glares &amp;amp; halos at night - since last month, clomid side effects??</t>
        </is>
      </c>
      <c r="C920" t="inlineStr">
        <is>
          <t>Hello, I am a 30 year old man, in the last month there has been a decline in quality of vision (have trouble focusing and i started noticing my eyes get reddish and at times i have crust in corners of my eyes) and I see glares in the day and halos around light sources at night, ophthalmologists have not detected any problem I have performed corneal and topography and oct without findings. Last month I also started taking a hormone drug called clomiphine, could it be a side effect of the drug? Thanks.
I Hope it's the right subreddit.</t>
        </is>
      </c>
      <c r="D920" t="n">
        <v>2</v>
      </c>
      <c r="E920" t="n">
        <v>10</v>
      </c>
      <c r="F920">
        <f>HYPERLINK("https://www.reddit.com/r/eyetriage/comments/doto01/glares_halos_at_night_since_last_month_clomid/")</f>
        <v/>
      </c>
      <c r="G920" t="inlineStr">
        <is>
          <t>2019-10-29 11:08:51</t>
        </is>
      </c>
      <c r="H920" t="inlineStr"/>
    </row>
    <row r="921">
      <c r="A921" t="inlineStr">
        <is>
          <t>dovon3</t>
        </is>
      </c>
      <c r="B921" t="inlineStr">
        <is>
          <t>Peripheral flashes (PVD)</t>
        </is>
      </c>
      <c r="C921" t="inlineStr">
        <is>
          <t>Hi!
I am 23 years old and a month and a half ago I was playing football and was hit hard by a ball right in my right eye. In the minutes after I was hit, half of that eye's vision was just a big gray/black spot which gradually became better. I immediately went to the doctor who did all the examinations and said that the retina was fine, but there was a vitreous hemorrhage which would gradually disappear. I had appointments every week and a half to get my eye checked until after one month after I was hit. In the last appointment everything was fine, and the hemorrhage was disappearing (although there were still traces of it).
However, most of the times when I am somewhere with lots of light I see some peripheral flashes which bother me. I read in the internet that these are caused by PVD, but I could not understand if they will slowly disappear.
Is it likely that the flashes will eventually disappear and that PVD no longer affects me?
Thanks!</t>
        </is>
      </c>
      <c r="D921" t="n">
        <v>1</v>
      </c>
      <c r="E921" t="n">
        <v>4</v>
      </c>
      <c r="F921">
        <f>HYPERLINK("https://www.reddit.com/r/eyetriage/comments/dovon3/peripheral_flashes_pvd/")</f>
        <v/>
      </c>
      <c r="G921" t="inlineStr">
        <is>
          <t>2019-10-29 13:27:23</t>
        </is>
      </c>
      <c r="H921" t="inlineStr"/>
    </row>
    <row r="922">
      <c r="A922" t="inlineStr">
        <is>
          <t>dp1cgu</t>
        </is>
      </c>
      <c r="B922" t="inlineStr">
        <is>
          <t>Update, and another question on tilted vision.</t>
        </is>
      </c>
      <c r="C922" t="inlineStr">
        <is>
          <t>My first post - [https://www.reddit.com/r/eyetriage/comments/ctb7q7/tilted\_vision\_have\_not\_been\_able\_to\_get\_a/](https://www.reddit.com/r/eyetriage/comments/ctb7q7/tilted_vision_have_not_been_able_to_get_a/)
So I've been to a Pediatric Ophthalmologist in my area that came highly recommended by my lasik surgeon. He didn't find a cause for my symptom but ruled out the retina and the optic nerve as a cause. He thinks it's caused by my eye muscles (but he made sure to say he's isn't 100% certain it's the muscles) He explained how the only way to fix my vision would be surgery but that the surgery would be "high risk, low yield". He has me wearing an eye patch for a week to break my binocular vision to see if there's a change in my eyes if they can't work together.
Is it normal for something like this to be unable to be diagnosed? I'm really hesitant to have surgery without a diagnosis. I hate seeing the world this way, and I hate feeling so lost.</t>
        </is>
      </c>
      <c r="D922" t="n">
        <v>2</v>
      </c>
      <c r="E922" t="n">
        <v>1</v>
      </c>
      <c r="F922">
        <f>HYPERLINK("https://www.reddit.com/r/eyetriage/comments/dp1cgu/update_and_another_question_on_tilted_vision/")</f>
        <v/>
      </c>
      <c r="G922" t="inlineStr">
        <is>
          <t>2019-10-29 20:33:10</t>
        </is>
      </c>
      <c r="H922" t="inlineStr"/>
    </row>
    <row r="923">
      <c r="A923" t="inlineStr">
        <is>
          <t>dpc133</t>
        </is>
      </c>
      <c r="B923" t="inlineStr">
        <is>
          <t>Been to Opthamologist 6 times in 4 Months, No Answers</t>
        </is>
      </c>
      <c r="C923" t="inlineStr">
        <is>
          <t>Hello All,
I am reaching for ideas here. I have had pain and extreme redness in the outside corner of my left eye for months now. I have been to my Opthamologist multiple times and don't feel any closer to an answer. 
My eye starts out red in the morning then progressively gets more irritated/red/painful as the day goes on. I work in IT so I am constantly working on a computer, so I'm assuming its probably a factor, however this issue cropped up within the last 6 months and i have worked in IT for years. 
My Opthamologist has me using Refresh PluS eyedrops 3-4 times a day, warm compress once per day, prescribed me a steroid ointment for my left eye as well as tried Prolenza which is a non-steroidal eye drop. 
Some of the above seem to help sometimes, but other times not at all. My other eye is prone to dryness and redness, but doesn't exhibit the extreme redness or irritation/pain. 
Has anyone seen something like this or have any advice? Should I get a second opinion with a different Dr? I am willing to try anything at this point. Thank you!</t>
        </is>
      </c>
      <c r="D923" t="n">
        <v>1</v>
      </c>
      <c r="E923" t="n">
        <v>2</v>
      </c>
      <c r="F923">
        <f>HYPERLINK("https://www.reddit.com/r/eyetriage/comments/dpc133/been_to_opthamologist_6_times_in_4_months_no/")</f>
        <v/>
      </c>
      <c r="G923" t="inlineStr">
        <is>
          <t>2019-10-30 13:06:54</t>
        </is>
      </c>
      <c r="H923" t="inlineStr"/>
    </row>
    <row r="924">
      <c r="A924" t="inlineStr">
        <is>
          <t>dpcbpj</t>
        </is>
      </c>
      <c r="B924" t="inlineStr">
        <is>
          <t>Bilateral cataracts, bilateral ERM and ERM with Macular Schisis and high myopia. Surgery is too risky, what should I do?</t>
        </is>
      </c>
      <c r="C924" t="inlineStr">
        <is>
          <t>Hi all,
I have Bilateral cataracts, bilateral ERM with right ERM with macular schisis. I have approx -15 myopia with astigmatism. My opthamologist said surgery is too risk and likely blindness will occur with surgery, but the other option is to wait for my ultimate fate to become blind rom my eye diseases. I have had them for approx 1-2 years which my previous optometrist never picked up. What are your thoughts? Why is the surgery risky for me?</t>
        </is>
      </c>
      <c r="D924" t="n">
        <v>1</v>
      </c>
      <c r="E924" t="n">
        <v>5</v>
      </c>
      <c r="F924">
        <f>HYPERLINK("https://www.reddit.com/r/eyetriage/comments/dpcbpj/bilateral_cataracts_bilateral_erm_and_erm_with/")</f>
        <v/>
      </c>
      <c r="G924" t="inlineStr">
        <is>
          <t>2019-10-30 13:28:24</t>
        </is>
      </c>
      <c r="H924" t="inlineStr"/>
    </row>
    <row r="925">
      <c r="A925" t="inlineStr">
        <is>
          <t>dpcnix</t>
        </is>
      </c>
      <c r="B925" t="inlineStr">
        <is>
          <t>I went to the pharmacy to buy some eye drops because my eyes are very dry but when I got home I noticed they're for contact lenses?</t>
        </is>
      </c>
      <c r="C925" t="inlineStr">
        <is>
          <t>Hi. 24F.
Recently my eyes have been especially dry so I went to the pharmacy to get some hydrating eye drops.
When I got home, I applied it but when I read the box and it said it's for lubricating contact lenses. I don't wear lenses. 
Can I keep using it or is it damaging?
Thank you</t>
        </is>
      </c>
      <c r="D925" t="n">
        <v>1</v>
      </c>
      <c r="E925" t="n">
        <v>2</v>
      </c>
      <c r="F925">
        <f>HYPERLINK("https://www.reddit.com/r/eyetriage/comments/dpcnix/i_went_to_the_pharmacy_to_buy_some_eye_drops/")</f>
        <v/>
      </c>
      <c r="G925" t="inlineStr">
        <is>
          <t>2019-10-30 13:51:40</t>
        </is>
      </c>
      <c r="H925" t="inlineStr"/>
    </row>
    <row r="926">
      <c r="A926" t="inlineStr">
        <is>
          <t>dpdpda</t>
        </is>
      </c>
      <c r="B926" t="inlineStr">
        <is>
          <t>Reapplying eye ointment in the middle of the night?</t>
        </is>
      </c>
      <c r="C926" t="inlineStr">
        <is>
          <t>I have droopy eye lids due to a muscle disease and am scheduled to get surgery to raise them in a month. The doctor told me that my eyes won't close all the way when I sleep, after the surgery, so I'll have to apply eye ointment every night. I forgot to bring this up, but I get up in the middle of every night to use the bathroom. I'm assuming I'll wipe my eyes clean so I can see my way to the bathroom, will I have to then reapply the ointment before going back to sleep?</t>
        </is>
      </c>
      <c r="D926" t="n">
        <v>1</v>
      </c>
      <c r="E926" t="n">
        <v>1</v>
      </c>
      <c r="F926">
        <f>HYPERLINK("https://www.reddit.com/r/eyetriage/comments/dpdpda/reapplying_eye_ointment_in_the_middle_of_the_night/")</f>
        <v/>
      </c>
      <c r="G926" t="inlineStr">
        <is>
          <t>2019-10-30 15:04:49</t>
        </is>
      </c>
      <c r="H926" t="inlineStr"/>
    </row>
    <row r="927">
      <c r="A927" t="inlineStr">
        <is>
          <t>dpi2vx</t>
        </is>
      </c>
      <c r="B927" t="inlineStr">
        <is>
          <t>How bad does my vision have to be before I can get surgery?</t>
        </is>
      </c>
      <c r="C927" t="inlineStr">
        <is>
          <t>I'm 25F with congenital eye issues. My mother, two of her sisters, my maternal grandmother and her brother all have the same set of issues. We are extremely myopic with histories of retina detachment and all have cataracts. When my retina detached I was was approved for surgery which included reattaching the retina, draining the "jelly" and lasering the other eye to create scar tissue for to prevent the other eye from doing the same.
Whenever I ask about cataract surgery I always get the same spiel about waiting for it to mature, but I'm not too excited about going progressively blinder and having to wear thicker and thicker glasses. My glasses are more than a 1/2 inch thick and coat nearly $600 two years ago and they're already out of prescription. I can't drive and I feel they hold me back professionally. 
Is there a reason I can't get a straight answer?
What is a mature cataract?</t>
        </is>
      </c>
      <c r="D927" t="n">
        <v>3</v>
      </c>
      <c r="E927" t="n">
        <v>7</v>
      </c>
      <c r="F927">
        <f>HYPERLINK("https://www.reddit.com/r/eyetriage/comments/dpi2vx/how_bad_does_my_vision_have_to_be_before_i_can/")</f>
        <v/>
      </c>
      <c r="G927" t="inlineStr">
        <is>
          <t>2019-10-30 20:44:00</t>
        </is>
      </c>
      <c r="H927" t="inlineStr"/>
    </row>
    <row r="928">
      <c r="A928" t="inlineStr">
        <is>
          <t>dppa2i</t>
        </is>
      </c>
      <c r="B928" t="inlineStr">
        <is>
          <t>New floaters after retinopexy?</t>
        </is>
      </c>
      <c r="C928" t="inlineStr">
        <is>
          <t>I had laser retinopexy last Friday morning, without the gas bubble. Since, I’ve had a couple of new floaters. From what I understand, that’s normal but how many are a concern?</t>
        </is>
      </c>
      <c r="D928" t="n">
        <v>2</v>
      </c>
      <c r="E928" t="n">
        <v>2</v>
      </c>
      <c r="F928">
        <f>HYPERLINK("https://www.reddit.com/r/eyetriage/comments/dppa2i/new_floaters_after_retinopexy/")</f>
        <v/>
      </c>
      <c r="G928" t="inlineStr">
        <is>
          <t>2019-10-31 08:38:42</t>
        </is>
      </c>
      <c r="H928" t="inlineStr"/>
    </row>
    <row r="929">
      <c r="A929" t="inlineStr">
        <is>
          <t>dpupr9</t>
        </is>
      </c>
      <c r="B929" t="inlineStr">
        <is>
          <t>Contact lens confessions</t>
        </is>
      </c>
      <c r="C929" t="inlineStr">
        <is>
          <t>You know how people lie to their dentists when they're asked whether they floss regularly?  Well, I'm trying to decide whether to be honest with my opthalmologist the next time I go for an eye exam.  I thought I'd test the waters by posting my "confession" here anonymously first!
I've been wearing contact lenses for decades; I got my first pair when I was 12.  I started with the non-disposable kind, with the nightly cleanings and weekly protein removal solutions.  I followed instructions pretty closely back then.  
Nowadays I have the disposable kind; I think they're supposed to last 2 weeks per pair, or maybe 4 weeks.  At each eye exam, I get 4 boxes, 6 lenses per box, and I think I'm supposed to call for refills when I run out between annual visits.
The thing is, (I'm so scared putting this out there, even anonymously!) I wear the same pair for months at a time.  I sleep in them.  I never take them out to clean them, because they never get dirty -- except on the rare occasion when I cry for an extended period of time (like during a 2-hour sad movie), in which case I do take them out, scrub them with my Clear Conscience Contact Lens solution (which is probably expired), and then either put them right back in, or experiment with my glasses for the rest of the day (glasses give me a throbbing pain in my temples, but that's a question for another post).
Sometimes when I take them out after a crying spell, I'll throw them away and start a new pair... I'm not \*trying\* to make my supply last forever, I'm just reluctant to throw away a perfectly good pair of lenses if I have the time and energy to scrub and rinse them instead.
So the 4 boxes of 6 lenses each last me 2 or 3 years (maybe longer).  I don't have a regular opthalmologist because I've moved a few times, so I don't get a lot of reminder emails or postcards for annual exams.  I make an appointment for an eye exam when I'm down to my last few pairs.  Each time I do go, my prescription is slightly changed (I'm myopic with astigmatism), although the changes have become smaller as I approach middle age.
I think that perhaps my eyes don't generate as much protein deposits as other peoples' eyes do.  My contacts aren't significantly dry or uncomfortable when I wake up, either, unless I've slept with the ceiling fan on high all night, so I must be pretty good at making tears (which is such an unfortunate homograph in this context!).  The other thing that may be unusual about me is that I've never, to the best of my knowledge and my mother's recollection, had a bacterial infection.  I've had viral infections (colds, flus, chicken pox, canker sores), but I've never had a UTI, ear infection, eye infection, sinus infection, strep throat, food poisoning, or even an infected cut.  I once asked in some medical subreddit whether that is unusual, but I didn't get any replies.
I understand that, as doctors, you might open yourself up to liability if you say "that's fine; that's normal; keep doing what you're doing."  I anticipate that, if I get any responses at all, they will be cautionary tales of other neglectful, noncompliant contact lens wearers who tempted fate like this and then contracted some devastating eye disease -- and I would believe you.  I know my lazy contact lens habits are irresponsible and risky; I don't do it on purpose. (I have a pretty severe case of lifelong treatment-resistant depression and inattentive-type ADHD, which limits my personal hygiene and self-care routines to the basics.  But -- ironically -- I do actually floss every night!)
Thank you for reading; I would very much welcome any feedback.</t>
        </is>
      </c>
      <c r="D929" t="n">
        <v>1</v>
      </c>
      <c r="E929" t="n">
        <v>14</v>
      </c>
      <c r="F929">
        <f>HYPERLINK("https://www.reddit.com/r/eyetriage/comments/dpupr9/contact_lens_confessions/")</f>
        <v/>
      </c>
      <c r="G929" t="inlineStr">
        <is>
          <t>2019-10-31 14:59:16</t>
        </is>
      </c>
      <c r="H929" t="inlineStr"/>
    </row>
    <row r="930">
      <c r="A930" t="inlineStr">
        <is>
          <t>dpz8ac</t>
        </is>
      </c>
      <c r="B930" t="inlineStr">
        <is>
          <t>Near and Intermediate Vision with Monofocal IOL</t>
        </is>
      </c>
      <c r="C930" t="inlineStr">
        <is>
          <t xml:space="preserve"> Hello r/eyetriage,
  I am a 24yr old asian male who had bilateral cataract surgery with multifocal in eyes both aimed for plano. I am finding myself in a situation where I am having difficulty getting used to the glare/halo and just the general reduced sharpness at all distances.  I have been trying to do more research and reading about the surgical outcomes of monofocal, but it’s been difficult for me to understand it. My doctor said if I were to have a monofocal, I wouldn’t have any near vision at all and strongly discourages a lens exchange. But exactly how much near vision do monofocal aimed for distance get? Can someone tell me, on average, how far down the Rosenbaum pocket reader card they can read with monofocal implants?  I am already wearing readers for all the computer work and reading, which really defeats the purpose of getting the MFIOL in the first place.</t>
        </is>
      </c>
      <c r="D930" t="n">
        <v>1</v>
      </c>
      <c r="E930" t="n">
        <v>14</v>
      </c>
      <c r="F930">
        <f>HYPERLINK("https://www.reddit.com/r/eyetriage/comments/dpz8ac/near_and_intermediate_vision_with_monofocal_iol/")</f>
        <v/>
      </c>
      <c r="G930" t="inlineStr">
        <is>
          <t>2019-10-31 21:04:20</t>
        </is>
      </c>
      <c r="H930" t="inlineStr"/>
    </row>
    <row r="931">
      <c r="A931" t="inlineStr">
        <is>
          <t>dq6ewh</t>
        </is>
      </c>
      <c r="B931" t="inlineStr">
        <is>
          <t>Odd visual distortion lasting a couple months. Example gif in post.</t>
        </is>
      </c>
      <c r="C931" t="inlineStr">
        <is>
          <t>First off, I have scheduled an appt to see an eye doctor.  Some quick info: I suffer dry eyes occasionally, have an astigmatism, wear glasses, and have diagnosed migraines for which I take medicine as needed. I'm in my 30s and male.
If I focus or look for this disturbance, I can find it fairly easily.  If I'm not looking, it'll show up and startle me sometimes while watching TV or laying in bed looking at a plain lit wall.   I would say there are multiple spots that appear this way.  The best description I can use is the following gif.
https://giphy.com/gifs/bad-quality-12SOEXvmRKujyE
Basically the grainy dots that appear on and around her face.  My vision is still technically good enough to see the image, but the weird dots are distracting (and alarming). 
This is mostly affecting distance vision, I don't really notice it looking at my phone</t>
        </is>
      </c>
      <c r="D931" t="n">
        <v>1</v>
      </c>
      <c r="E931" t="n">
        <v>0</v>
      </c>
      <c r="F931">
        <f>HYPERLINK("https://www.reddit.com/r/eyetriage/comments/dq6ewh/odd_visual_distortion_lasting_a_couple_months/")</f>
        <v/>
      </c>
      <c r="G931" t="inlineStr">
        <is>
          <t>2019-11-01 09:15:21</t>
        </is>
      </c>
      <c r="H931" t="inlineStr"/>
    </row>
    <row r="932">
      <c r="A932" t="inlineStr">
        <is>
          <t>dqc1k7</t>
        </is>
      </c>
      <c r="B932" t="inlineStr">
        <is>
          <t>i have few question hopefully some with education background in Optometry, Ophthalmology, Neurophysiology and so on can answer my question</t>
        </is>
      </c>
      <c r="C932" t="inlineStr">
        <is>
          <t>question 1 what's the difference from expensive one and the cheap eyeglasses i have the money to buy the expanse one but i would rather buy the cheap one and have 4 pair of glasse incase they get damage from sport or other activity  but the sales personnel recommend me buying the expensive because of my high prescription i somewhat agree but don't understand what more can i benefits from other than thinner glasses because of  ever since i was young i have always been plagued by havey glasses and headache so i want to find different solution like 3d print eye frame that can better distribute weight  question 2 what does essilor for example mean with eyezen, eyecode, nautilus varilux-x-series and so on question 3 advice to reduce headache  question 4 is some material better for far sight  vision question 5 advise getting a full picture on my eyesight regarding academic as how its now its random and like know how my eye sight effect my reding as this has been challenge i didn't know how much my eyesight affect my reading also i'm reading  some of my old report for the hospital and dont understand what strabismus mens also her some of my prescription i have no idea what it means also this is form 2001 +4-0,5 x 174 og + 5 - 1,0 x 5 Skia +4,5-0,5 x 176 og +6-1,5 x 7 Visus cc: 0.d.: 1,00  but i have wors know</t>
        </is>
      </c>
      <c r="D932" t="n">
        <v>0</v>
      </c>
      <c r="E932" t="n">
        <v>9</v>
      </c>
      <c r="F932">
        <f>HYPERLINK("https://www.reddit.com/r/eyetriage/comments/dqc1k7/i_have_few_question_hopefully_some_with_education/")</f>
        <v/>
      </c>
      <c r="G932" t="inlineStr">
        <is>
          <t>2019-11-01 16:10:16</t>
        </is>
      </c>
      <c r="H932" t="inlineStr"/>
    </row>
    <row r="933">
      <c r="A933" t="inlineStr">
        <is>
          <t>dqkm7t</t>
        </is>
      </c>
      <c r="B933" t="inlineStr">
        <is>
          <t>Struggling to find the right prescription, wondering why things are changing so much.</t>
        </is>
      </c>
      <c r="C933" t="inlineStr">
        <is>
          <t>I'm wondering if I am going to like this latest new prescription (bottom) and I'm a little confused why I seem to struggle to find the right prescription that is comfortable and gives me good distance vision. Any insight would be appreciated and I've included history. I'm now over forty and it seems like my vision is changing all over the place. I had lasik back when I was 23 or so and things were great until I hit forty.
    August 2017 dilated
         sph     cyl     axis   add
    od   -2.75   +1.75   75     +1.5
    os   -2.25   +1.5    105    +1.5
This gave me a weird feeling and distance vision was a bit off so I returned and had my prescription read again and got this;
    September 2017 not dilated
         sph     cyl     axis   add
    od   -2.75   +1.75   70     +1.5
    os   -2      +1.5    95     +1.5
These worked fine for me and I wound up having a progressive set, single vision distance and later on single vision reading for bedside/office. 
**Two years pass**, I'm comfortable with my old prescription but I can tell distance is a bit off and I want a new progressive set with photogray for outdoors. They gave me this prescription;
    September 2020 dilated
         sph     cyl     axis   add
    od   -2.25   +1.75   70     +1.5
    os   -2.25   +2      95     +1.5
I had a pair of office progressive glasses made with this and generally like them around the office, better than straight reading glasses. So I ordered a new pair of progressives also and pretty much immediately hated them, they felt wrong for distance like my right eye was struggling to work. Stuck it out for a couple days to try and get used to them but finally on a long ride home the distance vision bothered me enough I swapped back to my old progressives and felt some relief. Booked an appointment that night and eventually got this new prescription; 
    November 2020 not dilated
         sph     cyl     axis   add
    od   -3      +1.75   70     +1.5
    os   -3.25   +2.25   90     +1.5
1. This looks like a big change to me? Questioned the Dr (M.D., Ophthalmology) on this and he says I just seem to like this stronger prescription and that's fine. Even though my "real" prescription is the September one I can get glasses with this one if I like it. 
2. What really concerns me is it feels like I have trouble with my right eye now and in the past and both new prescriptions undilated seem to be seeing more of a change in my left eye. What's up with that?
3. Regarding the astigmatism; it seems to be getting worse? What causes a change in astigmatism??</t>
        </is>
      </c>
      <c r="D933" t="n">
        <v>3</v>
      </c>
      <c r="E933" t="n">
        <v>4</v>
      </c>
      <c r="F933">
        <f>HYPERLINK("https://www.reddit.com/r/eyetriage/comments/dqkm7t/struggling_to_find_the_right_prescription/")</f>
        <v/>
      </c>
      <c r="G933" t="inlineStr">
        <is>
          <t>2019-11-02 07:06:03</t>
        </is>
      </c>
      <c r="H933" t="inlineStr"/>
    </row>
    <row r="934">
      <c r="A934" t="inlineStr">
        <is>
          <t>dqlglv</t>
        </is>
      </c>
      <c r="B934" t="inlineStr">
        <is>
          <t>Continuing eye drops after Lasik</t>
        </is>
      </c>
      <c r="C934" t="inlineStr">
        <is>
          <t xml:space="preserve">
I got lasik surgery last week, and after the operation was prescribed different types of drops, some of which I am supposed to take for a week and others for a month.
After one week, recovery is going well, although a little bit slower than I thought (eyes a bit dry and sensitive). I still have a decent amount of the drops I was supposed to take for only one week. 
Is there any issue if I keep using them for a couple of days ?
Reasoning is
1) I still have some and probably will not need them (and the pack is open so I cannot just return it)
2) although recovery is going well, I still have minor discomfort which is probably due to my eyes being dry
Thanks!</t>
        </is>
      </c>
      <c r="D934" t="n">
        <v>1</v>
      </c>
      <c r="E934" t="n">
        <v>1</v>
      </c>
      <c r="F934">
        <f>HYPERLINK("https://www.reddit.com/r/eyetriage/comments/dqlglv/continuing_eye_drops_after_lasik/")</f>
        <v/>
      </c>
      <c r="G934" t="inlineStr">
        <is>
          <t>2019-11-02 08:11:18</t>
        </is>
      </c>
      <c r="H934" t="inlineStr"/>
    </row>
    <row r="935">
      <c r="A935" t="inlineStr">
        <is>
          <t>dqrfzl</t>
        </is>
      </c>
      <c r="B935" t="inlineStr">
        <is>
          <t>Seeking help for GPC</t>
        </is>
      </c>
      <c r="C935" t="inlineStr">
        <is>
          <t>I’m a female patient and I visited the eye doctor last week (for my yearly exam, but my eyes just happened to start being irritated and itchy). I mentioned to him about my eyes being irritated and he flips my eyelid and says I have small bumps on them caused by my contacts. I’ve been wearing acuvue oasis contacts for years and never had this problem. I’ve been wearing them for a month and never sleep in them. Another thing I forgot to mention to him was I switched to a waterproof mascara around the same time this started. I quickly switched to a kind for sensitive eyes and contacts. So I’m not sure if that has anything to do with it? 
He was pretty vague on what I should do, but he gave me a new contact solution and said if they aren’t better in a month or two then to come back. This is a LONG time to go with feeling like this. He didn’t say to stop wearing them, but I got new glasses and I’ve been three days without putting them in. They still bother me but today hasn’t been TOO bad.. Any recommendations on what I should do? I’ve tried a few different kind of eye drops but none have seemed promising so far. Should I call my doctor and see if he’ll prescribe me some kind of drop? Any advice is greatly appreciated. I’m scared I won’t be able to wear contacts again.</t>
        </is>
      </c>
      <c r="D935" t="n">
        <v>1</v>
      </c>
      <c r="E935" t="n">
        <v>1</v>
      </c>
      <c r="F935">
        <f>HYPERLINK("https://www.reddit.com/r/eyetriage/comments/dqrfzl/seeking_help_for_gpc/")</f>
        <v/>
      </c>
      <c r="G935" t="inlineStr">
        <is>
          <t>2019-11-02 15:19:35</t>
        </is>
      </c>
      <c r="H935" t="inlineStr"/>
    </row>
    <row r="936">
      <c r="A936" t="inlineStr">
        <is>
          <t>dqsd55</t>
        </is>
      </c>
      <c r="B936" t="inlineStr">
        <is>
          <t>photopsia at young age</t>
        </is>
      </c>
      <c r="C936" t="inlineStr">
        <is>
          <t xml:space="preserve"> 
Male, 15, Asian, 172cm, 49kg. I wear glasses at 2.75 dioptry, one eye is weaker than the other one not sure which one but im guessing its the right eye weaker.
* I have been having Photopsia symptoms. During the day i see floaters on my right eye. (having this symptom for atleast half a year, thought this was normal since everyone saw floaters)
* I used to see floaters on my left eye but i feel like that was 1 or 2 years ago, since then nothing wrong with it. Now for the past month or week i have been seeing flashing lights on my left eye when trying to sleep.
* And this week i felt some eye pain, like 15 second sting in my eyes once or twice per 3 days.
I have done some of my research and it could be retinal detachment which could lead to blindness but i doubt it because im at very young age and never had retinal detachment before. Or it could be migraine aura which im asking if it is possible. And the third option is that it could be just the liquid pulling on the retina.
But im not really sure if im right about my research, i don't speak english very well yet so i am here to ask.
edit: that question sounds should i be worried? is retinal tear or detach common in young people? my eyesight used to be perfectly normal until i started to do a lots of job on computer screens. should i be worried about my vision? could i go blind at this young age?</t>
        </is>
      </c>
      <c r="D936" t="n">
        <v>1</v>
      </c>
      <c r="E936" t="n">
        <v>9</v>
      </c>
      <c r="F936">
        <f>HYPERLINK("https://www.reddit.com/r/eyetriage/comments/dqsd55/photopsia_at_young_age/")</f>
        <v/>
      </c>
      <c r="G936" t="inlineStr">
        <is>
          <t>2019-11-02 16:30:37</t>
        </is>
      </c>
      <c r="H936" t="inlineStr"/>
    </row>
    <row r="937">
      <c r="A937" t="inlineStr">
        <is>
          <t>dqtewx</t>
        </is>
      </c>
      <c r="B937" t="inlineStr">
        <is>
          <t>Post-LASIK vision still terrible...</t>
        </is>
      </c>
      <c r="C937" t="inlineStr">
        <is>
          <t>So I posted in an adjacent sub about a year ago and got a few responses, though nothing that really solved my current predicament.  My eyesight unfortunately hasn't improved.  I figured I would post some more info and see if anyone has any additional insight.
Basically, my symptoms are akin to a really bad astigmatism: lonnnng light rays, vertical ghosting of images/text, glowing objects, etc.  I've been told it's probably an "irregular astigmatism", however I'm really not getting concrete answers as to what the cause is or how to fix it; I'm told topography is inconclusive.  I've seen multiple docs including cornea specialists, retina specialists, and even a neuro-ophthalmologist.
Some highlights below:
\- 32/M; had LASIK done late 2016.
\- Symptoms are persistent (as in they don't fluctuate) and are present 24/7.
\- Definitely not dry eye (we've ruled this out).
\- Tried RGP lenses and even a specialized PROSE device lens; in all instances my vision seemed to get worse.
\- Visual aberrations seem to change a bit depending on how wide I open my eyes, though still always present (IDK if that means anything).
\- Pinhole test seems to block aberrations but only if it's PRECISELY straight on; a degree off here or there would result in return of symptoms. Coz of this, I use Briminodine every now and again to shrink my iris but it's effects are middling at best.
Do these symptoms sound familiar to anyone? Anyone know what part of the eye could be causing this? Trying to turn over every stone here. I'm sort of at the end of my rope... my quality of life has been steadily deteriorating and I'm not really sure where else to turn. If you need more info, feel free to DM me to discuss.  Thanks.</t>
        </is>
      </c>
      <c r="D937" t="n">
        <v>3</v>
      </c>
      <c r="E937" t="n">
        <v>12</v>
      </c>
      <c r="F937">
        <f>HYPERLINK("https://www.reddit.com/r/eyetriage/comments/dqtewx/postlasik_vision_still_terrible/")</f>
        <v/>
      </c>
      <c r="G937" t="inlineStr">
        <is>
          <t>2019-11-02 17:54:11</t>
        </is>
      </c>
      <c r="H937" t="inlineStr"/>
    </row>
    <row r="938">
      <c r="A938" t="inlineStr">
        <is>
          <t>dr66ke</t>
        </is>
      </c>
      <c r="B938" t="inlineStr">
        <is>
          <t>Eye damage from looking directly at barcode scanner beam</t>
        </is>
      </c>
      <c r="C938" t="inlineStr">
        <is>
          <t>If I accidentally looked directly at the light beam from a barcode scanner (5-10 seconds), could I possibly have caused retinal damage to myself?</t>
        </is>
      </c>
      <c r="D938" t="n">
        <v>2</v>
      </c>
      <c r="E938" t="n">
        <v>6</v>
      </c>
      <c r="F938">
        <f>HYPERLINK("https://www.reddit.com/r/eyetriage/comments/dr66ke/eye_damage_from_looking_directly_at_barcode/")</f>
        <v/>
      </c>
      <c r="G938" t="inlineStr">
        <is>
          <t>2019-11-03 12:27:13</t>
        </is>
      </c>
      <c r="H938" t="inlineStr"/>
    </row>
    <row r="939">
      <c r="A939" t="inlineStr">
        <is>
          <t>dr98lf</t>
        </is>
      </c>
      <c r="B939" t="inlineStr">
        <is>
          <t>Left eye keeps crusting up causing blurry vision, particularly bad right after waking up</t>
        </is>
      </c>
      <c r="C939" t="inlineStr">
        <is>
          <t>I went to the walk in clinic and they gave me some eye drops that seemed to work a little bit, but I can't get this constant build-up to stop. My right eye has no problems, my left eye keeps getting excessive build-up, and it's been 2 months and it's still here. 
Some days it's better than others. 
Any ideas?</t>
        </is>
      </c>
      <c r="D939" t="n">
        <v>1</v>
      </c>
      <c r="E939" t="n">
        <v>1</v>
      </c>
      <c r="F939">
        <f>HYPERLINK("https://www.reddit.com/r/eyetriage/comments/dr98lf/left_eye_keeps_crusting_up_causing_blurry_vision/")</f>
        <v/>
      </c>
      <c r="G939" t="inlineStr">
        <is>
          <t>2019-11-03 16:09:34</t>
        </is>
      </c>
      <c r="H939" t="inlineStr"/>
    </row>
    <row r="940">
      <c r="A940" t="inlineStr">
        <is>
          <t>drbsy4</t>
        </is>
      </c>
      <c r="B940" t="inlineStr">
        <is>
          <t>I spent 9hours looking at my phone screen last week.</t>
        </is>
      </c>
      <c r="C940" t="inlineStr">
        <is>
          <t>My eyes are hurting me and they’ve been for a few weeks, what should I stop doing to cut out the pain and eye burn. I’m getting sensitive to light because I’m looking at screens so much? How long do you recommend me looking at a screen for a day and even a month to see if it gets better or worsens. It’s mild not that bad. And if it worsens I’ll have to get it checked out.what do you recommend or advise me to do to stop the pain. I’m a male,15.</t>
        </is>
      </c>
      <c r="D940" t="n">
        <v>1</v>
      </c>
      <c r="E940" t="n">
        <v>4</v>
      </c>
      <c r="F940">
        <f>HYPERLINK("https://www.reddit.com/r/eyetriage/comments/drbsy4/i_spent_9hours_looking_at_my_phone_screen_last/")</f>
        <v/>
      </c>
      <c r="G940" t="inlineStr">
        <is>
          <t>2019-11-03 19:27:28</t>
        </is>
      </c>
      <c r="H940" t="inlineStr"/>
    </row>
    <row r="941">
      <c r="A941" t="inlineStr">
        <is>
          <t>drcory</t>
        </is>
      </c>
      <c r="B941" t="inlineStr">
        <is>
          <t>inconsistent vision in right eye?</t>
        </is>
      </c>
      <c r="C941" t="inlineStr">
        <is>
          <t>i'm going to make an appointment to see a doctor come monday morning.
over the past few days my right eye has had an odd sensation along with vision issues. i don't particularly have any vision loss but my right eyes vision almost feels like it doesnt run concurrent with my left. the sensation almost feels like pressure or dryness. sometimes it's worse sometimes i barely notice it. other symptoms i've noticed are pressure in my ear, facial numbness, and occasionally seeing flashes
i went to the e.r. when this first started and was checked for glaucoma but came back at normal levels</t>
        </is>
      </c>
      <c r="D941" t="n">
        <v>1</v>
      </c>
      <c r="E941" t="n">
        <v>2</v>
      </c>
      <c r="F941">
        <f>HYPERLINK("https://www.reddit.com/r/eyetriage/comments/drcory/inconsistent_vision_in_right_eye/")</f>
        <v/>
      </c>
      <c r="G941" t="inlineStr">
        <is>
          <t>2019-11-03 20:42:41</t>
        </is>
      </c>
      <c r="H941" t="inlineStr"/>
    </row>
    <row r="942">
      <c r="A942" t="inlineStr">
        <is>
          <t>drgo9g</t>
        </is>
      </c>
      <c r="B942" t="inlineStr">
        <is>
          <t>Acanthamoeba keratitis stories?</t>
        </is>
      </c>
      <c r="C942" t="inlineStr">
        <is>
          <t>Hi all,
I don't know if this is the right subreddit but I am in huge need.
I have been officially diagnosed with bilateral AK a couple of weeks ago, albeit I have been on medication to treat if for over two months. I have had several relapses in one of my eyes, while the other is basically blind, stable, not getting worse but not improving either.
I would like to hear some stories from people who have gone through the same to cheer myself up and feel less alone. 
Thanks to everyone who will answer.</t>
        </is>
      </c>
      <c r="D942" t="n">
        <v>5</v>
      </c>
      <c r="E942" t="n">
        <v>6</v>
      </c>
      <c r="F942">
        <f>HYPERLINK("https://www.reddit.com/r/eyetriage/comments/drgo9g/acanthamoeba_keratitis_stories/")</f>
        <v/>
      </c>
      <c r="G942" t="inlineStr">
        <is>
          <t>2019-11-04 04:04:17</t>
        </is>
      </c>
      <c r="H942" t="inlineStr"/>
    </row>
    <row r="943">
      <c r="A943" t="inlineStr">
        <is>
          <t>drntpy</t>
        </is>
      </c>
      <c r="B943" t="inlineStr">
        <is>
          <t>Photophobia - Blind eye non painful.</t>
        </is>
      </c>
      <c r="C943" t="inlineStr">
        <is>
          <t>Hi, I have just after some possible relief. 
27yo male, Penetrating eye injury (L) retinal detachment / severed 11~years ago. 
Recently started getting photophobia have seen two ophthalmologists - used prednerfin forte in my L eye for a few months and have now swapped to flourometholone 2x each eye daily. 
They can not figure out the ‘why?’
OCT scan could not view my left eye due to the silicone oil. They will not operate just to have a ‘look’ :(
The next step will be retrobulbar alcohol injection L eye followed by a possible evisceration.
My question is basically does anyone know if the injection will be beneficial for the photophobia as my L eye is not painful the photophobia is annoying and affecting both eyes.
Or any other tips to help with sudden onset of photophobia? Vision is R eye is 100%.
Ty. Just at the end of my mental strength at the moment.</t>
        </is>
      </c>
      <c r="D943" t="n">
        <v>3</v>
      </c>
      <c r="E943" t="n">
        <v>10</v>
      </c>
      <c r="F943">
        <f>HYPERLINK("https://www.reddit.com/r/eyetriage/comments/drntpy/photophobia_blind_eye_non_painful/")</f>
        <v/>
      </c>
      <c r="G943" t="inlineStr">
        <is>
          <t>2019-11-04 12:42:34</t>
        </is>
      </c>
      <c r="H943" t="inlineStr"/>
    </row>
    <row r="944">
      <c r="A944" t="inlineStr">
        <is>
          <t>ds4w32</t>
        </is>
      </c>
      <c r="B944" t="inlineStr">
        <is>
          <t>Meibomian glands and Accutane</t>
        </is>
      </c>
      <c r="C944" t="inlineStr">
        <is>
          <t>So I'm on a course of accutane for quite severe acne but I've struggled with meibomian gland issues and dry eyes in the past. Does anyone have any advice or experience in maintaining healthy meibomian gland function? Thanks.</t>
        </is>
      </c>
      <c r="D944" t="n">
        <v>2</v>
      </c>
      <c r="E944" t="n">
        <v>4</v>
      </c>
      <c r="F944">
        <f>HYPERLINK("https://www.reddit.com/r/eyetriage/comments/ds4w32/meibomian_glands_and_accutane/")</f>
        <v/>
      </c>
      <c r="G944" t="inlineStr">
        <is>
          <t>2019-11-05 12:18:20</t>
        </is>
      </c>
      <c r="H944" t="inlineStr"/>
    </row>
    <row r="945">
      <c r="A945" t="inlineStr">
        <is>
          <t>ds6gua</t>
        </is>
      </c>
      <c r="B945" t="inlineStr">
        <is>
          <t>What to expect after 2nd strabismus surgery?</t>
        </is>
      </c>
      <c r="C945" t="inlineStr">
        <is>
          <t>I had surgery at 13mos and now in my 30s I'm having a 2nd surgery for strabismus in one eye. What should I expect? Will I be OK if I've got someone to check on me or should I plan to have someone at home with me? From what I've read the pain is moderate and a little worse for someone like me having a 2nd surgery. The surgeon said he wouldn't know if he could correct one eye or would need to do both until I was under, is that normal? Any tips or advice is welcome and appreciated.</t>
        </is>
      </c>
      <c r="D945" t="n">
        <v>1</v>
      </c>
      <c r="E945" t="n">
        <v>0</v>
      </c>
      <c r="F945">
        <f>HYPERLINK("https://www.reddit.com/r/eyetriage/comments/ds6gua/what_to_expect_after_2nd_strabismus_surgery/")</f>
        <v/>
      </c>
      <c r="G945" t="inlineStr">
        <is>
          <t>2019-11-05 14:11:21</t>
        </is>
      </c>
      <c r="H945" t="inlineStr"/>
    </row>
    <row r="946">
      <c r="A946" t="inlineStr">
        <is>
          <t>ds9x2k</t>
        </is>
      </c>
      <c r="B946" t="inlineStr">
        <is>
          <t>Change in eyesight after anesthetic event, normal or cause for concern?</t>
        </is>
      </c>
      <c r="C946" t="inlineStr">
        <is>
          <t>I underwent a major abdominal surgery on Halloween and was under anesthesia for 4 and a half hours. Upon waking up, I noticed my eye sight has drastically changed. Looking around, it feels as though I am looking through fish bowls full of water. They stained my eye and did not see any signs of ulceration or scrape, but did not give me an answer as to how long this May last. It is significant and I feel as though I couldn’t drive with it. The eye sight change also makes me feel nauseous. Any advice is greatly appreciated.</t>
        </is>
      </c>
      <c r="D946" t="n">
        <v>1</v>
      </c>
      <c r="E946" t="n">
        <v>4</v>
      </c>
      <c r="F946">
        <f>HYPERLINK("https://www.reddit.com/r/eyetriage/comments/ds9x2k/change_in_eyesight_after_anesthetic_event_normal/")</f>
        <v/>
      </c>
      <c r="G946" t="inlineStr">
        <is>
          <t>2019-11-05 18:39:41</t>
        </is>
      </c>
      <c r="H946" t="inlineStr"/>
    </row>
    <row r="947">
      <c r="A947" t="inlineStr">
        <is>
          <t>dsc55p</t>
        </is>
      </c>
      <c r="B947" t="inlineStr">
        <is>
          <t>Odd dizziness issue</t>
        </is>
      </c>
      <c r="C947" t="inlineStr">
        <is>
          <t>A couple of weeks ago I started having this weird feeling of discomfort and dizziness with my sight, along with headaches. I had an eye exam last week and all I found out was that my prescription went up a little.
I've been wearing glasses with the new prescription since then, and for some reason this only became worse. I have less headaches but this dizzy feeling is still there. I don't know how to describe it accurately but it happens when I move my head and when I try to focus on things in distance, I get this light headed uncomfortable feeling that makes me nauseous. I was told this could be due to still adapting to the new prescription but it was a really small change and I had it with old contacts and glasses as well, it only got more intense. 
I know this sounds a bit messy but I'm just sort of confused. What can it be a sign of, and if it's just adjusting how long does it take to adjust? This has been going on for weeks now and is really killing me. I'm 20, female and myopic for reference.</t>
        </is>
      </c>
      <c r="D947" t="n">
        <v>1</v>
      </c>
      <c r="E947" t="n">
        <v>0</v>
      </c>
      <c r="F947">
        <f>HYPERLINK("https://www.reddit.com/r/eyetriage/comments/dsc55p/odd_dizziness_issue/")</f>
        <v/>
      </c>
      <c r="G947" t="inlineStr">
        <is>
          <t>2019-11-05 22:04:11</t>
        </is>
      </c>
      <c r="H947" t="inlineStr"/>
    </row>
    <row r="948">
      <c r="A948" t="inlineStr">
        <is>
          <t>dsiaz5</t>
        </is>
      </c>
      <c r="B948" t="inlineStr">
        <is>
          <t>Anyone else with PVD have their vision change?</t>
        </is>
      </c>
      <c r="C948" t="inlineStr">
        <is>
          <t>I got my floaters 2 months ago from a PVD all of a sudden, and they suck but I tell myself that I've gotten used to them by now. What I haven't gotten used to however is the overall change in my vision. It seems like everything has a weird haze or aura around it, and maybe like I have tunnel vision and can only focus on one object at a time. When I look at the ground or something it looks pretty off sometimes,like the lighting is different in each inch of the ground. It almost doesn't look solid, it's hard to explain. What I noticed though is when I cover one eye and look with the other, things seem to look a lot better. I went to an Opthamologist and she told me that its simply because my right eye is weaker than my left, and my glasses don't correct it enough, so there's a blurrier image and a clearer image combining and that's what's giving me the weird haze affect. I'm gonna go back to get a new prescription done, and I hope that new glasses will mostly correct my vision, even if I still have floaters. I've been feeling dissociation, depression, and anxiety since this happened, really because whenever I look around when I'm outside, everything looks fake, like I'm looking at a screen or in a dream. Anyone else deal with this? Is it just my prescription or could it be from PVD?</t>
        </is>
      </c>
      <c r="D948" t="n">
        <v>1</v>
      </c>
      <c r="E948" t="n">
        <v>7</v>
      </c>
      <c r="F948">
        <f>HYPERLINK("https://www.reddit.com/r/eyetriage/comments/dsiaz5/anyone_else_with_pvd_have_their_vision_change/")</f>
        <v/>
      </c>
      <c r="G948" t="inlineStr">
        <is>
          <t>2019-11-06 08:01:54</t>
        </is>
      </c>
      <c r="H948" t="inlineStr"/>
    </row>
    <row r="949">
      <c r="A949" t="inlineStr">
        <is>
          <t>dspuvc</t>
        </is>
      </c>
      <c r="B949" t="inlineStr">
        <is>
          <t>Retinal Detachments / Scleral Buckle</t>
        </is>
      </c>
      <c r="C949" t="inlineStr">
        <is>
          <t>Anyone have experience with either or both?</t>
        </is>
      </c>
      <c r="D949" t="n">
        <v>1</v>
      </c>
      <c r="E949" t="n">
        <v>17</v>
      </c>
      <c r="F949">
        <f>HYPERLINK("https://www.reddit.com/r/eyetriage/comments/dspuvc/retinal_detachments_scleral_buckle/")</f>
        <v/>
      </c>
      <c r="G949" t="inlineStr">
        <is>
          <t>2019-11-06 17:04:57</t>
        </is>
      </c>
      <c r="H949" t="inlineStr"/>
    </row>
    <row r="950">
      <c r="A950" t="inlineStr">
        <is>
          <t>dt20gd</t>
        </is>
      </c>
      <c r="B950" t="inlineStr">
        <is>
          <t>Unexplained eyes issues for a 26 year old Indian soldier suffering from Coeliac</t>
        </is>
      </c>
      <c r="C950" t="inlineStr">
        <is>
          <t>Hello everyone.
I've been suffering from Coeliac from a year now and have been experiencing eye flashes in my left eye for about two months. They aren't regular and tend to come at frequent intervals only when I watch TV or a computer screen. I rushed to an ophthalmologist the first instant Inhad one, he checked my retina and said I was alright.
I started getting black floaters in the same eye day before and they just stay when I look in the horizon. The eye feels tired and shit. I went to my eye doctor and he again says there's nothing to worry.
Now he's a professional and everything and he definitely knows better but with the pain, the floater and the flashes--everything in the same eye, I feel there's something off and I cant help but feel that maybe my disease is a connector to my eye issues. I've only had a retina scan done till now, if it matters.
I'd like your opinions on these. Am I missing something here...I mean should I change my doctor (the tests would come just the same) or is there something which needs to be tested or some link everyone is overlooking.
Thankyou all for reading this.
Regards.</t>
        </is>
      </c>
      <c r="D950" t="n">
        <v>1</v>
      </c>
      <c r="E950" t="n">
        <v>3</v>
      </c>
      <c r="F950">
        <f>HYPERLINK("https://www.reddit.com/r/eyetriage/comments/dt20gd/unexplained_eyes_issues_for_a_26_year_old_indian/")</f>
        <v/>
      </c>
      <c r="G950" t="inlineStr">
        <is>
          <t>2019-11-07 10:38:04</t>
        </is>
      </c>
      <c r="H950" t="inlineStr"/>
    </row>
    <row r="951">
      <c r="A951" t="inlineStr">
        <is>
          <t>dt4l90</t>
        </is>
      </c>
      <c r="B951" t="inlineStr">
        <is>
          <t>Visual Field Damage</t>
        </is>
      </c>
      <c r="C951" t="inlineStr">
        <is>
          <t>I took a visual field test, and the results were not that great. Then, one doctor said what caused it was due to the brain bleed that I had when I was little. Does anyone know some other medical terms to describe visual field damage? I want to try to do so more research. My doctor only gave me a brief summary of what the results meant.</t>
        </is>
      </c>
      <c r="D951" t="n">
        <v>1</v>
      </c>
      <c r="E951" t="n">
        <v>3</v>
      </c>
      <c r="F951">
        <f>HYPERLINK("https://www.reddit.com/r/eyetriage/comments/dt4l90/visual_field_damage/")</f>
        <v/>
      </c>
      <c r="G951" t="inlineStr">
        <is>
          <t>2019-11-07 13:25:29</t>
        </is>
      </c>
      <c r="H951" t="inlineStr"/>
    </row>
    <row r="952">
      <c r="A952" t="inlineStr">
        <is>
          <t>dtqh79</t>
        </is>
      </c>
      <c r="B952" t="inlineStr">
        <is>
          <t>Can a cold make my vision blurry?</t>
        </is>
      </c>
      <c r="C952" t="inlineStr">
        <is>
          <t xml:space="preserve"> For the past few weeks I've been having a cold. Nothing out of the ordinary.  My nose is running and I have a cough. I always get cold in november/december. However this time its different. My left ear has been feeling clogged, like there is something inside of it. It doesn't hurt and I can hear fine, but its pretty unsettling. I've made a doctor's appointment and I'll get it checked out on Tuesday.
But I also noticed that my left eye has been blurry. It's not anything severe, I see fine, but I noticed when I close my right eye and look only through my left that there is some blur. Sometimes it can also...tingle..I guess? I can't explain the sensation but I'm not feeling any pain.  Could this be a side effect of my cold? I've never had this before.
Maybe it's nothing but I would like to hear your opinion. If it doesn't go away on its own till Friday, I'll get it checked but I'm interested in your thoughts.
Or maybe I'm just imagining it?
All I know is that It can't be coincidence, both my left ear and eye are feeling weird. There has to be a cause.</t>
        </is>
      </c>
      <c r="D952" t="n">
        <v>1</v>
      </c>
      <c r="E952" t="n">
        <v>5</v>
      </c>
      <c r="F952">
        <f>HYPERLINK("https://www.reddit.com/r/eyetriage/comments/dtqh79/can_a_cold_make_my_vision_blurry/")</f>
        <v/>
      </c>
      <c r="G952" t="inlineStr">
        <is>
          <t>2019-11-08 19:15:56</t>
        </is>
      </c>
      <c r="H952" t="inlineStr"/>
    </row>
    <row r="953">
      <c r="A953" t="inlineStr">
        <is>
          <t>dtsh6p</t>
        </is>
      </c>
      <c r="B953" t="inlineStr">
        <is>
          <t>I rested my arm on my closed eyeballs and my vision has been blurry.</t>
        </is>
      </c>
      <c r="C953" t="inlineStr">
        <is>
          <t>I rested my arm on my head over my left eyeball for 5-10 as I had a headache so I could rest in dark without having the light off. 
It’s been 15 minutes and that eye is still blurry. It has increased ghosting(it’s night time and I usually see but it’s more pronounced), same with starbursts but a little less, and a bit of blurred vision. I can see but it’s not very clear.</t>
        </is>
      </c>
      <c r="D953" t="n">
        <v>1</v>
      </c>
      <c r="E953" t="n">
        <v>1</v>
      </c>
      <c r="F953">
        <f>HYPERLINK("https://www.reddit.com/r/eyetriage/comments/dtsh6p/i_rested_my_arm_on_my_closed_eyeballs_and_my/")</f>
        <v/>
      </c>
      <c r="G953" t="inlineStr">
        <is>
          <t>2019-11-08 22:42:06</t>
        </is>
      </c>
      <c r="H953" t="inlineStr"/>
    </row>
    <row r="954">
      <c r="A954" t="inlineStr">
        <is>
          <t>dtunol</t>
        </is>
      </c>
      <c r="B954" t="inlineStr">
        <is>
          <t>Contact lense left in eyes post Lasik</t>
        </is>
      </c>
      <c r="C954" t="inlineStr">
        <is>
          <t>I got Lasik surgery just under three weeks ago. Recovery was going well but slowly and I was still seeing a bit blurry and my eyes were quite dry. Upon looking closely at my eye in a mirror I noticed a circle around the eye on the white part of the eye. It made me think very strongly that I still had lenses on (which would have been put during the surgery itself as of course I had removed them before the surgery).
Called the surgeon and got the ok to try and remove them after cleaning my hands, and turned out I did indeed have lenses in my eyes for almost three weeks.
Will ask my surgeon on Monday what I should do about drops (start again from scratch or continue with the planned schedule), but what I wanted to ask here is: did having the lens in my eye for 2-3 weeks protect my eye compared to not having one, or could it potentially have harmed my eye / recovery ?
Thanks!</t>
        </is>
      </c>
      <c r="D954" t="n">
        <v>1</v>
      </c>
      <c r="E954" t="n">
        <v>1</v>
      </c>
      <c r="F954">
        <f>HYPERLINK("https://www.reddit.com/r/eyetriage/comments/dtunol/contact_lense_left_in_eyes_post_lasik/")</f>
        <v/>
      </c>
      <c r="G954" t="inlineStr">
        <is>
          <t>2019-11-09 03:09:42</t>
        </is>
      </c>
      <c r="H954" t="inlineStr"/>
    </row>
    <row r="955">
      <c r="A955" t="inlineStr">
        <is>
          <t>dtw9rg</t>
        </is>
      </c>
      <c r="B955" t="inlineStr">
        <is>
          <t>Can an urgent care do anything for a possible stye eye or should I wait and see my eye doctor next week?</t>
        </is>
      </c>
      <c r="C955" t="inlineStr">
        <is>
          <t>So I’ve been having this weird flaking in the outer corner of my left eye for like a month and now today my eyelid is a bit puffy and feels a bit weird and tight like I have a stye or something but the inside of my eye is fine no redness or anything. If I went to an urgent care for this would the be able to give me soemthing or should I wait to see my eye doctor?</t>
        </is>
      </c>
      <c r="D955" t="n">
        <v>1</v>
      </c>
      <c r="E955" t="n">
        <v>2</v>
      </c>
      <c r="F955">
        <f>HYPERLINK("https://www.reddit.com/r/eyetriage/comments/dtw9rg/can_an_urgent_care_do_anything_for_a_possible/")</f>
        <v/>
      </c>
      <c r="G955" t="inlineStr">
        <is>
          <t>2019-11-09 06:02:03</t>
        </is>
      </c>
      <c r="H955" t="inlineStr"/>
    </row>
    <row r="956">
      <c r="A956" t="inlineStr">
        <is>
          <t>dtx1c2</t>
        </is>
      </c>
      <c r="B956" t="inlineStr">
        <is>
          <t>Any problem taking prednisone with a PVD and vitreous hemorrhage?</t>
        </is>
      </c>
      <c r="C956" t="inlineStr">
        <is>
          <t>Sleeping upright due to a vitreous hemorrhage has aggravated my cervical radiculopathy.  He prescribed a medrol dose pack and muscle relaxant.
I forgot to tell the doctor at urgent care about the vitreous hemorrhage.  It's been two months since the last hemorrhage.
Any eye docs here?  Can I take the meds?</t>
        </is>
      </c>
      <c r="D956" t="n">
        <v>1</v>
      </c>
      <c r="E956" t="n">
        <v>4</v>
      </c>
      <c r="F956">
        <f>HYPERLINK("https://www.reddit.com/r/eyetriage/comments/dtx1c2/any_problem_taking_prednisone_with_a_pvd_and/")</f>
        <v/>
      </c>
      <c r="G956" t="inlineStr">
        <is>
          <t>2019-11-09 07:05:09</t>
        </is>
      </c>
      <c r="H956" t="inlineStr"/>
    </row>
    <row r="957">
      <c r="A957" t="inlineStr">
        <is>
          <t>dtz5ml</t>
        </is>
      </c>
      <c r="B957" t="inlineStr">
        <is>
          <t>Worry about?</t>
        </is>
      </c>
      <c r="C957" t="inlineStr">
        <is>
          <t>So I am very nearsighted at age 41 and had 2 PVDs at the same time 2 years ago. No retinal issues. But I’m a -11 contact in both eyes. Had all the flashes floaters and now have Weiss rings. Fun times! Anyway, yesterday in my daughters 1st grade class one of the kids from below me raised his hand fast as I was bent over him and it hit me in the eye. I have a tiny bruise where my dark circles are and it’s a TAD sore but there are no other issues. He didn’t poke me in the eye and I’m not sure he hit my actual eye or around it because there was a lot of mayhem going on. My eye doesn’t hurt it’s more sore around the inside bridge of my nose and right under eye. Is this something I need to really worry about or worry about a retinal detachment? Thank you so much for any advice!!!</t>
        </is>
      </c>
      <c r="D957" t="n">
        <v>1</v>
      </c>
      <c r="E957" t="n">
        <v>2</v>
      </c>
      <c r="F957">
        <f>HYPERLINK("https://www.reddit.com/r/eyetriage/comments/dtz5ml/worry_about/")</f>
        <v/>
      </c>
      <c r="G957" t="inlineStr">
        <is>
          <t>2019-11-09 09:47:27</t>
        </is>
      </c>
      <c r="H957" t="inlineStr"/>
    </row>
    <row r="958">
      <c r="A958" t="inlineStr">
        <is>
          <t>dugjv0</t>
        </is>
      </c>
      <c r="B958" t="inlineStr">
        <is>
          <t>Can a powerful flashlight (up to 420 lumens) cause eye damage?</t>
        </is>
      </c>
      <c r="C958" t="inlineStr">
        <is>
          <t>I was at my grandmothers house today and she’s almost blind. She can only see stuff when she shines a powerful LED flashlight on the object she’s looking at. 
I was at her house with my kid and before I knew it she was shining the light directly in my face and my daughters face. I tried being polite and I was looking at her trying to have a conversation for about 30 seconds before I had to tell her to turn it off. 
It probably took about 30-45 minutes before the light that was burned into my vision finally went away. Is it possible this type of LED flashlight could cause any serious/permanent eye damage for me or my daughter?
She has two lights, both LEDLENSER, but I’m not sure if she was using the [P5R](https://i.imgur.com/bDAK1Se.jpg) or [P5R.2](https://i.imgur.com/Y4pfFbq.jpg). 
I’ve attached two pictures above and I’m unclear if their maximum lumen output is [270 lumens](https://www.ledlenser.com/au/products/flashlights/p-series/p5r2/) or [420 lumens](https://www.ledlenserusa.com/collections/flashlights/products/p5r). 
Let’s just go with the worst case scenario that we were looking directly at a 420 lumen LED flashlight for 30 seconds...can something like that cause any serious/permanent eye damage?</t>
        </is>
      </c>
      <c r="D958" t="n">
        <v>1</v>
      </c>
      <c r="E958" t="n">
        <v>23</v>
      </c>
      <c r="F958">
        <f>HYPERLINK("https://www.reddit.com/r/eyetriage/comments/dugjv0/can_a_powerful_flashlight_up_to_420_lumens_cause/")</f>
        <v/>
      </c>
      <c r="G958" t="inlineStr">
        <is>
          <t>2019-11-10 12:05:09</t>
        </is>
      </c>
      <c r="H958" t="inlineStr"/>
    </row>
    <row r="959">
      <c r="A959" t="inlineStr">
        <is>
          <t>duhr57</t>
        </is>
      </c>
      <c r="B959" t="inlineStr">
        <is>
          <t>Double vision when squinting and other visual anomalies</t>
        </is>
      </c>
      <c r="C959" t="inlineStr">
        <is>
          <t>Hi everyone, hope I'm in the right place!
  About a year ago I started noticing some visual changes such as light sensitivity, ghosting, flashes, floaters, slight visual snow and double vision which is worse when I squint or my eyes relax. At night the car lights and street lamps also look very flared with it extending far down. I also notice this weird thing where my eyes are trying to adjust to see far and near objects but my brain has a hard time processing all this information. It has gotten progressively worse but I did go to a emergency ophthalmologist and she thought everything looked fine except with a possibility of slight eye misalignment. She told me to book an appointment with a regular ophthalmogist. And also with herself to see if prisms would help with the double vision.  The regular ophthalmogist said everything looked good and said she didn't think I would need prisms. But to still keep my appointment with the ER ophthalmologist. I noticed all these symptoms when I had a severe panic attack and derealization. I got so scared by this that I started to become aware of any visual changes since then because of the fear of panic and derealization and what this could all mean.  I do have pretty bad astigmatism and my prescription glasses are about 1 year old when I went the first time around for these symptoms. My question is if these are just because of the astigmatism,  possible misalignment or if I'm just too sensitized and notice all these visual changes because my mind has become aware of it and doesn't block out the imput.</t>
        </is>
      </c>
      <c r="D959" t="n">
        <v>1</v>
      </c>
      <c r="E959" t="n">
        <v>8</v>
      </c>
      <c r="F959">
        <f>HYPERLINK("https://www.reddit.com/r/eyetriage/comments/duhr57/double_vision_when_squinting_and_other_visual/")</f>
        <v/>
      </c>
      <c r="G959" t="inlineStr">
        <is>
          <t>2019-11-10 13:29:16</t>
        </is>
      </c>
      <c r="H959" t="inlineStr"/>
    </row>
    <row r="960">
      <c r="A960" t="inlineStr">
        <is>
          <t>dukr0s</t>
        </is>
      </c>
      <c r="B960" t="inlineStr">
        <is>
          <t>Oval titanium eyeglass frames ?</t>
        </is>
      </c>
      <c r="C960" t="inlineStr">
        <is>
          <t>anyone know a good pair of oval titanium eyeglass frames.  I am going to buy new pair of eye glasse but cant find somting likt this Burberry BE3101 fram. it also has to be hole frame as i have different prescription on my eyes.</t>
        </is>
      </c>
      <c r="D960" t="n">
        <v>1</v>
      </c>
      <c r="E960" t="n">
        <v>0</v>
      </c>
      <c r="F960">
        <f>HYPERLINK("https://www.reddit.com/r/eyetriage/comments/dukr0s/oval_titanium_eyeglass_frames/")</f>
        <v/>
      </c>
      <c r="G960" t="inlineStr">
        <is>
          <t>2019-11-10 17:13:31</t>
        </is>
      </c>
      <c r="H960" t="inlineStr"/>
    </row>
    <row r="961">
      <c r="A961" t="inlineStr">
        <is>
          <t>dumkdj</t>
        </is>
      </c>
      <c r="B961" t="inlineStr">
        <is>
          <t>Occasional blurry vision</t>
        </is>
      </c>
      <c r="C961" t="inlineStr">
        <is>
          <t>For the past year I've been occasionally getting blurry spots in my vision. Usually it lasts an hour or so and then goes away. Before it used to be far enough apart that I'd just chocked it up to eye strain but now it's getting more and more frequent. I've had it happen twice in the past week. I've taken corticosteroids a couple of times in the past few years which I guess can cause gluacoma? But I've never taken it for more then a month at a time. I also have Ulcerative Colitis.
Any ideas? Thanks.</t>
        </is>
      </c>
      <c r="D961" t="n">
        <v>1</v>
      </c>
      <c r="E961" t="n">
        <v>2</v>
      </c>
      <c r="F961">
        <f>HYPERLINK("https://www.reddit.com/r/eyetriage/comments/dumkdj/occasional_blurry_vision/")</f>
        <v/>
      </c>
      <c r="G961" t="inlineStr">
        <is>
          <t>2019-11-10 19:36:25</t>
        </is>
      </c>
      <c r="H961" t="inlineStr"/>
    </row>
    <row r="962">
      <c r="A962" t="inlineStr">
        <is>
          <t>dumudl</t>
        </is>
      </c>
      <c r="B962" t="inlineStr">
        <is>
          <t>Posner-Schlossman Syndrome (Glaucomatocyclitic Crisis)</t>
        </is>
      </c>
      <c r="C962" t="inlineStr">
        <is>
          <t>Hi Everyone, I was hoping to gain some guidance or advice for this condition I have 'Posner-Schlossman Syndrome'. 
I am a 23 year old male and was diagnosed with this condition around 6 years ago by my Ophthalmologist which I continue to see to this day. 
The condition only appears in my Right Eye. And whenever I start experiencing pain and blurriness I visit my Ophthalmologist which puts me on a treatment of Prednisolone Acetate Eye drops to reduce the inflammation, and I continue to use the eye drops until the cells that form in the eye causing the inflammation clear up.   
Originally I was not concerned with this condition as it would use to flare up once every two years, however the flares have become more frequent, increasing to once per year and now once every few months. 
My Ophthalmologist says there is no known cause of this issue, and there is no permanent treatment to prevent the cells from forming and causing the inflammation. I was also told that the increased frequency of these attacks will have long term consequences such as glaucoma and other possible eye diseases. And unfortunately we can only use treat the current condition with the eye drops and treat any other diseases that may occur in the future as they appear.  
I was hoping there may be an Ophthalmologist on this page that has treated a similar patient and had any successful treatments or any advice to reduce the frequency of attacks. 
Thanks for taking the time to read my post and for any advice given.</t>
        </is>
      </c>
      <c r="D962" t="n">
        <v>1</v>
      </c>
      <c r="E962" t="n">
        <v>4</v>
      </c>
      <c r="F962">
        <f>HYPERLINK("https://www.reddit.com/r/eyetriage/comments/dumudl/posnerschlossman_syndrome_glaucomatocyclitic/")</f>
        <v/>
      </c>
      <c r="G962" t="inlineStr">
        <is>
          <t>2019-11-10 19:59:53</t>
        </is>
      </c>
      <c r="H962" t="inlineStr"/>
    </row>
    <row r="963">
      <c r="A963" t="inlineStr">
        <is>
          <t>dusuue</t>
        </is>
      </c>
      <c r="B963" t="inlineStr">
        <is>
          <t>Green Moving Patterns in my Eyesight</t>
        </is>
      </c>
      <c r="C963" t="inlineStr">
        <is>
          <t>Curious if anyone knows what this is, never found anything while googling for it.
&amp;amp;#x200B;
Since a young age (10-12 yo) and still to this day (19 yo) I would see moving patterns in front of my eyes whenever I would be concentrated or when I got tired. They move like waves and it can be quiet a show, since it can go from clouds to spirals to whatever. Is this a normal thing and can someone relate? Already googled it multiple times and found nothing, also never went to the doctor with this, since I have had it since such a young age and diddnt think much of it. 
&amp;amp;#x200B;
Hopefully this is enough detail</t>
        </is>
      </c>
      <c r="D963" t="n">
        <v>1</v>
      </c>
      <c r="E963" t="n">
        <v>9</v>
      </c>
      <c r="F963">
        <f>HYPERLINK("https://www.reddit.com/r/eyetriage/comments/dusuue/green_moving_patterns_in_my_eyesight/")</f>
        <v/>
      </c>
      <c r="G963" t="inlineStr">
        <is>
          <t>2019-11-11 06:08:14</t>
        </is>
      </c>
      <c r="H963" t="inlineStr"/>
    </row>
    <row r="964">
      <c r="A964" t="inlineStr">
        <is>
          <t>duvq0s</t>
        </is>
      </c>
      <c r="B964" t="inlineStr">
        <is>
          <t>Retinal tear please help</t>
        </is>
      </c>
      <c r="C964" t="inlineStr">
        <is>
          <t>Hi after a routine check fundus examination last week the doctor spotted a small retinal tear (inferotermporal) in my eye which has complete atrophy round (which i believe means is fully healed).
I was wondering how can this have occurred. I did have an eye injury (poke in the eye 5years ago). But have had about 12 fundus eye tests mostly with opthamologists including this same one who spotted this tear last week.
Im not short sighted and believe I’m quite healthy. I dont have or have never had any symptoms like floaters or flashes. So do you know why all of a sudden considering how regularly I get my eyes checked this has been found. And if its usually serious or not? Could it have been caused by an eye poke years ago without showing symptoms till now or is that unlikely?
Any advice would be great as this is kind of stressing me out, thanks!</t>
        </is>
      </c>
      <c r="D964" t="n">
        <v>1</v>
      </c>
      <c r="E964" t="n">
        <v>7</v>
      </c>
      <c r="F964">
        <f>HYPERLINK("https://www.reddit.com/r/eyetriage/comments/duvq0s/retinal_tear_please_help/")</f>
        <v/>
      </c>
      <c r="G964" t="inlineStr">
        <is>
          <t>2019-11-11 09:34:26</t>
        </is>
      </c>
      <c r="H964" t="inlineStr"/>
    </row>
    <row r="965">
      <c r="A965" t="inlineStr">
        <is>
          <t>dvfj6z</t>
        </is>
      </c>
      <c r="B965" t="inlineStr">
        <is>
          <t>Pulsing tunnel vision in one eye</t>
        </is>
      </c>
      <c r="C965" t="inlineStr">
        <is>
          <t>So this weird thing has been happening occasionally for about a year. The vision in my left eye darkens/fades or sometimes it goes black around the edges like tunnel vision in this pulsing rhythm, so it goes back to normal then darkens, back to normal then darkens etc. A few times, it's been more like the eye goes blurry and kind of weak for a minute then back to normal. It's always over in a few minutes. 
It first happened when I was cycling and I thought maybe it was just because my heart was going fast or something, then I noticed it should happen when I'm focusing hard on something that's small /difficult to see, then more recently I've noticed it happen for apparently no reason at all.
I've also been getting pain on that side of the face recently. It's difficult to pinpoint whether it's coming from the sinus, the eye or my teeth (I'm booking a dentist appointment because my teeth need checking anyway).
I'm female, 33, family history of early onset glaucoma on my mother's side and my father has had a stroke in his eye. I'm mildly long sighted and wear glasses for reading/close up work of any kind.</t>
        </is>
      </c>
      <c r="D965" t="n">
        <v>1</v>
      </c>
      <c r="E965" t="n">
        <v>10</v>
      </c>
      <c r="F965">
        <f>HYPERLINK("https://www.reddit.com/r/eyetriage/comments/dvfj6z/pulsing_tunnel_vision_in_one_eye/")</f>
        <v/>
      </c>
      <c r="G965" t="inlineStr">
        <is>
          <t>2019-11-12 12:11:03</t>
        </is>
      </c>
      <c r="H965" t="inlineStr"/>
    </row>
    <row r="966">
      <c r="A966" t="inlineStr">
        <is>
          <t>dvs943</t>
        </is>
      </c>
      <c r="B966" t="inlineStr">
        <is>
          <t>Corneal Dystrophy?</t>
        </is>
      </c>
      <c r="C966" t="inlineStr">
        <is>
          <t>Hello. I went for a regular eye test today. The optician said my eyes look healthy but I need a slightly stronger prescription. However, the clinic also sends you a PDF report for you to look at and on it there's a mention that "Corneal Dystrophy is evident" in my left eye and in the right eye's cornea it just says check full records. Is this something I need to worry about or nah?</t>
        </is>
      </c>
      <c r="D966" t="n">
        <v>1</v>
      </c>
      <c r="E966" t="n">
        <v>1</v>
      </c>
      <c r="F966">
        <f>HYPERLINK("https://www.reddit.com/r/eyetriage/comments/dvs943/corneal_dystrophy/")</f>
        <v/>
      </c>
      <c r="G966" t="inlineStr">
        <is>
          <t>2019-11-13 06:07:37</t>
        </is>
      </c>
      <c r="H966" t="inlineStr"/>
    </row>
    <row r="967">
      <c r="A967" t="inlineStr">
        <is>
          <t>dvvvw9</t>
        </is>
      </c>
      <c r="B967" t="inlineStr">
        <is>
          <t>Vertigo and eye pressure but MRI/Balance Test are fine. Corrective lens helps slightly. At a loss.</t>
        </is>
      </c>
      <c r="C967" t="inlineStr">
        <is>
          <t>Hey all, 
My dad (55)  has been experiencing vertigo for the last 3 months, especially when turning his head or driving/using his peripheral vision. He has met with his GP, an optometrist and and ENT, and he had an MRI and balance test as well as several Epley maneuver treatments, but all tests and blood/eye pressures read normal. 
When he wakes up in the morning, he feels pressure and a bit of weepiness in his right eye, but the vertigo/lightheadedness is fine until about 5-10 minutes of moving around. 
Strangely enough, while his vision wouldn’t normally need correction, a slight corrective lens in his right eye allows him to turn his head without a sense of vertigo. Same if he closes his right eye. The optometrist was shocked and tested multiple times to make sure it wasn’t placebo. That said, he hasn’t been able to try the new glasses much yet because they add to the constant lightheadedness. 
He’s scheduling an appointment with an ophthalmologist next and potentially a neurologist, but it will be awhile before he gets in, and he’s pretty disheartening. I know Reddit can’t diagnose, but I was hoping to shout this into the void in case anyone has dealt with similar cases or has an idea of what we should investigate. TIA!</t>
        </is>
      </c>
      <c r="D967" t="n">
        <v>1</v>
      </c>
      <c r="E967" t="n">
        <v>0</v>
      </c>
      <c r="F967">
        <f>HYPERLINK("https://www.reddit.com/r/eyetriage/comments/dvvvw9/vertigo_and_eye_pressure_but_mribalance_test_are/")</f>
        <v/>
      </c>
      <c r="G967" t="inlineStr">
        <is>
          <t>2019-11-13 10:26:25</t>
        </is>
      </c>
      <c r="H967" t="inlineStr"/>
    </row>
    <row r="968">
      <c r="A968" t="inlineStr">
        <is>
          <t>dvwa9e</t>
        </is>
      </c>
      <c r="B968" t="inlineStr">
        <is>
          <t>Minor scratch on cornea after RGP wear</t>
        </is>
      </c>
      <c r="C968" t="inlineStr">
        <is>
          <t>I’m currently in school which requires RGP lenses. Obviously they aren’t comfortable though it’s bearable. A few days ago I had someone insert and remove them and they were in my eyes for a bout 30 minutes.  I ended up getting a superficial abrasion at around 11 o’clock on my eye. It didn’t hurt at the time and it was nothing to be worried about, though the day after it felt more sore like I had a bruise on my eye or a ‘headache’ in my eye whenever I looked around. I went to the lab to double check, put fluoresceine in my eye and there was no staining though they said my tear break up was only 2 seconds when normally it’s much more. Said the pain was probably just dry eye which isn’t normal for me. Is this a side effect from having an abrasion, or was it just the RGP wear?</t>
        </is>
      </c>
      <c r="D968" t="n">
        <v>1</v>
      </c>
      <c r="E968" t="n">
        <v>3</v>
      </c>
      <c r="F968">
        <f>HYPERLINK("https://www.reddit.com/r/eyetriage/comments/dvwa9e/minor_scratch_on_cornea_after_rgp_wear/")</f>
        <v/>
      </c>
      <c r="G968" t="inlineStr">
        <is>
          <t>2019-11-13 10:53:17</t>
        </is>
      </c>
      <c r="H968" t="inlineStr"/>
    </row>
    <row r="969">
      <c r="A969" t="inlineStr">
        <is>
          <t>dvzz89</t>
        </is>
      </c>
      <c r="B969" t="inlineStr">
        <is>
          <t>Cost for a mullerectomy?</t>
        </is>
      </c>
      <c r="C969" t="inlineStr">
        <is>
          <t>Hello,
I was quoted 10k for a mullerectomy. I thought this seemed quite extravagant. This is in Manhattan but I still thought it was a lot. What do you think it should cost? I was told insurance won’t cover it as it’s not affecting my vision.</t>
        </is>
      </c>
      <c r="D969" t="n">
        <v>1</v>
      </c>
      <c r="E969" t="n">
        <v>2</v>
      </c>
      <c r="F969">
        <f>HYPERLINK("https://www.reddit.com/r/eyetriage/comments/dvzz89/cost_for_a_mullerectomy/")</f>
        <v/>
      </c>
      <c r="G969" t="inlineStr">
        <is>
          <t>2019-11-13 14:57:12</t>
        </is>
      </c>
      <c r="H969" t="inlineStr"/>
    </row>
    <row r="970">
      <c r="A970" t="inlineStr">
        <is>
          <t>dw0lup</t>
        </is>
      </c>
      <c r="B970" t="inlineStr">
        <is>
          <t>Papilledema side effects</t>
        </is>
      </c>
      <c r="C970" t="inlineStr">
        <is>
          <t>I have been diagnosed of papilledema (swelling back of eye)
I get headaches, and nausea etc.
Now I get really bad headache and feel my eye are tired when I get headache really bad I feel like sweating from my head alot and nausea  I just set and put my hand on my eye or I press my hands around my head.
Are those effects from papilledema?</t>
        </is>
      </c>
      <c r="D970" t="n">
        <v>1</v>
      </c>
      <c r="E970" t="n">
        <v>3</v>
      </c>
      <c r="F970">
        <f>HYPERLINK("https://www.reddit.com/r/eyetriage/comments/dw0lup/papilledema_side_effects/")</f>
        <v/>
      </c>
      <c r="G970" t="inlineStr">
        <is>
          <t>2019-11-13 15:41:06</t>
        </is>
      </c>
      <c r="H970" t="inlineStr"/>
    </row>
    <row r="971">
      <c r="A971" t="inlineStr">
        <is>
          <t>dwax3a</t>
        </is>
      </c>
      <c r="B971" t="inlineStr">
        <is>
          <t>Does anyone know what to do if you get London Optimum Cleaning disinfect and storage solution in your eye???</t>
        </is>
      </c>
      <c r="C971" t="inlineStr">
        <is>
          <t>I ran out of my contact solution so I used my brother’s, and I did not read the label as carefully as I should’ve. I’ve rinsed my eye out with water for at least ten minutes and they’re still burning.</t>
        </is>
      </c>
      <c r="D971" t="n">
        <v>1</v>
      </c>
      <c r="E971" t="n">
        <v>1</v>
      </c>
      <c r="F971">
        <f>HYPERLINK("https://www.reddit.com/r/eyetriage/comments/dwax3a/does_anyone_know_what_to_do_if_you_get_london/")</f>
        <v/>
      </c>
      <c r="G971" t="inlineStr">
        <is>
          <t>2019-11-14 07:20:06</t>
        </is>
      </c>
      <c r="H971" t="inlineStr"/>
    </row>
    <row r="972">
      <c r="A972" t="inlineStr">
        <is>
          <t>dwdgbj</t>
        </is>
      </c>
      <c r="B972" t="inlineStr">
        <is>
          <t>rainbows and 22 eyes pressure</t>
        </is>
      </c>
      <c r="C972" t="inlineStr">
        <is>
          <t>h ello I have been to eyes casualty after having some blackouts for one second and seeing rainbows around lights and I eyes twitching my eyes pressure was 22 which is worrying bout its high im 32 and all the tests were fine and it's just a migraine but I'm still having the symptoms I am a bit worrying but they got it wrong I am a huge hypochondriac lots of laughs</t>
        </is>
      </c>
      <c r="D972" t="n">
        <v>1</v>
      </c>
      <c r="E972" t="n">
        <v>1</v>
      </c>
      <c r="F972">
        <f>HYPERLINK("https://www.reddit.com/r/eyetriage/comments/dwdgbj/rainbows_and_22_eyes_pressure/")</f>
        <v/>
      </c>
      <c r="G972" t="inlineStr">
        <is>
          <t>2019-11-14 10:17:03</t>
        </is>
      </c>
      <c r="H972" t="inlineStr"/>
    </row>
    <row r="973">
      <c r="A973" t="inlineStr">
        <is>
          <t>dwlsfd</t>
        </is>
      </c>
      <c r="B973" t="inlineStr">
        <is>
          <t>Wife has complications after lasik</t>
        </is>
      </c>
      <c r="C973" t="inlineStr">
        <is>
          <t>Hi,
My wife had lasik about 3 weeks ago and after the first week she started seeing double in one eye. Her vision also started to blur. She got diagnosed with keratitis and sent home with tobradex, oftaquix and some eye-tears. After another week it got little worse and apparently spread a little into the other eye so they added virgan eye gel to the medications.
This night she came to me in tears and said that she thinks one cornea is looking a little larger and that she feels sick. 
We are going to the doctor in about an hour but is there anything else that they can do for her? Should we try another ophthalmologist? I want to help her in some way...
Thank you</t>
        </is>
      </c>
      <c r="D973" t="n">
        <v>1</v>
      </c>
      <c r="E973" t="n">
        <v>3</v>
      </c>
      <c r="F973">
        <f>HYPERLINK("https://www.reddit.com/r/eyetriage/comments/dwlsfd/wife_has_complications_after_lasik/")</f>
        <v/>
      </c>
      <c r="G973" t="inlineStr">
        <is>
          <t>2019-11-14 20:51:54</t>
        </is>
      </c>
      <c r="H973" t="inlineStr"/>
    </row>
    <row r="974">
      <c r="A974" t="inlineStr">
        <is>
          <t>dwrjow</t>
        </is>
      </c>
      <c r="B974" t="inlineStr">
        <is>
          <t>I see two greenish glowing circles after blinking in the dark</t>
        </is>
      </c>
      <c r="C974" t="inlineStr">
        <is>
          <t>I was  on my phone in the dark. Trying to sleep. Closed my eyes and saw the thick outlines of two bright, slightly greenish circles appear in front of me. Moving in the direction corresponding to the movement of my pupils. I looked left, they moved left. Looked right, there they went. Also when looking down and to the right or left.
If I blinked hard but *didn’t* open my eyes afterwards, they didn’t appear. 
What is this? This is the second time it’s occurred. Last time, it was the same situation - in the dark, after using my phone. 
Totally sober btw.</t>
        </is>
      </c>
      <c r="D974" t="n">
        <v>1</v>
      </c>
      <c r="E974" t="n">
        <v>4</v>
      </c>
      <c r="F974">
        <f>HYPERLINK("https://www.reddit.com/r/eyetriage/comments/dwrjow/i_see_two_greenish_glowing_circles_after_blinking/")</f>
        <v/>
      </c>
      <c r="G974" t="inlineStr">
        <is>
          <t>2019-11-15 06:31:15</t>
        </is>
      </c>
      <c r="H974" t="inlineStr"/>
    </row>
    <row r="975">
      <c r="A975" t="inlineStr">
        <is>
          <t>dwxc1s</t>
        </is>
      </c>
      <c r="B975" t="inlineStr">
        <is>
          <t>What kind of doctor to see for orbital or extraocular muscle pain?</t>
        </is>
      </c>
      <c r="C975" t="inlineStr">
        <is>
          <t>Hi,
I have this tugging, aching pain when I move my eyes to the side or look up. I feel like the pain is coming from the orbit or extraocular muscles.
Is there a type of ophthalmologist that I should be looking for that specializes in the extraocular muscles or orbit? Or is a neurologist more appropriate for this? The last time, I went to a general ophthalmologist, and they looked at my eyes with a slit lamp and said everything looked fine...
Any advice on how to get help for orbital/EOM kind of pain?</t>
        </is>
      </c>
      <c r="D975" t="n">
        <v>1</v>
      </c>
      <c r="E975" t="n">
        <v>3</v>
      </c>
      <c r="F975">
        <f>HYPERLINK("https://www.reddit.com/r/eyetriage/comments/dwxc1s/what_kind_of_doctor_to_see_for_orbital_or/")</f>
        <v/>
      </c>
      <c r="G975" t="inlineStr">
        <is>
          <t>2019-11-15 13:37:03</t>
        </is>
      </c>
      <c r="H975" t="inlineStr"/>
    </row>
    <row r="976">
      <c r="A976" t="inlineStr">
        <is>
          <t>dxaowx</t>
        </is>
      </c>
      <c r="B976" t="inlineStr">
        <is>
          <t>Eye issues</t>
        </is>
      </c>
      <c r="C976" t="inlineStr">
        <is>
          <t xml:space="preserve"> Hey guys,
Been having a problem with some occasional eye floaters in my eyes. It's annoying most of all, but I'm hoping it isn't something serious that I'm ignoring. They come and go, aren't constant, and I can't really tell if it's both eyes or one. I went to the optometrist, but they didn't see anything wrong with my eyes... Any clue what I should do next?</t>
        </is>
      </c>
      <c r="D976" t="n">
        <v>1</v>
      </c>
      <c r="E976" t="n">
        <v>4</v>
      </c>
      <c r="F976">
        <f>HYPERLINK("https://www.reddit.com/r/eyetriage/comments/dxaowx/eye_issues/")</f>
        <v/>
      </c>
      <c r="G976" t="inlineStr">
        <is>
          <t>2019-11-16 10:38:30</t>
        </is>
      </c>
      <c r="H976" t="inlineStr"/>
    </row>
    <row r="977">
      <c r="A977" t="inlineStr">
        <is>
          <t>dxdwr9</t>
        </is>
      </c>
      <c r="B977" t="inlineStr">
        <is>
          <t>Retinal damage</t>
        </is>
      </c>
      <c r="C977" t="inlineStr">
        <is>
          <t>Can the infrared sensor on a paper towel dispenser damage your retina if you inadvertently stare at it?
https://www.amazon.com/59462-Automated-Touchless-Dispenser-Translucent/dp/B015X6E7FY</t>
        </is>
      </c>
      <c r="D977" t="n">
        <v>1</v>
      </c>
      <c r="E977" t="n">
        <v>6</v>
      </c>
      <c r="F977">
        <f>HYPERLINK("https://www.reddit.com/r/eyetriage/comments/dxdwr9/retinal_damage/")</f>
        <v/>
      </c>
      <c r="G977" t="inlineStr">
        <is>
          <t>2019-11-16 14:36:16</t>
        </is>
      </c>
      <c r="H977" t="inlineStr"/>
    </row>
    <row r="978">
      <c r="A978" t="inlineStr">
        <is>
          <t>dxfcan</t>
        </is>
      </c>
      <c r="B978" t="inlineStr">
        <is>
          <t>Seeing Veins In Only One Eye When Blinking (All the time)</t>
        </is>
      </c>
      <c r="C978" t="inlineStr">
        <is>
          <t>Background information:  2 and a half months ago I had a detached retina I saw my ophthalmologist last week and everything was looking good with it.  
Later the same day after I saw him I noticed in my operated eye that I could see black vein lines flash when I blinked against a bright light source (like a white tv, monitor, or white walls).  This has been happening for 3 days and I if I blink I can see them all day long.  
After having my eye dilated that day I did work on the computer all day so I'm not sure if that had something to do with it.  Has anyone else ever experienced this?</t>
        </is>
      </c>
      <c r="D978" t="n">
        <v>1</v>
      </c>
      <c r="E978" t="n">
        <v>2</v>
      </c>
      <c r="F978">
        <f>HYPERLINK("https://www.reddit.com/r/eyetriage/comments/dxfcan/seeing_veins_in_only_one_eye_when_blinking_all/")</f>
        <v/>
      </c>
      <c r="G978" t="inlineStr">
        <is>
          <t>2019-11-16 16:30:05</t>
        </is>
      </c>
      <c r="H978" t="inlineStr"/>
    </row>
    <row r="979">
      <c r="A979" t="inlineStr">
        <is>
          <t>dxi654</t>
        </is>
      </c>
      <c r="B979" t="inlineStr">
        <is>
          <t>Best simulation I could find to describe what's been going on in my left eye for the last 2.5 years</t>
        </is>
      </c>
      <c r="C979" t="inlineStr">
        <is>
          <t>When I look from my right to left, this happens.  It does NOT happen when I look from left to right.  It's really pronounced when there's a bright light.  In low light I can't see it.
I've been checked by two ophthalmologists and my optometrist.  My glaucoma specialist says it's not related to my pigmentary glaucoma (I'm going to show him this simulation when I see him next because I don't think I did a very good description in words about what I was experiencing).
My eyes were dilated.  I've had OCT's and I'm sure many other tests.
I was told that it's possibly 'vitreous traction' or a floater....but I have other small floaters and they don't behave like this.
Any ideas?
TIA</t>
        </is>
      </c>
      <c r="D979" t="n">
        <v>1</v>
      </c>
      <c r="E979" t="n">
        <v>6</v>
      </c>
      <c r="F979">
        <f>HYPERLINK("https://www.reddit.com/r/eyetriage/comments/dxi654/best_simulation_i_could_find_to_describe_whats/")</f>
        <v/>
      </c>
      <c r="G979" t="inlineStr">
        <is>
          <t>2019-11-16 20:38:39</t>
        </is>
      </c>
      <c r="H979" t="inlineStr"/>
    </row>
    <row r="980">
      <c r="A980" t="inlineStr">
        <is>
          <t>dxlttc</t>
        </is>
      </c>
      <c r="B980" t="inlineStr">
        <is>
          <t>Diamond burr keratectomy recovery time</t>
        </is>
      </c>
      <c r="C980" t="inlineStr">
        <is>
          <t>Just had this done on Friday and am still pretty miserable. Can anyone tell me how long the period of extreme light sensitivity should last? Right now I can't drive or look at screens for an extended period</t>
        </is>
      </c>
      <c r="D980" t="n">
        <v>1</v>
      </c>
      <c r="E980" t="n">
        <v>0</v>
      </c>
      <c r="F980">
        <f>HYPERLINK("https://www.reddit.com/r/eyetriage/comments/dxlttc/diamond_burr_keratectomy_recovery_time/")</f>
        <v/>
      </c>
      <c r="G980" t="inlineStr">
        <is>
          <t>2019-11-17 04:11:15</t>
        </is>
      </c>
      <c r="H980" t="inlineStr"/>
    </row>
    <row r="981">
      <c r="A981" t="inlineStr">
        <is>
          <t>dxuupd</t>
        </is>
      </c>
      <c r="B981" t="inlineStr">
        <is>
          <t>Intermittent revolving light at corner of eye</t>
        </is>
      </c>
      <c r="C981" t="inlineStr">
        <is>
          <t xml:space="preserve"> Hi All.
For the past five days, I have been seeing a small revolving light in corner of my right eye. The light (white) is the size of a pinpoint and  starts at the bottom of my eye and moves along a semi-circular path and last around 1 second in my peripheral vision. The phenomena repeat itself every hour or so. I went to an optometrist for an eye exam. She told me I had no retinal tears or holes and the condition might be due  to an ocular migraine. I read online about ocular migraine and the  symptoms of ocular migraine don't match with mine.
Should  I seek a second opinion? If yes, should I schedule an appointment with  an ophthalmologist? Any help is greatly appreciated.
P.S.: I have myopia (-7 and -6.5 diopter)</t>
        </is>
      </c>
      <c r="D981" t="n">
        <v>1</v>
      </c>
      <c r="E981" t="n">
        <v>2</v>
      </c>
      <c r="F981">
        <f>HYPERLINK("https://www.reddit.com/r/eyetriage/comments/dxuupd/intermittent_revolving_light_at_corner_of_eye/")</f>
        <v/>
      </c>
      <c r="G981" t="inlineStr">
        <is>
          <t>2019-11-17 15:51:46</t>
        </is>
      </c>
      <c r="H981" t="inlineStr"/>
    </row>
    <row r="982">
      <c r="A982" t="inlineStr">
        <is>
          <t>dxycpn</t>
        </is>
      </c>
      <c r="B982" t="inlineStr">
        <is>
          <t>Contact solution.</t>
        </is>
      </c>
      <c r="C982" t="inlineStr">
        <is>
          <t>I just realized the Renu Contact Solution, Advanced Triple Disinfectant Formula I've been using expired 7/20/2019. I wear contacts and off and usually wear glasses, but now I'm worried. I threw them out today, and plan on buying new ones. How bad is it? My eyes have felt fine all this time.</t>
        </is>
      </c>
      <c r="D982" t="n">
        <v>1</v>
      </c>
      <c r="E982" t="n">
        <v>3</v>
      </c>
      <c r="F982">
        <f>HYPERLINK("https://www.reddit.com/r/eyetriage/comments/dxycpn/contact_solution/")</f>
        <v/>
      </c>
      <c r="G982" t="inlineStr">
        <is>
          <t>2019-11-17 20:40:47</t>
        </is>
      </c>
      <c r="H982" t="inlineStr"/>
    </row>
    <row r="983">
      <c r="A983" t="inlineStr">
        <is>
          <t>dy74id</t>
        </is>
      </c>
      <c r="B983" t="inlineStr">
        <is>
          <t>Pain behind the eye when unable to digest food?</t>
        </is>
      </c>
      <c r="C983" t="inlineStr">
        <is>
          <t>Does this happen to anyone here? When i can't digest food i feel pain behind my left eye. And then after vomitting the pain dissappears</t>
        </is>
      </c>
      <c r="D983" t="n">
        <v>1</v>
      </c>
      <c r="E983" t="n">
        <v>1</v>
      </c>
      <c r="F983">
        <f>HYPERLINK("https://www.reddit.com/r/eyetriage/comments/dy74id/pain_behind_the_eye_when_unable_to_digest_food/")</f>
        <v/>
      </c>
      <c r="G983" t="inlineStr">
        <is>
          <t>2019-11-18 10:27:05</t>
        </is>
      </c>
      <c r="H983" t="inlineStr"/>
    </row>
    <row r="984">
      <c r="A984" t="inlineStr">
        <is>
          <t>dyeolw</t>
        </is>
      </c>
      <c r="B984" t="inlineStr">
        <is>
          <t>Dr View</t>
        </is>
      </c>
      <c r="C984" t="inlineStr">
        <is>
          <t>Im a F18 and I went to the eye doctor they think I looked fine and everything. They think I had this migrane type thing where I didnt have a headache with it...which honestly I belive it fits all criteria... then HE says that its probably not it and that its super rare and he doubts it but it may be a blood vessle may have popped and got through blurring my vision for awhile....they made me a doctors appointment just ro be safe. 
This of course rattled me and im so scared of what they will do so please tell me: What can I expect to get done? 
I cant eat or sleep until i know and I cant stop crying I posted in other communities and I need a result NOW no one is answering.
Idk if this is allowed but I have no where else to turn and didnt know if anyone has had this happen....please please help me</t>
        </is>
      </c>
      <c r="D984" t="n">
        <v>1</v>
      </c>
      <c r="E984" t="n">
        <v>1</v>
      </c>
      <c r="F984">
        <f>HYPERLINK("https://www.reddit.com/r/eyetriage/comments/dyeolw/dr_view/")</f>
        <v/>
      </c>
      <c r="G984" t="inlineStr">
        <is>
          <t>2019-11-18 19:22:18</t>
        </is>
      </c>
      <c r="H984" t="inlineStr"/>
    </row>
    <row r="985">
      <c r="A985" t="inlineStr">
        <is>
          <t>dyf919</t>
        </is>
      </c>
      <c r="B985" t="inlineStr">
        <is>
          <t>Blood and Eye</t>
        </is>
      </c>
      <c r="C985" t="inlineStr">
        <is>
          <t>If you now are scheduled to visit a dr after a visit with your eye dr about a blood vessel popping 
Will your dr run a blood test on you?</t>
        </is>
      </c>
      <c r="D985" t="n">
        <v>1</v>
      </c>
      <c r="E985" t="n">
        <v>5</v>
      </c>
      <c r="F985">
        <f>HYPERLINK("https://www.reddit.com/r/eyetriage/comments/dyf919/blood_and_eye/")</f>
        <v/>
      </c>
      <c r="G985" t="inlineStr">
        <is>
          <t>2019-11-18 20:10:49</t>
        </is>
      </c>
      <c r="H985" t="inlineStr"/>
    </row>
    <row r="986">
      <c r="A986" t="inlineStr">
        <is>
          <t>dyiau8</t>
        </is>
      </c>
      <c r="B986" t="inlineStr">
        <is>
          <t>Can cataracts be undiagnosed in it's early stages?</t>
        </is>
      </c>
      <c r="C986" t="inlineStr">
        <is>
          <t>Hello, I am a 30 year old man, in recent months I'm seeing halos around light sources at night and in the daytime experience light scattering from reflecting surfaces (looks like rays, this also happens at night) plus, at night i get double vision (vertical). I have mild astigmatism in both eyes (1.54 in the left eye, 3.5 in the right eye) from childhood.
The doctors did all sorts of eye exams, oct, corneal tomography and no reason was found, no doctor detected dry eye or cataracts or keratoconus. I will note that I also have floaters for the past six months, and in past two months my eyes get reddish.
Trying to understand what I have and why doctors can't find the reason. And recently, I have had to change my glasses due to a decrease in number in one eye.</t>
        </is>
      </c>
      <c r="D986" t="n">
        <v>1</v>
      </c>
      <c r="E986" t="n">
        <v>5</v>
      </c>
      <c r="F986">
        <f>HYPERLINK("https://www.reddit.com/r/eyetriage/comments/dyiau8/can_cataracts_be_undiagnosed_in_its_early_stages/")</f>
        <v/>
      </c>
      <c r="G986" t="inlineStr">
        <is>
          <t>2019-11-19 01:42:49</t>
        </is>
      </c>
      <c r="H986" t="inlineStr"/>
    </row>
    <row r="987">
      <c r="A987" t="inlineStr">
        <is>
          <t>dymku3</t>
        </is>
      </c>
      <c r="B987" t="inlineStr">
        <is>
          <t>Characterizing eyestrain headaches? Also cataract in a young person?</t>
        </is>
      </c>
      <c r="C987" t="inlineStr">
        <is>
          <t>Hey  all!  I'm a 33 year old man that's recently been diagnosed with a  moderate sized right sided cataract and astigmatism.  I've noticed  blurry vision for years (which seems better on some days than others)  and finally decided to get my eyes checked when my headaches worsened.  I  was a bit surprised to discover I have 20/80 vision in the right eye  with a cataract and astigmatism.  Nothing was noted on a previous eye  exam 7-8 years ago.  Doc is unsure if the cataract is new or congenital.   He's also unsure if either the visual dysfunction or cataract could be  causing the headache.  He quoted an old adage in ophthalmology, which  was that "eyestrain without glaucoma doesn't cause headaches".  And yet,  many people seem to have headaches from eyestrain.
Your  thoughts?  Glasses are incoming, but I'm curious as to headaches from  eyestrain should "feel" in your experiences.  Also, if the  cataract/astigmatism/poor vision is the most likely cause of the  headaches?</t>
        </is>
      </c>
      <c r="D987" t="n">
        <v>1</v>
      </c>
      <c r="E987" t="n">
        <v>4</v>
      </c>
      <c r="F987">
        <f>HYPERLINK("https://www.reddit.com/r/eyetriage/comments/dymku3/characterizing_eyestrain_headaches_also_cataract/")</f>
        <v/>
      </c>
      <c r="G987" t="inlineStr">
        <is>
          <t>2019-11-19 08:19:09</t>
        </is>
      </c>
      <c r="H987" t="inlineStr"/>
    </row>
    <row r="988">
      <c r="A988" t="inlineStr">
        <is>
          <t>dyqhaj</t>
        </is>
      </c>
      <c r="B988" t="inlineStr">
        <is>
          <t>I noticed a small notch in the bottom of my right eyelid.</t>
        </is>
      </c>
      <c r="C988" t="inlineStr">
        <is>
          <t>Should I go to the ophthalmologist? I was just there maybe a couple months ago and he said my eyes look fine. They have been really dry feeling and just bothering me a lot lately though. Thanks.</t>
        </is>
      </c>
      <c r="D988" t="n">
        <v>1</v>
      </c>
      <c r="E988" t="n">
        <v>2</v>
      </c>
      <c r="F988">
        <f>HYPERLINK("https://www.reddit.com/r/eyetriage/comments/dyqhaj/i_noticed_a_small_notch_in_the_bottom_of_my_right/")</f>
        <v/>
      </c>
      <c r="G988" t="inlineStr">
        <is>
          <t>2019-11-19 12:45:36</t>
        </is>
      </c>
      <c r="H988" t="inlineStr"/>
    </row>
    <row r="989">
      <c r="A989" t="inlineStr">
        <is>
          <t>dysc4e</t>
        </is>
      </c>
      <c r="B989" t="inlineStr">
        <is>
          <t>Lamasil and optic nerves</t>
        </is>
      </c>
      <c r="C989" t="inlineStr">
        <is>
          <t>Has anyone heard of lamasil/terbinifine causing optic nerve inflammation?</t>
        </is>
      </c>
      <c r="D989" t="n">
        <v>1</v>
      </c>
      <c r="E989" t="n">
        <v>0</v>
      </c>
      <c r="F989">
        <f>HYPERLINK("https://www.reddit.com/r/eyetriage/comments/dysc4e/lamasil_and_optic_nerves/")</f>
        <v/>
      </c>
      <c r="G989" t="inlineStr">
        <is>
          <t>2019-11-19 14:49:48</t>
        </is>
      </c>
      <c r="H989" t="inlineStr"/>
    </row>
    <row r="990">
      <c r="A990" t="inlineStr">
        <is>
          <t>dyukzo</t>
        </is>
      </c>
      <c r="B990" t="inlineStr">
        <is>
          <t>Ptosis Help</t>
        </is>
      </c>
      <c r="C990" t="inlineStr">
        <is>
          <t>Hi All,
I have self diagnosed with ptosis. Can anyone confirm this? Can you give me some advice on what to look for in surgeon slash expected cost? Thanks
https://preview.redd.it/xb91xqidwqz31.jpg?width=1002&amp;amp;format=pjpg&amp;amp;auto=webp&amp;amp;s=b6741c77cd5916c5f3954f1d70096749961eba88</t>
        </is>
      </c>
      <c r="D990" t="n">
        <v>1</v>
      </c>
      <c r="E990" t="n">
        <v>2</v>
      </c>
      <c r="F990">
        <f>HYPERLINK("https://www.reddit.com/r/eyetriage/comments/dyukzo/ptosis_help/")</f>
        <v/>
      </c>
      <c r="G990" t="inlineStr">
        <is>
          <t>2019-11-19 17:36:06</t>
        </is>
      </c>
      <c r="H990" t="inlineStr"/>
    </row>
    <row r="991">
      <c r="A991" t="inlineStr">
        <is>
          <t>dz1qyu</t>
        </is>
      </c>
      <c r="B991" t="inlineStr">
        <is>
          <t>Can eye exercises help a foggy eye?</t>
        </is>
      </c>
      <c r="C991" t="inlineStr">
        <is>
          <t>I have some fog and a dark spot (seemingly vitreous) in my left eye. This started about 6 mos ago. I went to the ophthalmologist about 4 weeks ago. (In a diff country and my language skills aren't amazing. Which is why I'm asking here.) They gave me eye exercises to do, and I don't understand the point. Can these exercises really help my symptoms of fog and dark spots? 
Longer story:
They did a round of testing (including a retinal exam.) It looks like there is no retinal detachment, or macular degeneration. I did another round of visual testing (for 40 minutes!) And in the end, the woman gave me a series of exercises to do. This includes (briefly) looking at the tip of a pen near and far, reading at a letter chart close and far, reading something slowly near and far. 
My actual eye sight has not changed. I can still read visual charts near and far with my glasses. But my left eye is just bothersome and foggy. :/
I am supposed to do these exercises three to four times a week for 40 minutes. I've been doing them for two weeks, but I really don't understand the point. Nothing is changing. I read that they best work for lazy eye or cross eye. I've also read that these exercises can help with digital strain, or dry eye, possibly.
But my main concern is the fog and dark spot, which is starting to cause me to squint and affect my vision, making my left eye cloudy. Can these exercises help my current issue? 
A little about me:
* I am middle age female. 
* I have admittedly terrible eyesight. - 12 in left, - 11 in right. It has been stable for about 10 years. 
* Astigmatism in both eyes.
* Dry eye, probably from digital strain. I use muro and eye drops 3x daily. 
* I wear mostly glasses, and a pair of soft daily contacts, about once every 2 weeks. No problems there. 
* My two pairs of glasses are two years old, and 4 years old. 
Thanks for any help!</t>
        </is>
      </c>
      <c r="D991" t="n">
        <v>1</v>
      </c>
      <c r="E991" t="n">
        <v>21</v>
      </c>
      <c r="F991">
        <f>HYPERLINK("https://www.reddit.com/r/eyetriage/comments/dz1qyu/can_eye_exercises_help_a_foggy_eye/")</f>
        <v/>
      </c>
      <c r="G991" t="inlineStr">
        <is>
          <t>2019-11-20 05:01:10</t>
        </is>
      </c>
      <c r="H991" t="inlineStr"/>
    </row>
    <row r="992">
      <c r="A992" t="inlineStr">
        <is>
          <t>dzauql</t>
        </is>
      </c>
      <c r="B992" t="inlineStr">
        <is>
          <t>Worried that my Myopia prescription just changed in my mid 20s</t>
        </is>
      </c>
      <c r="C992" t="inlineStr">
        <is>
          <t>Hi guys,
Had my eyes checked yesterday and my prescription increased by -1 in one eye. I have early PSC from steroid use but I always thought that didn’t affect myopia. I’m 25 and kind of concerned that my prescription changed, seeing as two years prior I didn’t need any change at all. Was this just catching up on the non-change when I was 23? Will my Myopia get worse or stabilise soon?</t>
        </is>
      </c>
      <c r="D992" t="n">
        <v>1</v>
      </c>
      <c r="E992" t="n">
        <v>3</v>
      </c>
      <c r="F992">
        <f>HYPERLINK("https://www.reddit.com/r/eyetriage/comments/dzauql/worried_that_my_myopia_prescription_just_changed/")</f>
        <v/>
      </c>
      <c r="G992" t="inlineStr">
        <is>
          <t>2019-11-20 16:16:27</t>
        </is>
      </c>
      <c r="H992" t="inlineStr"/>
    </row>
    <row r="993">
      <c r="A993" t="inlineStr">
        <is>
          <t>dzdvbo</t>
        </is>
      </c>
      <c r="B993" t="inlineStr">
        <is>
          <t>My entire face looks different when I’m wearing contacts vs. when I’m just not wearing glasses. Why exactly?</t>
        </is>
      </c>
      <c r="C993" t="inlineStr">
        <is>
          <t>I got contacts in 2015 when I was 13 and wore them for a good while. I got lazy around 2017 and started wearing glasses again. Recently I remembered how much better my vision was with contacts and decided to try them again - albeit the ones I had from my last refill a couple years ago (they are not expired).
I put them in and realized immediately that something looked *off* about my face. I thought maybe it was just extra detail that I wasn’t used to, but when I took a picture of myself with the contacts in, and then with no contacts or glasses, I realized that something was definitely way different about my face. I can’t put my finger on what though. Is it the age of the contacts? An allergic reaction? I’m at a loss for ideas. I’ve considered ordering brand new contacts but I’m consulting this sub before I do, just in case. What’s going on here?</t>
        </is>
      </c>
      <c r="D993" t="n">
        <v>1</v>
      </c>
      <c r="E993" t="n">
        <v>0</v>
      </c>
      <c r="F993">
        <f>HYPERLINK("https://www.reddit.com/r/eyetriage/comments/dzdvbo/my_entire_face_looks_different_when_im_wearing/")</f>
        <v/>
      </c>
      <c r="G993" t="inlineStr">
        <is>
          <t>2019-11-20 20:20:29</t>
        </is>
      </c>
      <c r="H993" t="inlineStr"/>
    </row>
    <row r="994">
      <c r="A994" t="inlineStr">
        <is>
          <t>dzk124</t>
        </is>
      </c>
      <c r="B994" t="inlineStr">
        <is>
          <t>white arcs at the corner when I close my eyes and move them or I pressure on them?</t>
        </is>
      </c>
      <c r="C994" t="inlineStr">
        <is>
          <t>Hello all, I noticed that I see flash arcs when I close my eyes and move them or pressure on them...could it be serious?  
Thanks.</t>
        </is>
      </c>
      <c r="D994" t="n">
        <v>1</v>
      </c>
      <c r="E994" t="n">
        <v>5</v>
      </c>
      <c r="F994">
        <f>HYPERLINK("https://www.reddit.com/r/eyetriage/comments/dzk124/white_arcs_at_the_corner_when_i_close_my_eyes_and/")</f>
        <v/>
      </c>
      <c r="G994" t="inlineStr">
        <is>
          <t>2019-11-21 06:26:01</t>
        </is>
      </c>
      <c r="H994" t="inlineStr"/>
    </row>
    <row r="995">
      <c r="A995" t="inlineStr">
        <is>
          <t>dzmjeb</t>
        </is>
      </c>
      <c r="B995" t="inlineStr">
        <is>
          <t>Eye numbed and dilated twice in same day?</t>
        </is>
      </c>
      <c r="C995" t="inlineStr">
        <is>
          <t>I had my eye exam for some floaters and accidentally looking at the sun while trying to catch a fly ball when playing some baseball with friends. The after effect of the sun stayed in my vision for hours, but slowly went away. 
They did a numbing drop in each eye and one dilation drop in each eye. I noticed my right eye was becoming blurry and the left wasn’t, so I informed the assistant and she got another numbing drop and dilation drop and put it in my left eye. 
1) Does is matter that I got two numbing drops and two dilation drops in one eye? While the other eye only had one drop of each. 
The ophthalmologist said everything looked normal. I asked if he could do an OCT scan, he obliged and said everything would be normal, and sent me to do the scan as I checked out. 
2) Does it matter that he didn’t actually review my OCT scan? Could he tell just from my regular exam if I had any issues with my eyes after looking at the sun (and the floaters)? I thought the OCT scan was needed for him to make that conclusion.
Thanks</t>
        </is>
      </c>
      <c r="D995" t="n">
        <v>1</v>
      </c>
      <c r="E995" t="n">
        <v>6</v>
      </c>
      <c r="F995">
        <f>HYPERLINK("https://www.reddit.com/r/eyetriage/comments/dzmjeb/eye_numbed_and_dilated_twice_in_same_day/")</f>
        <v/>
      </c>
      <c r="G995" t="inlineStr">
        <is>
          <t>2019-11-21 09:21:05</t>
        </is>
      </c>
      <c r="H995" t="inlineStr"/>
    </row>
    <row r="996">
      <c r="A996" t="inlineStr">
        <is>
          <t>dzvyqh</t>
        </is>
      </c>
      <c r="B996" t="inlineStr">
        <is>
          <t>Small specks of mascara went in my eye, and have been stuck at the bottom of my left eye the past 24 hours. Tried washing it out and they're still in there. Will they eventually go away with tear production, or should I seek medical attention?</t>
        </is>
      </c>
      <c r="C996" t="inlineStr">
        <is>
          <t xml:space="preserve"> Dried up mascara entered my left eye and there is a bunch of specks of them stuck at the bottom of my left eye. One in particular seems like its been stuck in the same spot at the lower left corner of my eyelid. I've been rinsing my eye and it's still there and I'm wondering if tear production will eventually get rid of them or should I see my optometrist? I just feel poking in that general area throughout the day. Sorry if a stupid question, i'm a bit of a hypochondriac.</t>
        </is>
      </c>
      <c r="D996" t="n">
        <v>1</v>
      </c>
      <c r="E996" t="n">
        <v>3</v>
      </c>
      <c r="F996">
        <f>HYPERLINK("https://www.reddit.com/r/eyetriage/comments/dzvyqh/small_specks_of_mascara_went_in_my_eye_and_have/")</f>
        <v/>
      </c>
      <c r="G996" t="inlineStr">
        <is>
          <t>2019-11-21 20:36:39</t>
        </is>
      </c>
      <c r="H996" t="inlineStr"/>
    </row>
    <row r="997">
      <c r="A997" t="inlineStr">
        <is>
          <t>e04sdr</t>
        </is>
      </c>
      <c r="B997" t="inlineStr">
        <is>
          <t>I've lost central vision in my right eye. I've been diagnosed by ophthalmologists, neurologists, and psychiatrists. The treatment hasn't helped so far. What else can I do?</t>
        </is>
      </c>
      <c r="C997" t="inlineStr">
        <is>
          <t>Hi there, I'm a 33-year-old male and I've lost central vision in my right eye 2 years ago. I've got centrocecal scotoma and I can't read even one letter from the ophthalmic board. My peripheral vision is OK. The loss of vision was quite acute, but a month after it started the loss, became bigger and remains at this level till now. It happened during a very stressful period of my life.I  used to have 2 similar episodes in the past, 7 years ago and 3 years ago, which the first one lasted for 1 month, second for 7 months and afterward I had a spontaneous recovery and my vision went back to perfect. Anyway, the vision loss back then was less significant than it is now. During these episodes, I observed that my vision got worse during exercises/ heat. 
Here's the summary of various tests I've had since the vision loss has started:
**• Vision field test: Right eye - Outside normal limits, centrocecal scotoma; Left eye - OK**  
**• Cerebrospinal fluid: oligoclonal bands type II have been found**  
**• Visual evoked potentials: right eye - bad, there's a delay; left eye - borderline/OK**
• Leber's neuropathy: negative  
• Basic optical examination: OK, discs of both eyes are normal, everything looks normal  
• Colors vision: OK, normal in general, but with the sick eye I see blue colors as more vivid  
• Fluorescein Angiography: OK  
• Optical Coherent Tomography (Aug, Sep, Oct, Nov): OK, same results even compared with 2016.  
• Brain MRI: no demyelination, OK (results from 2016 and now)  
• Eyes MRI (nerves and sockets): no demyelination, OK  
• Spine MRI: no demyelination, OK  
• Solu-Medrol i.v. for 5 days: no answer to treatment, no recovery at all  
• Lime disease: negative  
• Toxoplasma: negative  
• Doppler USG of neck arteries: OK  
• TSH, Cholesterol, glucose in blood, blood morphology, urine: OK  
• Neurological examination: OK  
• B12, Folic acid levels: OK  
• EKG: OKHere's the list of meds I've taken during the treatment:• Dexamethason  
• Solu-medrol (3x i.v.)  
• B Vitamins  
• Sertraline  
• Brintellix (Vortioxetine)  
• Pregabaline
The neurologists and ophthalmologists that I've consulted have said that they have no further idea on the treatment so they send me to the psychiatrist. I was obsessed with this disorder, read about the symptoms on the Internet a lot and couldn't sleep, which led me to anxiety and depression.  
The psychiatrist has diagnosed generalized anxiety disorder but after two years of treatment with  Sertraline, Vortioxetine, and Pregabaline no effect on the eye. I just worry less about this, haven't accepted it yet, though. 
Do you have any idea what else I can do or where I should seek help?</t>
        </is>
      </c>
      <c r="D997" t="n">
        <v>1</v>
      </c>
      <c r="E997" t="n">
        <v>1</v>
      </c>
      <c r="F997">
        <f>HYPERLINK("https://www.reddit.com/r/eyetriage/comments/e04sdr/ive_lost_central_vision_in_my_right_eye_ive_been/")</f>
        <v/>
      </c>
      <c r="G997" t="inlineStr">
        <is>
          <t>2019-11-22 10:10:45</t>
        </is>
      </c>
      <c r="H997" t="inlineStr"/>
    </row>
    <row r="998">
      <c r="A998" t="inlineStr">
        <is>
          <t>e073b0</t>
        </is>
      </c>
      <c r="B998" t="inlineStr">
        <is>
          <t>I only have depth perception when wearing sunglasses??</t>
        </is>
      </c>
      <c r="C998" t="inlineStr">
        <is>
          <t>Hello, I have this weird thing I've wondered about for a few years and I was wondering if this was something that happened for everyone or if I was just weird?
When I wear sunglasses (or I think anything with polarized lenses), the world looks more 3D. 
An example: I was standing at the bus stop earlier today and I noticed that some clouds looked all seperated from one another. If I took the sunglasses off (14$ Walmart glasses), I could still tell which cloud was closer by where they overlapped, but they all look on the same plane, like a photograph. But with the glasses on, they looked seperated from each other by another element. Depth, I guess. 
Like I said this isn't the first time I've noticed the sunglasses make things look 3D, but I've never heard anyone else talk about it.
So, do y'all see this as well or am I weird?</t>
        </is>
      </c>
      <c r="D998" t="n">
        <v>1</v>
      </c>
      <c r="E998" t="n">
        <v>4</v>
      </c>
      <c r="F998">
        <f>HYPERLINK("https://www.reddit.com/r/eyetriage/comments/e073b0/i_only_have_depth_perception_when_wearing/")</f>
        <v/>
      </c>
      <c r="G998" t="inlineStr">
        <is>
          <t>2019-11-22 12:47:46</t>
        </is>
      </c>
      <c r="H998" t="inlineStr"/>
    </row>
    <row r="999">
      <c r="A999" t="inlineStr">
        <is>
          <t>e090vm</t>
        </is>
      </c>
      <c r="B999" t="inlineStr">
        <is>
          <t>25m brief moment of seeing stars?</t>
        </is>
      </c>
      <c r="C999" t="inlineStr">
        <is>
          <t>Hi all,
I just had an episode where I got up from sitting walked out of a room and briefly saw quickly moving streaks of light in my central vision for maybe 5-10 seconds before it went away completely. I am near sighted (corrected with glasses) and have floaters in certain lighting but this was not like that. Is this anything to worry about on an emergency basis? I believe this has happened before but many years ago.</t>
        </is>
      </c>
      <c r="D999" t="n">
        <v>1</v>
      </c>
      <c r="E999" t="n">
        <v>3</v>
      </c>
      <c r="F999">
        <f>HYPERLINK("https://www.reddit.com/r/eyetriage/comments/e090vm/25m_brief_moment_of_seeing_stars/")</f>
        <v/>
      </c>
      <c r="G999" t="inlineStr">
        <is>
          <t>2019-11-22 15:05:25</t>
        </is>
      </c>
      <c r="H999" t="inlineStr"/>
    </row>
    <row r="1000">
      <c r="A1000" t="inlineStr">
        <is>
          <t>e0cqje</t>
        </is>
      </c>
      <c r="B1000" t="inlineStr">
        <is>
          <t>Manipulating Ghost Images</t>
        </is>
      </c>
      <c r="C1000" t="inlineStr">
        <is>
          <t>Reddit,
Is there anyone out there that sees what I call a ghost image?  See it when looking at screens (tv, phone, computer), but also out in the real world.  It seems to be really bad with high contrast and reflective things.  I find that I can push my brow together or force my eye brows down and the ghost image goes away and I see images clearly.  Its really bad with lights as night, as I see double street lights, especially green, but I can still push my brows together and get rid of the 2nd image.  It's the same with each eye, both open or just 1 open.  Can anyone do this?  Here is a link to an image of ghosted text.... [https://external-preview.redd.it/tguSQ31WqpWP20G9Ki3rPg6W2\_lCEflw\_HkAXbvX5qw.jpg?auto=webp&amp;amp;s=05bb32a074991ef0247da8464d2a24653976cf2a](https://external-preview.redd.it/tguSQ31WqpWP20G9Ki3rPg6W2_lCEflw_HkAXbvX5qw.jpg?auto=webp&amp;amp;s=05bb32a074991ef0247da8464d2a24653976cf2a)</t>
        </is>
      </c>
      <c r="D1000" t="n">
        <v>1</v>
      </c>
      <c r="E1000" t="n">
        <v>3</v>
      </c>
      <c r="F1000">
        <f>HYPERLINK("https://www.reddit.com/r/eyetriage/comments/e0cqje/manipulating_ghost_images/")</f>
        <v/>
      </c>
      <c r="G1000" t="inlineStr">
        <is>
          <t>2019-11-22 20:03:08</t>
        </is>
      </c>
      <c r="H1000" t="inlineStr"/>
    </row>
    <row r="1001">
      <c r="A1001" t="inlineStr">
        <is>
          <t>e0iitn</t>
        </is>
      </c>
      <c r="B1001" t="inlineStr">
        <is>
          <t>Do I have something wrong with my eyes if I see ghosting on white text with dark backgrounds?</t>
        </is>
      </c>
      <c r="C1001" t="inlineStr">
        <is>
          <t>I included an image example of what I see below. I noticed when reading comments on Youtube videos earlier with dark mode on which uses white text on a dark grey background that I see ghosting on the text. I'm due for an eye test so I will go get my eyes tested soon but I'm wondering if it's normal or not, I'm hoping it's because of the bright white text with a dark black background.
https://preview.redd.it/izubmfcm4g041.png?width=619&amp;amp;format=png&amp;amp;auto=webp&amp;amp;s=2aadee8a59e85a1b74ef069b29d50f1fa8c3e788</t>
        </is>
      </c>
      <c r="D1001" t="n">
        <v>1</v>
      </c>
      <c r="E1001" t="n">
        <v>13</v>
      </c>
      <c r="F1001">
        <f>HYPERLINK("https://www.reddit.com/r/eyetriage/comments/e0iitn/do_i_have_something_wrong_with_my_eyes_if_i_see/")</f>
        <v/>
      </c>
      <c r="G1001" t="inlineStr">
        <is>
          <t>2019-11-23 06:27:51</t>
        </is>
      </c>
      <c r="H1001" t="inlineStr"/>
    </row>
    <row r="1002">
      <c r="A1002" t="inlineStr">
        <is>
          <t>e0poho</t>
        </is>
      </c>
      <c r="B1002" t="inlineStr">
        <is>
          <t>28-year old male. Last night, I experienced temporary blindness in my right eye for 5 seconds, followed by 5 minutes of color-blindness. My vision is totally fine now. How serious is this? What could the cause be?</t>
        </is>
      </c>
      <c r="C1002" t="inlineStr">
        <is>
          <t>I’m not sure how urgent this is because my vision is totally fine now. I’m going to see my optometrist in a few weeks to get my eyes checked out. I will definitely go to Urgent Care if I experience this eye sight issue again.
For the last six months, I’ve noticed that the vision in my right eye is slightly dimmer than in my left eye. I’ve also noticed that my night vision has been noticeably worse in both eyes for the last six months. I had an eye checkup around that time, but I forgot to mention these issues to my doctor. The eye checkup went fine. During these last six months, I regularly watched TV in a dark room while lying on my left side in bed for hours at a time each night. I feared that watching TV in a dark room was causing my issues, so I stopped doing that for a month or two. My vision was totally fine during the last few months.
But last night, I did it again. I was lying on my left side in bed watching shows on my iPad for only 15 minutes. I was using f.lux and didn’t have any lights on in the room. Everything was fine until I turned off my iPad (which was the last source of light in the room). 
Suddenly, my view went pitch black on my right side. I could see stuff in the darkness with my left eye just fine, but my right eye was completely useless. I turned on my light and realized that I had gone color-blind in my right eye. The color-blindness in my right eye persisted for 5-10 minutes. Then, my eye sight went back to normal.
For the last few hours, my eye sight has been totally normal, though I might have a few more floaters than normal (in both eyes). Something extra odd about this: A few hours after this happened, my night vision seemed to dramatically improve in both eyes.
I’m 99% sure that looking at a screen in a dark room is the activity that is causing this, so I’m not going to do that anymore. I'll be seeing my optometrist in a few weeks and I will go to Urgent Care if this eye sight problem happens again. I’m just not sure if this is indicative of an emergency.
How serious is this? Which type of health issues could be responsible for temporary blindness and temporary color-blindness in one eye? My eye sight is fine now, so should I wait a few weeks to see my optometrist? Or should I immediately go to Urgent Care?</t>
        </is>
      </c>
      <c r="D1002" t="n">
        <v>1</v>
      </c>
      <c r="E1002" t="n">
        <v>5</v>
      </c>
      <c r="F1002">
        <f>HYPERLINK("https://www.reddit.com/r/eyetriage/comments/e0poho/28year_old_male_last_night_i_experienced/")</f>
        <v/>
      </c>
      <c r="G1002" t="inlineStr">
        <is>
          <t>2019-11-23 14:58:48</t>
        </is>
      </c>
      <c r="H1002" t="inlineStr"/>
    </row>
    <row r="1003">
      <c r="A1003" t="inlineStr">
        <is>
          <t>e0sbdo</t>
        </is>
      </c>
      <c r="B1003" t="inlineStr">
        <is>
          <t>Distortion when I turn my eyes too far to the side?</t>
        </is>
      </c>
      <c r="C1003" t="inlineStr">
        <is>
          <t>18 year old male, I have an astigmatism in both eyes, plus I'm nearsighted if that helps. 
I notice when I turn my eyes way to the side (like when I'm looking behind me) I get a little distortion. Like a circle that gets all wiggly? I don't know how to explain it. No dark spots in my peripheral, or "curtains" as with retinal detachment. (Though for a little while I was having some flashes, floaters etc. I've always had floaters though. I do have an appointment next week as I need to glasses anyways) but just a weird, mild distortion in one place only when doing this specifically with my eyes. If I look too far up, like if you were to try and roll your eyes into the back of your head, I get two weird bluish circles, like eyes looking at me. Would anyone know what this is? Apart from my normal shitty eyesight I have no issues. Thanks in advance!
(This doesn't really affect my normal vision, more just  an annoyance when I do the one thing that triggers it, and that's even just when there's enough light for me to notice it. My mom said something about the pressure changing in my eyes? She isn't an optometrist or anything, but is she right?)</t>
        </is>
      </c>
      <c r="D1003" t="n">
        <v>1</v>
      </c>
      <c r="E1003" t="n">
        <v>0</v>
      </c>
      <c r="F1003">
        <f>HYPERLINK("https://www.reddit.com/r/eyetriage/comments/e0sbdo/distortion_when_i_turn_my_eyes_too_far_to_the_side/")</f>
        <v/>
      </c>
      <c r="G1003" t="inlineStr">
        <is>
          <t>2019-11-23 18:25:44</t>
        </is>
      </c>
      <c r="H1003" t="inlineStr"/>
    </row>
    <row r="1004">
      <c r="A1004" t="inlineStr">
        <is>
          <t>e0xjur</t>
        </is>
      </c>
      <c r="B1004" t="inlineStr">
        <is>
          <t>Question regarding the nature of a healthy peripheral vision</t>
        </is>
      </c>
      <c r="C1004" t="inlineStr">
        <is>
          <t>Hi! 
So, a few months ago my eye doc said that I might have glaucoma because of a large optic nerve cupping. I did all the usual tests, they all came back pretty good (a few borderline spots in my OCT) but he said that we'll have to check again for a few months before having a meaningful result. 
Needless to say, I'm basically scared shitless since then and always double check my visual field and whatnot. 
Now today at my girlfriends apartment I noticed something. There are lots of leftover "drill holes" in her bedroom walls and I noticed that when I don't look directly at them, some of them disappear in my peripheral vision. So what I'm asking is..
.. is it normal for your eyes to tune out some things in your peripheral vision or should I be worried about progressing vision loss? Note: The drill holes were near a window where light was shining through it, that's why I'm wondering if they might have gotten "tuned out" of my vision because of the difference in light. 
Thank you in advance.</t>
        </is>
      </c>
      <c r="D1004" t="n">
        <v>1</v>
      </c>
      <c r="E1004" t="n">
        <v>5</v>
      </c>
      <c r="F1004">
        <f>HYPERLINK("https://www.reddit.com/r/eyetriage/comments/e0xjur/question_regarding_the_nature_of_a_healthy/")</f>
        <v/>
      </c>
      <c r="G1004" t="inlineStr">
        <is>
          <t>2019-11-24 03:47:13</t>
        </is>
      </c>
      <c r="H1004" t="inlineStr"/>
    </row>
    <row r="1005">
      <c r="A1005" t="inlineStr">
        <is>
          <t>e0y95j</t>
        </is>
      </c>
      <c r="B1005" t="inlineStr">
        <is>
          <t>Why can't we simply extract floaters only and move on?</t>
        </is>
      </c>
      <c r="C1005" t="inlineStr">
        <is>
          <t xml:space="preserve"> I know that there's Floater Only Vitrectomy, but still most or all of the vitreous is extracted. Why do doctors bother with inducing a PVD and sucking most of the vitreous instead of  just sucking up the giant damn floater in 5 seconds and get out. Yes, maybe there might be some small potential formations left inside, but I think it is worth taking the giant one out with a minimally invasive procedure.
At this point I'm even prepared and motivated to fund developing a 2 in 1 device that combines illuminating and sucking limited amount of floaters.  Please show me what I'm missing, thank you.</t>
        </is>
      </c>
      <c r="D1005" t="n">
        <v>1</v>
      </c>
      <c r="E1005" t="n">
        <v>13</v>
      </c>
      <c r="F1005">
        <f>HYPERLINK("https://www.reddit.com/r/eyetriage/comments/e0y95j/why_cant_we_simply_extract_floaters_only_and_move/")</f>
        <v/>
      </c>
      <c r="G1005" t="inlineStr">
        <is>
          <t>2019-11-24 05:02:15</t>
        </is>
      </c>
      <c r="H1005" t="inlineStr"/>
    </row>
    <row r="1006">
      <c r="A1006" t="inlineStr">
        <is>
          <t>e17y03</t>
        </is>
      </c>
      <c r="B1006" t="inlineStr">
        <is>
          <t>Retinal damage from tv remote IR LED held a couple of inches from eyes</t>
        </is>
      </c>
      <c r="C1006" t="inlineStr">
        <is>
          <t>Could close (1-2 inches) exposure to the IR LED from a tv remote while a button is held down cause permanent retinal damage? Especially if the exposure was extended (15+ seconds)?</t>
        </is>
      </c>
      <c r="D1006" t="n">
        <v>1</v>
      </c>
      <c r="E1006" t="n">
        <v>2</v>
      </c>
      <c r="F1006">
        <f>HYPERLINK("https://www.reddit.com/r/eyetriage/comments/e17y03/retinal_damage_from_tv_remote_ir_led_held_a/")</f>
        <v/>
      </c>
      <c r="G1006" t="inlineStr">
        <is>
          <t>2019-11-24 16:47:26</t>
        </is>
      </c>
      <c r="H1006" t="inlineStr"/>
    </row>
    <row r="1007">
      <c r="A1007" t="inlineStr">
        <is>
          <t>e1955s</t>
        </is>
      </c>
      <c r="B1007" t="inlineStr">
        <is>
          <t>Why could my eyes be super red all of a sudden?</t>
        </is>
      </c>
      <c r="C1007" t="inlineStr">
        <is>
          <t>I didn’t do anything different than I have the past like 3 months and they just started looking red like 2 or so weeks ago. They don’t burn or itch at all. Any ideas what this could be? I do wear contacts.</t>
        </is>
      </c>
      <c r="D1007" t="n">
        <v>1</v>
      </c>
      <c r="E1007" t="n">
        <v>8</v>
      </c>
      <c r="F1007">
        <f>HYPERLINK("https://www.reddit.com/r/eyetriage/comments/e1955s/why_could_my_eyes_be_super_red_all_of_a_sudden/")</f>
        <v/>
      </c>
      <c r="G1007" t="inlineStr">
        <is>
          <t>2019-11-24 18:19:41</t>
        </is>
      </c>
      <c r="H1007" t="inlineStr"/>
    </row>
    <row r="1008">
      <c r="A1008" t="inlineStr">
        <is>
          <t>e1bt0p</t>
        </is>
      </c>
      <c r="B1008" t="inlineStr">
        <is>
          <t>Swollen and painful eye, randomly</t>
        </is>
      </c>
      <c r="C1008" t="inlineStr">
        <is>
          <t>22f, Caucasian, generally clean bill of health, 19 BMI, no medication except for the odd Ibuprofen for period pain.
Typically when I wake up, I sometimes feel a part of my eye or eyelid hurt a lot even when I blink, not even getting to the touching part. 
One or two times I saw the painful area clearly swollen, red and extremely tender, but it typically clears out in a day or two. Rarely the same spot twice in a row, last time I used mascara was about a year+ ago because it made my eyes water very much. 
No history of conjunctivitis or genetic disorders
Edit: most times it's barely noticeable, but last year my whole eyelid got so swollen that you could see it from half a room away.</t>
        </is>
      </c>
      <c r="D1008" t="n">
        <v>1</v>
      </c>
      <c r="E1008" t="n">
        <v>3</v>
      </c>
      <c r="F1008">
        <f>HYPERLINK("https://www.reddit.com/r/eyetriage/comments/e1bt0p/swollen_and_painful_eye_randomly/")</f>
        <v/>
      </c>
      <c r="G1008" t="inlineStr">
        <is>
          <t>2019-11-24 22:08:26</t>
        </is>
      </c>
      <c r="H1008" t="inlineStr"/>
    </row>
    <row r="1009">
      <c r="A1009" t="inlineStr">
        <is>
          <t>e1grca</t>
        </is>
      </c>
      <c r="B1009" t="inlineStr">
        <is>
          <t>Everything looks more blue in left eye and more yellow in right eye</t>
        </is>
      </c>
      <c r="C1009" t="inlineStr">
        <is>
          <t>I've noticed that in my left eye everything looks much more blue/cool toned while in my right eye everything looks warmer/yellow toned. Is the cause for concern?
I have been diagnosed with posterior uveitis and chorioretinitis but it has been under control with cyclosporine. My last eye appointment was a little less than 3 months ago.</t>
        </is>
      </c>
      <c r="D1009" t="n">
        <v>1</v>
      </c>
      <c r="E1009" t="n">
        <v>4</v>
      </c>
      <c r="F1009">
        <f>HYPERLINK("https://www.reddit.com/r/eyetriage/comments/e1grca/everything_looks_more_blue_in_left_eye_and_more/")</f>
        <v/>
      </c>
      <c r="G1009" t="inlineStr">
        <is>
          <t>2019-11-25 06:27:45</t>
        </is>
      </c>
      <c r="H1009" t="inlineStr"/>
    </row>
    <row r="1010">
      <c r="A1010" t="inlineStr">
        <is>
          <t>e1icyn</t>
        </is>
      </c>
      <c r="B1010" t="inlineStr">
        <is>
          <t>What's this yellow ball?</t>
        </is>
      </c>
      <c r="C1010" t="inlineStr">
        <is>
          <t>Also Do I have Distichiasis? Here's the [Pic](https://i.imgur.com/boMUs2P.jpg)</t>
        </is>
      </c>
      <c r="D1010" t="n">
        <v>1</v>
      </c>
      <c r="E1010" t="n">
        <v>6</v>
      </c>
      <c r="F1010">
        <f>HYPERLINK("https://www.reddit.com/r/eyetriage/comments/e1icyn/whats_this_yellow_ball/")</f>
        <v/>
      </c>
      <c r="G1010" t="inlineStr">
        <is>
          <t>2019-11-25 08:25:11</t>
        </is>
      </c>
      <c r="H1010" t="inlineStr"/>
    </row>
    <row r="1011">
      <c r="A1011" t="inlineStr">
        <is>
          <t>e1k2ba</t>
        </is>
      </c>
      <c r="B1011" t="inlineStr">
        <is>
          <t>Twitching in the peripheral vision field?</t>
        </is>
      </c>
      <c r="C1011" t="inlineStr">
        <is>
          <t>I have been using phone at night before two years and i after some days i noticed my vision twitching in the peripheral side. Is this a cause for concern?
It looks kinda like this
[pic](https://en.wikipedia.org/wiki/Scotoma#/media/File:Scintillating_scotoma.gif)</t>
        </is>
      </c>
      <c r="D1011" t="n">
        <v>1</v>
      </c>
      <c r="E1011" t="n">
        <v>3</v>
      </c>
      <c r="F1011">
        <f>HYPERLINK("https://www.reddit.com/r/eyetriage/comments/e1k2ba/twitching_in_the_peripheral_vision_field/")</f>
        <v/>
      </c>
      <c r="G1011" t="inlineStr">
        <is>
          <t>2019-11-25 10:15:13</t>
        </is>
      </c>
      <c r="H1011" t="inlineStr"/>
    </row>
    <row r="1012">
      <c r="A1012" t="inlineStr">
        <is>
          <t>e1k7mb</t>
        </is>
      </c>
      <c r="B1012" t="inlineStr">
        <is>
          <t>Distortion when I turn my eyes too far to the side</t>
        </is>
      </c>
      <c r="C1012" t="inlineStr">
        <is>
          <t>18 year old male, I have an astigmatism in both eyes, plus I'm nearsighted if that helps. 
I notice when I turn my eyes way to the side (like when I'm looking behind me) I get a little distortion. Like a circle that gets all wiggly? I don't know how to explain it. Either way, it scares me. No dark spots in my peripheral, or "curtains" as with retinal detachment. (Though for a little while I was having some flashes, floaters etc. I've always had floaters though. I do have an appointment next week as I need to glasses anyways. But I wish it was sooner because I'm starting to lose my mind here) but just a weird, mild distortion in one place only when doing this specifically with my eyes. If I look too far up, like if you were to try and roll your eyes into the back of your head, I get two weird bluish circles that appear and get brighter or dimmer depending on how I move my eyes. In low light if I move my eyes really far to the side and down slightly I've now been noticing like, flickering? Idk if that's my eyes shaking and my eyelashes getting in the way but I figure I might as well add that. Would anyone know what this is? Apart from my normal shitty eyesight I have no issues. Thanks in advance!
(I posted this a couple days ago but am posting now with some revisions)</t>
        </is>
      </c>
      <c r="D1012" t="n">
        <v>1</v>
      </c>
      <c r="E1012" t="n">
        <v>5</v>
      </c>
      <c r="F1012">
        <f>HYPERLINK("https://www.reddit.com/r/eyetriage/comments/e1k7mb/distortion_when_i_turn_my_eyes_too_far_to_the_side/")</f>
        <v/>
      </c>
      <c r="G1012" t="inlineStr">
        <is>
          <t>2019-11-25 10:24:35</t>
        </is>
      </c>
      <c r="H1012" t="inlineStr"/>
    </row>
    <row r="1013">
      <c r="A1013" t="inlineStr">
        <is>
          <t>e20c3t</t>
        </is>
      </c>
      <c r="B1013" t="inlineStr">
        <is>
          <t>Cataract surgery on left eye for 19 y/o</t>
        </is>
      </c>
      <c r="C1013" t="inlineStr">
        <is>
          <t>The title says it all. I was born with it and my doctors didn't catch it until I was 13 y/o and my vision was somewhere around 80/30. I'm going to be getting Acrysof IQ PanOptix Trifocal lens- I had the choice between this and a less expensive lens (not sure of the name off the top of my head).   
This lens is meant to eliminate the need for reading glasses as I age. I guess I'm just looking for experiences with these lenses that this community might have had? I'm sorry if this is put together poorly- I'm a little spazzed out right now (just got my surgery date haha)  
Thanks a bunch</t>
        </is>
      </c>
      <c r="D1013" t="n">
        <v>1</v>
      </c>
      <c r="E1013" t="n">
        <v>7</v>
      </c>
      <c r="F1013">
        <f>HYPERLINK("https://www.reddit.com/r/eyetriage/comments/e20c3t/cataract_surgery_on_left_eye_for_19_yo/")</f>
        <v/>
      </c>
      <c r="G1013" t="inlineStr">
        <is>
          <t>2019-11-26 08:29:54</t>
        </is>
      </c>
      <c r="H1013" t="inlineStr"/>
    </row>
    <row r="1014">
      <c r="A1014" t="inlineStr">
        <is>
          <t>e267sc</t>
        </is>
      </c>
      <c r="B1014" t="inlineStr">
        <is>
          <t>Double vision in one eye - at a loss for ideas</t>
        </is>
      </c>
      <c r="C1014" t="inlineStr">
        <is>
          <t>Hello everyone,
I've recently gone to an optometrist 3 times and had my glasses replaced once already. But I've noticed that in one eye (left), I have double vision (or "ghosting" as some have described it). I figured an image is more helpful, so:
Here is what it looks like with my new glasses on (left eye only):
https://preview.redd.it/0v4vlsbty3141.png?width=1288&amp;amp;format=png&amp;amp;auto=webp&amp;amp;s=0073ee2183c0943de7729091cea4a53656a1ee82
Additional information: 
* Squinting improves the double vision / ghosting quite a bit.
* The double vision is worst when looking at a high-contrast background (eg as above, white text on black background).
So do I keep going back to my optometrist for rechecks? Do I go to an ophthalmologist for a further workup? Or is this something like Astigmatism or Keratoconus? Just wondering if someone has come across this already. I'm just not really sure what to do / where to go next.</t>
        </is>
      </c>
      <c r="D1014" t="n">
        <v>1</v>
      </c>
      <c r="E1014" t="n">
        <v>8</v>
      </c>
      <c r="F1014">
        <f>HYPERLINK("https://www.reddit.com/r/eyetriage/comments/e267sc/double_vision_in_one_eye_at_a_loss_for_ideas/")</f>
        <v/>
      </c>
      <c r="G1014" t="inlineStr">
        <is>
          <t>2019-11-26 14:54:31</t>
        </is>
      </c>
      <c r="H1014" t="inlineStr"/>
    </row>
    <row r="1015">
      <c r="A1015" t="inlineStr">
        <is>
          <t>e287z7</t>
        </is>
      </c>
      <c r="B1015" t="inlineStr">
        <is>
          <t>A month of ocular rosacea pain - looking for advice</t>
        </is>
      </c>
      <c r="C1015" t="inlineStr">
        <is>
          <t>For the last month, I've had moderate to severe inflammation in my eye, tear duct, and eye bag area. I get sharp pains in my tear duct, some dryness, and I am unable to use electronic devices because of extreme discomfort. I am a woman in my late 20's.
Photo: http://imgur.com/a/9o3RnWk
My opthamologist diagnosed my as having some blocked meibomian glands and ocular rosacea. For the last 3 weeks, I have been on the following:
- Lotemax 2x a day
- 100mg Doxycycline
- Warm eye compress 2x a day
- Preservative-free eye drops as needed
- (I have had punctal plugs in my tear ducts for 10 years)
I'm seen no improvement and am in chronic discomfort and have been unable to work for a month.
My questions:
- Any idea why so much of my inflammation is in my eye bag area? It's the most painful area of my eye. Is there a topical cream I could ask for to reduce this inflammation?
- Is it normal for antibiotics to take over 3 weeks to help ocular rosacea?
- If antibiotics don't help, do you have any idea what treatments I should ask my doctor about?
Any advice is greatly appreciated.</t>
        </is>
      </c>
      <c r="D1015" t="n">
        <v>1</v>
      </c>
      <c r="E1015" t="n">
        <v>1</v>
      </c>
      <c r="F1015">
        <f>HYPERLINK("https://www.reddit.com/r/eyetriage/comments/e287z7/a_month_of_ocular_rosacea_pain_looking_for_advice/")</f>
        <v/>
      </c>
      <c r="G1015" t="inlineStr">
        <is>
          <t>2019-11-26 17:18:45</t>
        </is>
      </c>
      <c r="H1015" t="inlineStr"/>
    </row>
    <row r="1016">
      <c r="A1016" t="inlineStr">
        <is>
          <t>e28cq2</t>
        </is>
      </c>
      <c r="B1016" t="inlineStr">
        <is>
          <t>Issue with Left Eye</t>
        </is>
      </c>
      <c r="C1016" t="inlineStr">
        <is>
          <t>So a couple of weeks ago I noticed when I was driving at night all lights would have a circle aura around them.  This was only in my left eye, if I closed it my right eye didn't have this issue.  I did some research and found that it could either be astigmatism or cataracts.  So I scheduled an eye exam and I paid extra for the test that gets a real good look at the eye.  My eye health was great.  The doctor replied to my concerns saying its probably dry eyes and gave me some artificial tears.  Well the tears didn't help my issue.  Luckily I have secondary vision insurance and was able to get a second opinion.  Eye health still came back good but I was told it was probably my astigmatism.  Here is the thing though, both eye doctors saw no change in my left eye's astigmatism from my current prescription (I wear glasses).
I was wondering if anyone could share some advice because driving at night is getting very frustrating.</t>
        </is>
      </c>
      <c r="D1016" t="n">
        <v>1</v>
      </c>
      <c r="E1016" t="n">
        <v>6</v>
      </c>
      <c r="F1016">
        <f>HYPERLINK("https://www.reddit.com/r/eyetriage/comments/e28cq2/issue_with_left_eye/")</f>
        <v/>
      </c>
      <c r="G1016" t="inlineStr">
        <is>
          <t>2019-11-26 17:28:36</t>
        </is>
      </c>
      <c r="H1016" t="inlineStr"/>
    </row>
    <row r="1017">
      <c r="A1017" t="inlineStr">
        <is>
          <t>e2bri6</t>
        </is>
      </c>
      <c r="B1017" t="inlineStr">
        <is>
          <t>How do retained lens fragments present after cataract surgery?</t>
        </is>
      </c>
      <c r="C1017" t="inlineStr">
        <is>
          <t xml:space="preserve">
How do retained lens fragments present after an uneventful cataract surgery?  I’m a patient. Very young and very healthy for cataract surgery. 
Multiple follow up checks and no fragments have been seen. Scheduled soon with a retina specialist. 
Symptoms are single optic nerve inflammation. They describe it as being inflamed, but not csf pressure high inflamed.  Pink eye type symptoms when not on prednisone drops. Without drops pink eye symptoms return. After waking up very slight visual disturbance. Goes away and does not return until the following day wake up. Eye always feels slightly irritated.  
Vision perfect on all tests. Pressures normal. MRI normal. Blood work, a lot of blood work, normal and no positives. Sleep apnea is possible. Waiting on sleep study results. 
Other possibles are optic neuropathy? High csf resulting in single eye papilledema? Any other possible reasons?</t>
        </is>
      </c>
      <c r="D1017" t="n">
        <v>1</v>
      </c>
      <c r="E1017" t="n">
        <v>0</v>
      </c>
      <c r="F1017">
        <f>HYPERLINK("https://www.reddit.com/r/eyetriage/comments/e2bri6/how_do_retained_lens_fragments_present_after/")</f>
        <v/>
      </c>
      <c r="G1017" t="inlineStr">
        <is>
          <t>2019-11-26 22:14:29</t>
        </is>
      </c>
      <c r="H1017" t="inlineStr"/>
    </row>
    <row r="1018">
      <c r="A1018" t="inlineStr">
        <is>
          <t>e2e7qm</t>
        </is>
      </c>
      <c r="B1018" t="inlineStr">
        <is>
          <t>Why are my eyes getting red/bloodshot after waking up?</t>
        </is>
      </c>
      <c r="C1018" t="inlineStr">
        <is>
          <t>Hello! Why are my eyes getting red/bloodshot immediately after waking up? They are fine for 5 minutes and then they get really bloodshot. And they stay that way for at least 2-3 hours. After that, they get back to normal. 
I am suffering from dry eyes (low quality tears, they evaporate too fast), but I have treatment for it. During the day I'm using preservative-free artificial tears and during the night I'm using a gel that's also preservative-free. Sometimes, my eyes would feel a little bit dry when I wake up, but other times they feel quite moisturised and wet. But they are still getting bloodshot either way. 
Why is this happening? Is it because of the dry eyes? Even if I am using the eye drops immediately after waking up?</t>
        </is>
      </c>
      <c r="D1018" t="n">
        <v>1</v>
      </c>
      <c r="E1018" t="n">
        <v>6</v>
      </c>
      <c r="F1018">
        <f>HYPERLINK("https://www.reddit.com/r/eyetriage/comments/e2e7qm/why_are_my_eyes_getting_redbloodshot_after_waking/")</f>
        <v/>
      </c>
      <c r="G1018" t="inlineStr">
        <is>
          <t>2019-11-27 02:25:25</t>
        </is>
      </c>
      <c r="H1018" t="inlineStr"/>
    </row>
    <row r="1019">
      <c r="A1019" t="inlineStr">
        <is>
          <t>e2thbn</t>
        </is>
      </c>
      <c r="B1019" t="inlineStr">
        <is>
          <t>Normal saline for RGP rinsing?</t>
        </is>
      </c>
      <c r="C1019" t="inlineStr">
        <is>
          <t>Posted this a few hours ago in r/keratoconus, but didn't quite get an answer.
I was diagnosed with keratoconus a couple of months ago, and fitted for the first time in my life with contacts (RGPs as stated above). They told me to buy a cleaning kit consisting of a conditioner, a soapy white liquid with a red cap described as "cleaner" (both if those in a single box labeled "gp system", from Avizor) and a big bottle of multipurpose cleaning solution.
Off I went with a sharper vision than I had in the last 7-10 years. I still see some halos at night, and I'll address that next time I go, but it's a huge improvement.
Anyway, they gave me the following cleaning regime after taking out the contacts at night:  
-Rinse cleaning case with the multipurpose solution.  
-Put a drop or two of the cleaning liquid on each lens.  
-Rub firmly but gently each lens for about half a minute.  
-Rinse with the multipurpose solution until it runs clear and all the "soap" has washed away.  
-Store in conditioner.
After doing a bit of research (couldn't quite find what I was looking for) I was left wondering: can I use sterile normal saline solution for rinsing that soap? I went through my bottle of multipurpose (350 ml, costing about $180 MXN) in like 20 days and it really feels wasteful, even more so considering that the saline is almost 8X cheaper.  
I know normal saline doesn't have the antiseptic properties of the multipurpose, but I don't see why I can't rinse the soap with that if I'm still storing my lenses in the conditioner, which seems to have about the same ingredients as the MP. I don't have any issue in using MP for the last couple of rinses if needed, it's just that rinsing them from the beginning until no soap is left really uses up a lot.
I tried asking about this at the hospital, but I was told some BS sounding stuff among the lines of "you can't do that because the saline will form mineral deposits". Tried to argue that the multipurpose was &amp;gt;99% saline, just with a bit more added stuff, but they weren't listening. Mind you, these people are the opticians, not my ophthalmologist, I couldn't really ask him directly as it is an extremely busy hospital and everything medical is by appointment only.</t>
        </is>
      </c>
      <c r="D1019" t="n">
        <v>1</v>
      </c>
      <c r="E1019" t="n">
        <v>2</v>
      </c>
      <c r="F1019">
        <f>HYPERLINK("https://www.reddit.com/r/eyetriage/comments/e2thbn/normal_saline_for_rgp_rinsing/")</f>
        <v/>
      </c>
      <c r="G1019" t="inlineStr">
        <is>
          <t>2019-11-27 21:40:33</t>
        </is>
      </c>
      <c r="H1019" t="inlineStr"/>
    </row>
    <row r="1020">
      <c r="A1020" t="inlineStr">
        <is>
          <t>e2uinz</t>
        </is>
      </c>
      <c r="B1020" t="inlineStr">
        <is>
          <t>Strobe light sensation happening but only in dark room? Previously diagnosed with Uveitis</t>
        </is>
      </c>
      <c r="C1020" t="inlineStr">
        <is>
          <t>Hey all! Hope this is an appropriate question. 
I'm 26, female, take Humira and lotemax (I think that's the name) and Xiidra. 
In June I got diagnosed with Uveitis from my Opthalmologists. I had been struggling with eye pain and other random symptoms for a few months when they caught it. Both eyes, anterior Uveitis. My eye doctor gave me all kinds of drops and eventually I saw a Rheumatologist who started Humira. 
Fast forward to now, and the Humira helped the Uveitis but I developed ear pain that an ENT hasn't figured out yet. Three weeks ago I started having major sinus issues and ended up back of predinsone and antibiotics so I can't take my Humira. 
Tonight I laid down for bed and the second I closed my eyes I saw really bright flashing lights, kind of like strobe lights. They were intense enough to be uncomfortable so I turned the light on and although they persisted for a few minutes they went away. Lay back down, flashing lights start again. I am also seeing weird blobs of color moving around. The lights are in both my eyes and in the peripherals mostly. 
Curious- is this an issue I need to have looked at? Tomorrow is Thanksgiving and I'm going out of town. 
I figured if it was a retina issue it would be even with the lights on? I just also figured I was going crazy and not having eye pain until it was actually confirmed I was having eye pain. 
It should be said since I've been off Humira I've noticed I'm having a flare of uveitits, I don't know if that is relevant.</t>
        </is>
      </c>
      <c r="D1020" t="n">
        <v>1</v>
      </c>
      <c r="E1020" t="n">
        <v>3</v>
      </c>
      <c r="F1020">
        <f>HYPERLINK("https://www.reddit.com/r/eyetriage/comments/e2uinz/strobe_light_sensation_happening_but_only_in_dark/")</f>
        <v/>
      </c>
      <c r="G1020" t="inlineStr">
        <is>
          <t>2019-11-27 23:19:08</t>
        </is>
      </c>
      <c r="H1020" t="inlineStr"/>
    </row>
    <row r="1021">
      <c r="A1021" t="inlineStr">
        <is>
          <t>e3dcew</t>
        </is>
      </c>
      <c r="B1021" t="inlineStr">
        <is>
          <t>Floaters once more</t>
        </is>
      </c>
      <c r="C1021" t="inlineStr">
        <is>
          <t>What can be the cause of a sudden appeareance of a lot of floaters in adolescents in otherwise healthy eyes with very low myopia (-0.5) as detected in an eye exam? Ive got a complete eye exam and everything came back clear except for floaters.</t>
        </is>
      </c>
      <c r="D1021" t="n">
        <v>1</v>
      </c>
      <c r="E1021" t="n">
        <v>0</v>
      </c>
      <c r="F1021">
        <f>HYPERLINK("https://www.reddit.com/r/eyetriage/comments/e3dcew/floaters_once_more/")</f>
        <v/>
      </c>
      <c r="G1021" t="inlineStr">
        <is>
          <t>2019-11-29 02:58:44</t>
        </is>
      </c>
      <c r="H1021" t="inlineStr"/>
    </row>
    <row r="1022">
      <c r="A1022" t="inlineStr">
        <is>
          <t>e3f087</t>
        </is>
      </c>
      <c r="B1022" t="inlineStr">
        <is>
          <t>Greetings! I have had this terrifying symptom (worsening) for a couple of years. I've been to a couple Opthalmologist, and now I have a new symptom- and an example of what it looks like. (No answers so far) Would love to have some ideas or insight before I go to my next appointment next week.</t>
        </is>
      </c>
      <c r="C1022" t="inlineStr">
        <is>
          <t>Symptom #1.  So for a couple of years now (maybe four) I have had intermittent-or pulsing - "missing" vision in both eyes in my central vision.  If I have both eyes open, one or the other always compensates for the lack of vision in the other and so I really only notice the anomaly if I have one eye closed, or am searching detail on a 3D object.  I have had visual field tests.  The eye always "wakes" for the stimulation of light.  In fact, I could be gazing at a lamp, and everything around the lamp goes dark.  But!  If I stir the eye, everything comes back into view.  This is always happening.  Not a migraine.
Symptom #2 (new symptom). I am going to see a new Opthalmologist (I just moved to this area). This issue started a couple of months ago.  I only notice it when fixing my gaze on a blank lit wall, while in a dark room (so staring into the hallway from my bed) and more importantly, while watching TV.  I notice it frequently while watching TV, but NOT while using my phone or computer screen. So, distance only.
[Here is a flawless example](https://gfycat.com/silverglumdingo) of what it looks like when it happens (and unless I really try to fix my gaze to search, I notice it intermittently, but with frequency). The dots in the poor quality gif- it looks just like that.  And they "move" along with the image I'm watching. And then I stop noticing it or it goes away.  It happens so suddenly and each time it startles me, and is giving me anxiety.
I have dry eyes, for which I take eye drops.  But I've also noticed that when I wake up, I see a photo negative type image of a honeycomb pattern (actually weirdly uniform pattern), and the lines are shimmering, and the inner parts look almost like warping in space or something.  I can't put my finger on how, but the honey comb seems related to both dry eye as well as the weird dots issue.  This goes away after I've fully woken up usually after 4 mins or so.
[Here is a crappy drawing](https://imgur.com/a/CbTlJrM) I made one morning based on the pattern.
I'm in my 30s, a bit overweight, and have some high BP issues.  I have an astigmatism in my left eye.
Also, I AM scheduled to see an optho next week...just hoping for some insight on what are the "right" questions I should be asking.</t>
        </is>
      </c>
      <c r="D1022" t="n">
        <v>1</v>
      </c>
      <c r="E1022" t="n">
        <v>7</v>
      </c>
      <c r="F1022">
        <f>HYPERLINK("https://www.reddit.com/r/eyetriage/comments/e3f087/greetings_i_have_had_this_terrifying_symptom/")</f>
        <v/>
      </c>
      <c r="G1022" t="inlineStr">
        <is>
          <t>2019-11-29 05:52:46</t>
        </is>
      </c>
      <c r="H1022" t="inlineStr"/>
    </row>
    <row r="1023">
      <c r="A1023" t="inlineStr">
        <is>
          <t>e4bs7d</t>
        </is>
      </c>
      <c r="B1023" t="inlineStr">
        <is>
          <t>Is this normal?</t>
        </is>
      </c>
      <c r="C1023" t="inlineStr">
        <is>
          <t>Whenever I look at a light theres a spot where that light was I used to only get this if I stared at a light but now if I see it in the side of my vision there's a spot also if I look at a tv screen then the scene of a movie turns dark I see the previous scene sorry if this is normal I'm just really scared</t>
        </is>
      </c>
      <c r="D1023" t="n">
        <v>1</v>
      </c>
      <c r="E1023" t="n">
        <v>2</v>
      </c>
      <c r="F1023">
        <f>HYPERLINK("https://www.reddit.com/r/eyetriage/comments/e4bs7d/is_this_normal/")</f>
        <v/>
      </c>
      <c r="G1023" t="inlineStr">
        <is>
          <t>2019-11-30 21:54:30</t>
        </is>
      </c>
      <c r="H1023" t="inlineStr"/>
    </row>
    <row r="1024">
      <c r="A1024" t="inlineStr">
        <is>
          <t>e4n24u</t>
        </is>
      </c>
      <c r="B1024" t="inlineStr">
        <is>
          <t>Vitreous detachment took some of my macula with it.</t>
        </is>
      </c>
      <c r="C1024" t="inlineStr">
        <is>
          <t>In mid November I started to see a circular flash in my left eye and an area right in my central vision was obscured. It reminded me of the first part of a migraine where my central vision is interrupted. A visit to my optometrist produced the diagnosis of the vitreous in the midst of detaching and a large floater right in the middle of my vision. She said it likely that a small piece of my macular was pulled off and that is what I’m seeing. She said to give it a couple of weeks and I won’t see it anymore, my brain will account for it. However this is not happening. I find it hard to read (books, road signs, emails) and is affecting my job and home life. Is the diagnosis likely correct and is there anything to make this go away?</t>
        </is>
      </c>
      <c r="D1024" t="n">
        <v>1</v>
      </c>
      <c r="E1024" t="n">
        <v>4</v>
      </c>
      <c r="F1024">
        <f>HYPERLINK("https://www.reddit.com/r/eyetriage/comments/e4n24u/vitreous_detachment_took_some_of_my_macula_with_it/")</f>
        <v/>
      </c>
      <c r="G1024" t="inlineStr">
        <is>
          <t>2019-12-01 12:22:14</t>
        </is>
      </c>
      <c r="H1024" t="inlineStr"/>
    </row>
    <row r="1025">
      <c r="A1025" t="inlineStr">
        <is>
          <t>e4s662</t>
        </is>
      </c>
      <c r="B1025" t="inlineStr">
        <is>
          <t>Eyes feel sore</t>
        </is>
      </c>
      <c r="C1025" t="inlineStr">
        <is>
          <t>Ever since I woke up when I look left right up or down my eyes hurt is this something I should be worried about</t>
        </is>
      </c>
      <c r="D1025" t="n">
        <v>1</v>
      </c>
      <c r="E1025" t="n">
        <v>0</v>
      </c>
      <c r="F1025">
        <f>HYPERLINK("https://www.reddit.com/r/eyetriage/comments/e4s662/eyes_feel_sore/")</f>
        <v/>
      </c>
      <c r="G1025" t="inlineStr">
        <is>
          <t>2019-12-01 18:28:40</t>
        </is>
      </c>
      <c r="H1025" t="inlineStr"/>
    </row>
    <row r="1026">
      <c r="A1026" t="inlineStr">
        <is>
          <t>e4sknu</t>
        </is>
      </c>
      <c r="B1026" t="inlineStr">
        <is>
          <t>Recurrent dry spot on edge of iris?</t>
        </is>
      </c>
      <c r="C1026" t="inlineStr">
        <is>
          <t>Hey! So I have this spot on the edge of my iris thats been feeling super dry for like a week. Here’s the story:
Two months ago, I either irritated my eyes by getting waterproof mascara in them (sometimes I miss and poke my eye/contact), or the smoke from a bonfire that night irritated the shit out of them. Had red eyes for 4 days. Then normal.
Occasionally since then, one eye will get inflamed in the same way but to a lesser extent. Two different tubes of mascara, both new/newer, one waterproof one not. I’ve switched contacts at least once in this time, and rinsed and let my contact case dry out in between contact sets.
Now, there’s a spot on my eye that’s just not feeling right. It’s about 1-2 mm wide, maybe 2-4 mm tall, and is right where the redness always seems to start—in line with the pupil but on the nose-side of the iris, right at the border. It constantly feels dry there, and I can’t wear contacts for more than a few hours without it bothering me. I’ve been wearing my glasses for the better part of a week now, with only mild improvement. Have been using some lubricating eye drops, not sure it’s helping.
Any clue as to what’s going on? It’s not painful, just confusing. And ideally I’d like to be able to wear my contacts again, lol!
Thanks!</t>
        </is>
      </c>
      <c r="D1026" t="n">
        <v>1</v>
      </c>
      <c r="E1026" t="n">
        <v>2</v>
      </c>
      <c r="F1026">
        <f>HYPERLINK("https://www.reddit.com/r/eyetriage/comments/e4sknu/recurrent_dry_spot_on_edge_of_iris/")</f>
        <v/>
      </c>
      <c r="G1026" t="inlineStr">
        <is>
          <t>2019-12-01 19:00:42</t>
        </is>
      </c>
      <c r="H1026" t="inlineStr"/>
    </row>
    <row r="1027">
      <c r="A1027" t="inlineStr">
        <is>
          <t>e55lc3</t>
        </is>
      </c>
      <c r="B1027" t="inlineStr">
        <is>
          <t>360 Laser Cerclage</t>
        </is>
      </c>
      <c r="C1027" t="inlineStr">
        <is>
          <t>Hello. I've posted here for advice before and was respectfully looking to gather some opinions on a medical procedure that has been recommended to me. I posted this earlier today in the optometry subreddit and wanted to do so here as well.
I am a highly myopic (OD: -12.00, -3.25 | OS: -9,-3.5) male in my late 20s. High myopia runs in my family but there have been no cases of true vision impairment that I am aware of. About a year ago, after my first ever dilated exam I was diagnosed with asymptomatic lattice degeneration. At the time, it was recommended that this condition simply be observed and that no further action be taken. I had my last exam at the same facility but with a different doctor, who recommended that I undergo 360 Laser Cerclage even though my condition hadn't changed since the last time I was in. I tentatively agreed and my pre-op screening is on Friday. I was hoping that I could ask you folks a few questions so that I have a basis for comparison when I ask my doctors the same thing later this week. My questions are as follows:
1. How much does this procedure actually reduce my risk for experiencing an RD? Enough so that one might say that I *need* to have it?
2. The form I was given states that some risks this surgery poses include RD, cataract, inflammation, decreased vision, and the need for additional surgeries. How commonly do these addition risks occur?
3. I already struggle with floaters. Will this procedure create more?
4. Some doctors believe that prophylactically treating lattice degeneration makes no difference in high myopes. In your experience, is this true?
Any insight members of this community can give me regarding this procedure would be very much appreciated. I've never had to undergo any kind of medical procedure to speak of so this is a little nerve-racking for me. Thank you very much in advance.</t>
        </is>
      </c>
      <c r="D1027" t="n">
        <v>1</v>
      </c>
      <c r="E1027" t="n">
        <v>1</v>
      </c>
      <c r="F1027">
        <f>HYPERLINK("https://www.reddit.com/r/eyetriage/comments/e55lc3/360_laser_cerclage/")</f>
        <v/>
      </c>
      <c r="G1027" t="inlineStr">
        <is>
          <t>2019-12-02 13:10:58</t>
        </is>
      </c>
      <c r="H1027" t="inlineStr"/>
    </row>
    <row r="1028">
      <c r="A1028" t="inlineStr">
        <is>
          <t>e5blu4</t>
        </is>
      </c>
      <c r="B1028" t="inlineStr">
        <is>
          <t>Eyes hurt so fucking bad</t>
        </is>
      </c>
      <c r="C1028" t="inlineStr">
        <is>
          <t>Yesterday morning I felt pressure in my head like I was about to pass out it subsides but another pain comes a pain around my eyeballs when I look left right or up and down should I be worried</t>
        </is>
      </c>
      <c r="D1028" t="n">
        <v>1</v>
      </c>
      <c r="E1028" t="n">
        <v>1</v>
      </c>
      <c r="F1028">
        <f>HYPERLINK("https://www.reddit.com/r/eyetriage/comments/e5blu4/eyes_hurt_so_fucking_bad/")</f>
        <v/>
      </c>
      <c r="G1028" t="inlineStr">
        <is>
          <t>2019-12-02 20:28:25</t>
        </is>
      </c>
      <c r="H1028" t="inlineStr"/>
    </row>
    <row r="1029">
      <c r="A1029" t="inlineStr">
        <is>
          <t>e5iwh1</t>
        </is>
      </c>
      <c r="B1029" t="inlineStr">
        <is>
          <t>Question about Symptoms of Healing Eye Scratch</t>
        </is>
      </c>
      <c r="C1029" t="inlineStr">
        <is>
          <t>I managed to get jabbed in my right eye with a finger last Friday evening. Saturday, my eye would water and hurt intermittently, but I could otherwise see fine out of it. Same story Sunday. I had a late flight into LA Sunday night, and woke up in my hotel Monday morning and the vision in my right eye was blurry and wouldn't clear up.  
I went to urgent care, they dyed my eye and confirmed there is a scratch on the top of the eye (not the cornea I believe) and gave me antibiotic drops and recommended sleep to keep the eye closed. I slept most of the day yesterday and it seemed like the blurriness was SLIGHTLY better before bed last night. But I woke up again with blurred vision as bad as yesterday morning.  
I'm sure I just need to keep taking the drops (I'm also taking ibuprofen), but **I'm primarily looking for an explanation of why my vision went blurry 2.5 days AFTER the injury? Does swelling during the healing process cause blurred vision that maybe didn't happen during the first couple of days?**  
I'm mostly trying not to freak out, and also wondering how long I should give it to heal before being concerned enough to go to an eye specialist.  
Any input would be greatly appreciated!</t>
        </is>
      </c>
      <c r="D1029" t="n">
        <v>1</v>
      </c>
      <c r="E1029" t="n">
        <v>0</v>
      </c>
      <c r="F1029">
        <f>HYPERLINK("https://www.reddit.com/r/eyetriage/comments/e5iwh1/question_about_symptoms_of_healing_eye_scratch/")</f>
        <v/>
      </c>
      <c r="G1029" t="inlineStr">
        <is>
          <t>2019-12-03 07:43:45</t>
        </is>
      </c>
      <c r="H1029" t="inlineStr"/>
    </row>
    <row r="1030">
      <c r="A1030" t="inlineStr">
        <is>
          <t>e5mbpp</t>
        </is>
      </c>
      <c r="B1030" t="inlineStr">
        <is>
          <t>Ophthalmologist is stumped</t>
        </is>
      </c>
      <c r="C1030" t="inlineStr">
        <is>
          <t>I have an appointment next week to see a retina specialist, but I thought it couldn't hurt to see if anyone had any idea what could be wrong with me. I've seen my ophthalmologist four times over the last month, plus getting a second opinion from another ophthalmologist.
I'm 33, and about a month ago I had a dark spot appear in my vision in my left eye. I was examined by my ophthalmologist, and he said he saw one small hemorrhage in each eye (it was far into my peripheral vision in my right eye). He originally suspected diabetes or high blood pressure, but some tests from my primary doctor ruled those out. The hemorrhages showed up immediately after being upside down for a little while, so he suspected it may have been the result of increased pressure in my eyes from that. The blood tests showed high cholesterol and some slightly elevated markers for inflammation (positive ANA, C-reactive protein 0.6, sed rate 25). I have a skin condition called hidradenitis suppurativa that could be responsible for these, though.
The next week, I saw another dark spot appear in my vision in the left eye, but it was different this time. It was more like the spot that appears when you look at a bright light and then look away. It was intense, but only lasted for about 20 seconds. I was just sitting on the couch reading at the time, not looking at anything bright. On exam, my ophthalmologist didn't see anything abnormal. I've experienced these spots a few more times since then, usually when I'm at rest, but they always resolve very quickly.
The week after THAT, I noticed that I had a new floater in my left eye and a bunch of new floaters in my right eye. I had ANOTHER exam, and he wasn't even able to see any floaters. He didn't see a PVD or anything else abnormal, just said that my hemorrhages were healing up well. The week after this I got a second opinion, and he didn't see anything either.
Last night, I had what I thought was another hemorrhage appear in my left eye. It was smaller than the original hemorrhage. It started off as a small, very distinct spot that was slightly oblong. After about 10-15 minutes, the borders had spread out irregularly and it had grown a little bit. After an hour, it had grown a little more and become less distinct with fuzzy borders. When I woke up the next morning, I couldn't see it anymore. I saw my ophthalmologist today, and he didn't see any sign of another hemorrhage. Again, he said that my eyes looked perfect - the hemorrhage in my left eye was mostly healed, and the one one in the right eye was completely gone.
He said he doesn't really know what's going on. He referred me to a retina specialist, and he wants my primary doctor to send me for a carotid doppler, even though the symptoms don't really seem to match an arterial blockage. I don't really seem to have other symptoms - no flashes, no blurred vision, etc. Does anyone have any ideas on what could be going on?</t>
        </is>
      </c>
      <c r="D1030" t="n">
        <v>1</v>
      </c>
      <c r="E1030" t="n">
        <v>7</v>
      </c>
      <c r="F1030">
        <f>HYPERLINK("https://www.reddit.com/r/eyetriage/comments/e5mbpp/ophthalmologist_is_stumped/")</f>
        <v/>
      </c>
      <c r="G1030" t="inlineStr">
        <is>
          <t>2019-12-03 11:37:44</t>
        </is>
      </c>
      <c r="H1030" t="inlineStr"/>
    </row>
    <row r="1031">
      <c r="A1031" t="inlineStr">
        <is>
          <t>e5pl6j</t>
        </is>
      </c>
      <c r="B1031" t="inlineStr">
        <is>
          <t>Sudden double vision</t>
        </is>
      </c>
      <c r="C1031" t="inlineStr">
        <is>
          <t>Last weekend I left my house around noon to run some errands, and was overwhelmed by an onset of double vision when I tried to focus on objects down the street. Things at room distance appear less doubled, so I may have been seeing double since waking up in the morning, and not noticed it until I left my apartment to go outside. My distance vision is still double almost a week later.
Some background is that I've been working on a computer project almost non-stop, 10 hours a day, for the last month. I am in my 40s and don't wear glasses, though I have a very mild old age reading prescription. Very recent blood tests indicate that I don't have diabetes, am negative for thyroid problems, and all my other readings are normal except for slightly elevated uric acid, which has sometimes caused inflammation in my history.
I went to an optometrist who took six photos of the inside of my eye and did not see anything unusual. He suggested some eye exercises which have been helping a little, but I still have double vision and I'm growing concerned that there is something else wrong which is much more severe than old age vision issues. I'm trying to determine *why* I am suddenly seeing double, to make sure it's not a part of a bigger problem, and I'm not sure if I should see an ophthalmologist.
My question is: could it be possible that I've always has unaligned eyes since childhood and have been able to compensate for it until now, and that my eye muscles have "given out" on aligning them properly? Could eye strain be responsible for causing the double vision, and can it resolve itself over time? Finally, how indicative is this of a tumour outside the eye pushing down? There was no evidence of a tumour in the optometrist's photographs but maybe it's outside the eye, between the frontal lobe and the eyeball? When should I be concerned about this, if at all?</t>
        </is>
      </c>
      <c r="D1031" t="n">
        <v>1</v>
      </c>
      <c r="E1031" t="n">
        <v>9</v>
      </c>
      <c r="F1031">
        <f>HYPERLINK("https://www.reddit.com/r/eyetriage/comments/e5pl6j/sudden_double_vision/")</f>
        <v/>
      </c>
      <c r="G1031" t="inlineStr">
        <is>
          <t>2019-12-03 15:13:57</t>
        </is>
      </c>
      <c r="H1031" t="inlineStr"/>
    </row>
    <row r="1032">
      <c r="A1032" t="inlineStr">
        <is>
          <t>e5xld8</t>
        </is>
      </c>
      <c r="B1032" t="inlineStr">
        <is>
          <t>Sudden come and go dirty/cloudy vision?</t>
        </is>
      </c>
      <c r="C1032" t="inlineStr">
        <is>
          <t>Sometimes my vision becomes dirty (like there's a cloud in a particular area) in one of my eyes and after few blinking,it just goes away What this could be ?</t>
        </is>
      </c>
      <c r="D1032" t="n">
        <v>1</v>
      </c>
      <c r="E1032" t="n">
        <v>2</v>
      </c>
      <c r="F1032">
        <f>HYPERLINK("https://www.reddit.com/r/eyetriage/comments/e5xld8/sudden_come_and_go_dirtycloudy_vision/")</f>
        <v/>
      </c>
      <c r="G1032" t="inlineStr">
        <is>
          <t>2019-12-04 03:00:19</t>
        </is>
      </c>
      <c r="H1032" t="inlineStr"/>
    </row>
    <row r="1033">
      <c r="A1033" t="inlineStr">
        <is>
          <t>e63ip7</t>
        </is>
      </c>
      <c r="B1033" t="inlineStr">
        <is>
          <t>Weird blurry spot in top left corner of eye?</t>
        </is>
      </c>
      <c r="C1033" t="inlineStr">
        <is>
          <t>A few months ago I noticed a weird blurred spot in the upper corner of my left eye.  At first I thought it was a random floater and didn't pay much attention to it.  A day later it got bigger and I got worried.  I made an appointment with my eye doctor and she dilated and checked everything and said everything looked good, my eyes were in perfect health other than being super nearsighted.  She did mention that it seems like my eye might be having troubles focusing and mentioned something about the gel in my eye that might be causing the issue.  She said originally she was worried my retina was detaching but after checking it, she said it was fine.
I had been to the eye doctor about a month before for my annual checkup and the vision in my left eye was -6.25.  When I went in for the first appointment for the blurry spot she told me my vision was -6.5, not too worrying.  The next day I went in for a peripheral test and there were no issues, and after another exam with another doctor my eyesight in the left eye was -7.5.  Two days later the spot was getting worse and I went back in and the Dr. rechecked everything and my eyes still did not have anything wrong with them but my eyesight had advanced to -8.5 in the left eye.  She suggested readers for work while on the computer, roughly 8 hours a day.  She did not seemed concerned that my vision in the left eye had gone from -6.5 to -8.5 within a few days.  She sent me to an ophthalmologist specialist who did a bunch of test, and looked extensively in my eye and found no issues and told me to come back if the issue got worse.  At this point the spot or vision was not getting any worse, so I decided to live with it.  I think my brain kind of tuned the spot out after a while.  
Recently, in the last two weeks, the spot has returned.  I can see it again and its about the same as it was before and at this point after 3 doctors looking in my eyes and not finding anything I have lost some faith that this can ever be resolved.  Its an annoying spot and does interfere with my daily life.  Some days its worse than others and some days I feel like I am sensitive to bright lights, when I never have been before.  Its kind of like everything gets aura-y.
I think I have given as much info as I can about what has happened.  Does anyone know what might be going on?  I'm tired of being told everything is fine, when I can see that there is definitely something wrong and never had an issue like this before.</t>
        </is>
      </c>
      <c r="D1033" t="n">
        <v>1</v>
      </c>
      <c r="E1033" t="n">
        <v>0</v>
      </c>
      <c r="F1033">
        <f>HYPERLINK("https://www.reddit.com/r/eyetriage/comments/e63ip7/weird_blurry_spot_in_top_left_corner_of_eye/")</f>
        <v/>
      </c>
      <c r="G1033" t="inlineStr">
        <is>
          <t>2019-12-04 10:32:41</t>
        </is>
      </c>
      <c r="H1033" t="inlineStr"/>
    </row>
    <row r="1034">
      <c r="A1034" t="inlineStr">
        <is>
          <t>e6553i</t>
        </is>
      </c>
      <c r="B1034" t="inlineStr">
        <is>
          <t>Retinoschisis and Intraocular Pressure</t>
        </is>
      </c>
      <c r="C1034" t="inlineStr">
        <is>
          <t>TL;DR:
* Is intraocular pressure a symptom of retinoschisis?
* Is retinoschisis related to any autoimmune diseases?
* Is there any correlation between problems in different eyes?
Background:
* 2009 - First diagnosis of iritis in the left eye. Treated with Prednisolone Acetate drops. Had many blood tests done to check for autoimmune issues due to frequent recurrence. Tests came back negative.
* 2010 - First diagnosis of macular edema in the left eye. Treated with intravitreal injection.
* 2011-2018 - Iritis in left eye flares up every few months to varying degrees. Drops are always on hand. 
* 2019 - Flare ups in the left eye start occurring more often. Discussed with doc that whenever I stop treatments for sinus issues, the problem comes right back, just like the iritis. Treatment is extended to several weeks to taper off the Prednisolone more gently. This is effective.
* October 2019 - Diagnosed with macular edema in the left eye. Treated with Ketorolac drops. Rheumatologist had new bloodwork done to check for autoimmune issues again. Only positive result is for presence of inflammation. Too generic to make any determinations.
* November 2019 - Diagnosed with retinoschisis in the right eye. Severe pain in sacroiliac joint made me unable to walk for about a week.
* December 2019 - Feels like there is increased intraoccular pressure in the right eye. Doc says macular edema is improving, but vision is still blurry. Seeing doc next week.
* As long as I can remember, I've had sinus problems and intermittent discomfort in the sacroiliac joint. This may or may not be relevant. Just mentioning it because docs have looked into autoimmune issues.
Does any of this make sense or sound familiar to anyone? It's been so long and I've seen so many docs... It's just exhausting. I'm scared that this mess is going to lead to permanent vision damage.</t>
        </is>
      </c>
      <c r="D1034" t="n">
        <v>1</v>
      </c>
      <c r="E1034" t="n">
        <v>4</v>
      </c>
      <c r="F1034">
        <f>HYPERLINK("https://www.reddit.com/r/eyetriage/comments/e6553i/retinoschisis_and_intraocular_pressure/")</f>
        <v/>
      </c>
      <c r="G1034" t="inlineStr">
        <is>
          <t>2019-12-04 12:17:28</t>
        </is>
      </c>
      <c r="H1034" t="inlineStr"/>
    </row>
    <row r="1035">
      <c r="A1035" t="inlineStr">
        <is>
          <t>e6718s</t>
        </is>
      </c>
      <c r="B1035" t="inlineStr">
        <is>
          <t>Flashing lights/dark spot when I turn my eyes too far (update/follow-up questions)</t>
        </is>
      </c>
      <c r="C1035" t="inlineStr">
        <is>
          <t>Hey everyone, I previously posted about weird distorted spot when I turn my eyes too far to the side. I also get dark spots and small flashing spots. Some very dark spots flash for half a second and consistent just "dim" spots when my eyes are turned. I had a checkup the other day with my eye doctor, my retina looked fine, got the whole dilated exam plus retinal imaging. He mentioned something about my eye muscles pulling on my eye and by extension my retina when I turn my eyes like that. Causing mechanical stimulation. I've noticed that the things that happen when I do that have become increasingly intense. Again, only when I do this specific action. Should I have a follow up? I already have flashes in my peripheral occasionally, and the check up was oddly brief I feel like. Thanks in advance once again!</t>
        </is>
      </c>
      <c r="D1035" t="n">
        <v>1</v>
      </c>
      <c r="E1035" t="n">
        <v>4</v>
      </c>
      <c r="F1035">
        <f>HYPERLINK("https://www.reddit.com/r/eyetriage/comments/e6718s/flashing_lightsdark_spot_when_i_turn_my_eyes_too/")</f>
        <v/>
      </c>
      <c r="G1035" t="inlineStr">
        <is>
          <t>2019-12-04 14:19:56</t>
        </is>
      </c>
      <c r="H1035" t="inlineStr"/>
    </row>
    <row r="1036">
      <c r="A1036" t="inlineStr">
        <is>
          <t>e69s43</t>
        </is>
      </c>
      <c r="B1036" t="inlineStr">
        <is>
          <t>Pinguecula - artificial tears need to be preservative free?</t>
        </is>
      </c>
      <c r="C1036" t="inlineStr">
        <is>
          <t>Hello!
I visited the ophthalmologist today for a small pink bump on my sclera. I was told it was pinguecula and was prescribed some steroid eye drops. She also suggested I get some  lubricating eye drops as well.She stated preservative free is better, but the brand she suggested (Blink for contact lens) doesn't seem to come in a preservative free form. 
So now I'm wondering, does preservative free matter? Since they all come in small little one time use vials, it seems a  bit wasteful if I need to open up a new one each time.</t>
        </is>
      </c>
      <c r="D1036" t="n">
        <v>1</v>
      </c>
      <c r="E1036" t="n">
        <v>8</v>
      </c>
      <c r="F1036">
        <f>HYPERLINK("https://www.reddit.com/r/eyetriage/comments/e69s43/pinguecula_artificial_tears_need_to_be/")</f>
        <v/>
      </c>
      <c r="G1036" t="inlineStr">
        <is>
          <t>2019-12-04 17:39:40</t>
        </is>
      </c>
      <c r="H1036" t="inlineStr"/>
    </row>
    <row r="1037">
      <c r="A1037" t="inlineStr">
        <is>
          <t>e6b386</t>
        </is>
      </c>
      <c r="B1037" t="inlineStr">
        <is>
          <t>Swollen lower eyelid and pain in lower medial canthus region OS</t>
        </is>
      </c>
      <c r="C1037" t="inlineStr">
        <is>
          <t>I have been trying to figure out this issue for a year now. I have seen 7  eye doctors so far and none can give me a definite answer. It might be blepharitis is what a couple of the doctors have told me. I have pretty bad dry eye and was put on xiidra which has not done much of anything. Ive also been told my meibomian glands arent working in either of my eyes. I have been on an antibiotic drop and then an ointment. Tried washing my eyelid margin with baby shampoo. Then was put on 4 weeks of a prednisolone drop. Then a month on oral minocycline. Warm compresses daily for 3 months. Recieved a lipiflow treatment on both eyes. Tried another steroidal eye drop. Currently i have been on doxycycline for almost 3 months now and still doing xiidra twice a day.  I had a CT scan done of the orbit and sinuses and nothing was abnormal.
The pain is unbearable and nothing seems to help it. The warm compresses actually made it worse.  Besides the swelling and pain in the left eyelid i have no other symptoms. I dont know what to do anymore and any suggestions are welcome.</t>
        </is>
      </c>
      <c r="D1037" t="n">
        <v>1</v>
      </c>
      <c r="E1037" t="n">
        <v>0</v>
      </c>
      <c r="F1037">
        <f>HYPERLINK("https://www.reddit.com/r/eyetriage/comments/e6b386/swollen_lower_eyelid_and_pain_in_lower_medial/")</f>
        <v/>
      </c>
      <c r="G1037" t="inlineStr">
        <is>
          <t>2019-12-04 19:20:28</t>
        </is>
      </c>
      <c r="H1037" t="inlineStr"/>
    </row>
    <row r="1038">
      <c r="A1038" t="inlineStr">
        <is>
          <t>e6cqcr</t>
        </is>
      </c>
      <c r="B1038" t="inlineStr">
        <is>
          <t>Can you choose which eye you "look" out of? If so, is it normal?</t>
        </is>
      </c>
      <c r="C1038" t="inlineStr">
        <is>
          <t>I just realized that not everyone can consciously decide which eye to look out of, and some may not ever look out of one eye significantly more than the other either.   Not only can I choose which eye I look out of, I do not look out of both eyes unless I make myself (then I have double vision). I also just found out that when I'm looking at something close (6 feet or closer), my "ignored eye" drifts around. The person I was discussing this with had no idea what I meant when I said "well, what eye are you looking out of?" and it started a big conversation and ended in me finding out my ignored eye doesn't follow good within a second or two of "looking" out of the opposite eye. 
As a child I had a mild lazy left eye (you couldn't tell looking at me). A few years ago the eye doctor said both of my eyes were affected but no one ever mentions it and I never see it in the mirror. Now I'm wondering if my eyes are getting lazy because I'm ignoring one at all times, or if I'm ignoring one at all times because of the double vision.... Maybe a combo? Maybe unrelated? I'm unsure, so I'm here! Based on tonight's experiments, neither eye drifts looking in distance and only the ignored one does close up and I can choose which eye I want to ignore. It hurts my head to make myself use both eyes and also makes me kind of dizzy because my two "visions" don't move in unison.</t>
        </is>
      </c>
      <c r="D1038" t="n">
        <v>1</v>
      </c>
      <c r="E1038" t="n">
        <v>0</v>
      </c>
      <c r="F1038">
        <f>HYPERLINK("https://www.reddit.com/r/eyetriage/comments/e6cqcr/can_you_choose_which_eye_you_look_out_of_if_so_is/")</f>
        <v/>
      </c>
      <c r="G1038" t="inlineStr">
        <is>
          <t>2019-12-04 21:39:29</t>
        </is>
      </c>
      <c r="H1038" t="inlineStr"/>
    </row>
    <row r="1039">
      <c r="A1039" t="inlineStr">
        <is>
          <t>e6gqtx</t>
        </is>
      </c>
      <c r="B1039" t="inlineStr">
        <is>
          <t>Can It Go Away On Its Own?</t>
        </is>
      </c>
      <c r="C1039" t="inlineStr">
        <is>
          <t>So I suspect that I may have a vitreous hemorrhage in my left eye and I am a little scared of the possibility of going blind. Is this always the case? Can it heal on its own without surgical treatment? And how can I care for it at home?</t>
        </is>
      </c>
      <c r="D1039" t="n">
        <v>1</v>
      </c>
      <c r="E1039" t="n">
        <v>4</v>
      </c>
      <c r="F1039">
        <f>HYPERLINK("https://www.reddit.com/r/eyetriage/comments/e6gqtx/can_it_go_away_on_its_own/")</f>
        <v/>
      </c>
      <c r="G1039" t="inlineStr">
        <is>
          <t>2019-12-05 04:50:19</t>
        </is>
      </c>
      <c r="H1039" t="inlineStr"/>
    </row>
    <row r="1040">
      <c r="A1040" t="inlineStr">
        <is>
          <t>e6ifmy</t>
        </is>
      </c>
      <c r="B1040" t="inlineStr">
        <is>
          <t>Tear Duct Issue?</t>
        </is>
      </c>
      <c r="C1040" t="inlineStr">
        <is>
          <t>For 4 days, I have noticed that my right eye has been tearing/watering/tears will fall into my face/corner of my eye. 
There are no other symptoms- doesn't seem infected, I dont have a cold. I don't wear glasses or contacts. I am in my 30s.
Eye isn't irritated. Very annoying. I'm in the process of making opthamlogist appt. Has anyone been through this?</t>
        </is>
      </c>
      <c r="D1040" t="n">
        <v>1</v>
      </c>
      <c r="E1040" t="n">
        <v>0</v>
      </c>
      <c r="F1040">
        <f>HYPERLINK("https://www.reddit.com/r/eyetriage/comments/e6ifmy/tear_duct_issue/")</f>
        <v/>
      </c>
      <c r="G1040" t="inlineStr">
        <is>
          <t>2019-12-05 07:08:32</t>
        </is>
      </c>
      <c r="H1040" t="inlineStr"/>
    </row>
    <row r="1041">
      <c r="A1041" t="inlineStr">
        <is>
          <t>e6izyv</t>
        </is>
      </c>
      <c r="B1041" t="inlineStr">
        <is>
          <t>Tear duct problem?</t>
        </is>
      </c>
      <c r="C1041" t="inlineStr">
        <is>
          <t>I'm a 30 something female. For 4 days now, my right eye has been watery/tearing. Tears will collect in the corner of my eye or come onto my face.
 I dont wear contacts. Eye isnt infected or otherwise irritated. Just this tear problem. I've self diagnosed as a blocked tear duct. Has anyone had this problem. Very annoying. TIA</t>
        </is>
      </c>
      <c r="D1041" t="n">
        <v>1</v>
      </c>
      <c r="E1041" t="n">
        <v>2</v>
      </c>
      <c r="F1041">
        <f>HYPERLINK("https://www.reddit.com/r/eyetriage/comments/e6izyv/tear_duct_problem/")</f>
        <v/>
      </c>
      <c r="G1041" t="inlineStr">
        <is>
          <t>2019-12-05 07:49:24</t>
        </is>
      </c>
      <c r="H1041" t="inlineStr"/>
    </row>
    <row r="1042">
      <c r="A1042" t="inlineStr">
        <is>
          <t>e6jmtc</t>
        </is>
      </c>
      <c r="B1042" t="inlineStr">
        <is>
          <t>Reflectance</t>
        </is>
      </c>
      <c r="C1042" t="inlineStr">
        <is>
          <t>Will your retina become damaged by sun light reflected off headlight housings and or car windows etc if you have to look in that direction even though you’re wearing sunglasses?</t>
        </is>
      </c>
      <c r="D1042" t="n">
        <v>1</v>
      </c>
      <c r="E1042" t="n">
        <v>2</v>
      </c>
      <c r="F1042">
        <f>HYPERLINK("https://www.reddit.com/r/eyetriage/comments/e6jmtc/reflectance/")</f>
        <v/>
      </c>
      <c r="G1042" t="inlineStr">
        <is>
          <t>2019-12-05 08:33:41</t>
        </is>
      </c>
      <c r="H1042" t="inlineStr"/>
    </row>
    <row r="1043">
      <c r="A1043" t="inlineStr">
        <is>
          <t>e6q7ds</t>
        </is>
      </c>
      <c r="B1043" t="inlineStr">
        <is>
          <t>Opthomalogist still doesn't want to try MIGS or trabectome or other surgeries even though right eye is deteriorating from glaucoma9</t>
        </is>
      </c>
      <c r="C1043" t="inlineStr">
        <is>
          <t>I need advice on how to proceed. Went in today because I noticed a deterioration in my right eye and it's pretty bad. Im afraid of how much its progressed even after SLT but the opthomalogist still doesn't want to do any of the micro stents, trabectome, or other surgeries yet. Im pushing for it so I'm going for a second opinion at NYU and Willis. I'm only 29 so of it's this bad now, will I even have anything in 30 or 40 years?
I previously have been on latanprost, had SLT in both eyes, switch to Lumigan and just got switched to rocklatan. I want to do surgery before it's too late. 
https://ibb.co/MRSttWQ
https://ibb.co/7NCJ4WM
https://ibb.co/7Jq7BLY</t>
        </is>
      </c>
      <c r="D1043" t="n">
        <v>1</v>
      </c>
      <c r="E1043" t="n">
        <v>4</v>
      </c>
      <c r="F1043">
        <f>HYPERLINK("https://www.reddit.com/r/eyetriage/comments/e6q7ds/opthomalogist_still_doesnt_want_to_try_migs_or/")</f>
        <v/>
      </c>
      <c r="G1043" t="inlineStr">
        <is>
          <t>2019-12-05 16:05:05</t>
        </is>
      </c>
      <c r="H1043" t="inlineStr"/>
    </row>
    <row r="1044">
      <c r="A1044" t="inlineStr">
        <is>
          <t>e6r26t</t>
        </is>
      </c>
      <c r="B1044" t="inlineStr">
        <is>
          <t>weird visual disturbances ?</t>
        </is>
      </c>
      <c r="C1044" t="inlineStr">
        <is>
          <t>Hi, not sure if this breaks any rules but i’m 19F and went to an ophthalmologist for answers and couldn’t get any so wanted to see if someone here can help me out. i recently developed double vision that occurs only when looking in certain directions and on my phone (i think it’s the led light / contrast), it persists in both eyes even when i close the other (i saw another post similar to my condition). recently thought, i also get a lot of after images when i’m on my phone late at night and don't have an appointment so i find it weird that things keep popping up. if i look at my phone and look to the side really quick i’ll see a brief colorful picture of the screen. the doctor said i had cataracts forming in the nucleus i think ?? i’m not sure why and he found it odd and also noted that my optic nerve was healthy and everything looked normal. lastly, not sure if this is normal but when i flash a light to my eye and move it around there’s like a white floater that’s stays in place and moves depending on the position of the light . anything will be helpful, thank u !!!!</t>
        </is>
      </c>
      <c r="D1044" t="n">
        <v>1</v>
      </c>
      <c r="E1044" t="n">
        <v>0</v>
      </c>
      <c r="F1044">
        <f>HYPERLINK("https://www.reddit.com/r/eyetriage/comments/e6r26t/weird_visual_disturbances/")</f>
        <v/>
      </c>
      <c r="G1044" t="inlineStr">
        <is>
          <t>2019-12-05 17:06:31</t>
        </is>
      </c>
      <c r="H1044" t="inlineStr"/>
    </row>
    <row r="1045">
      <c r="A1045" t="inlineStr">
        <is>
          <t>e6urwk</t>
        </is>
      </c>
      <c r="B1045" t="inlineStr">
        <is>
          <t>Do I need Lipiflow? How bad are my Meibomian glands?</t>
        </is>
      </c>
      <c r="C1045" t="inlineStr">
        <is>
          <t>I originally posted this in r/optometry but I'm looking for as many opinions as possible so posting here too.
In November, I went for a regular eye checkup to the optometrist I've been seeing for the last decade or so. Usually, I trust her judgement in everything, but her practice was bought by a franchise and has become noticeably more commercialized since then. This time when I visited, she took a photo of my meibomian glands (second photo) and told me that because I was not blinking/staring at screens for too long, about 30-50% of my glands were atrophying or dead. I've never done this test before, so I don't know how much of this atrophy has occurred in recent years. I was also surprised about the severity - aside from occasionally watery eyes, I haven't noticed any symptoms of dry eyes (no grittiness, pain, etc). She said that the only way to save the rest of the glands was through Lipiflow - a $1200 treatment, not covered by insurance. She also said that it wouldn't be a long term fix, and that I'd have to do it once every five years. I'm 20 years old and a full time student, so this was not good news for me.
She booked me for a dry eye evaluation, and in the interim, she sold me a gel eye mask and told me to do hot compresses for 20 minutes a day, which I've been doing religiously. This week I had my dry eye evaluation, and the first thing I noticed in the waiting room was how \*every single patient\* who was leaving had purchased a gel eye mask. I'm aware that dry eyes is becoming more prevalent, but that was a bit of a red flag to me. Other red flags I've encountered are I spoke to my general physician, who had never heard of Lipiflow (although he's old and I believe Lipiflow is newer in Canada than the US), and several of my aunts, uncles, and cousins (Canadians and Americans alike) who are doctors have also never heard of Lipiflow before. One uncle who had heard of MGD told me the compresses were enough to fix the problem. The final red flag, however, is that my optometrist told me that this issue was \*very severe\*, but outright refused to refer me to an ophthalmologist, and then hesitated when I asked for a copy of the report, including photos. She did let me take a photo of one of my eyes, which I'm now posting to ask you: Am I being scammed?
I've done enough reading to know that Lipiflow is safe and does benefit several patients, but I need to know if **my** situation is severe enough to merit spending that kind of money. I can definitely see that my glands don't look right, but are there other ways to fix them? I don't want to regret doing nothing years from now. I do want to disclose that I was on Accutane between 2016-2017, and I've been on birth control (Tricyclen) for the last two years to manage menstrual pain/heavy bleeding. She knows I'm on birth control and she knew when I was on Accutane, but she never mentioned them in relation to this issue. I'm only mentioning it because I've seen others mention that they can have effects on meibomian glands.
**TL;DR, How bad are my eye glands? Do I need Lipiflow? Can I fix my eyes without having to sell my kidneys for Lipiflow?**
[healthy eye diagram](https://preview.redd.it/xt3u8eqcgy241.jpg?width=932&amp;amp;format=pjpg&amp;amp;auto=webp&amp;amp;s=309d7d13f69dd8b738d1c6ea48de2bc13d7881a6)
*Processing img xinnvcqcgy241...*</t>
        </is>
      </c>
      <c r="D1045" t="n">
        <v>1</v>
      </c>
      <c r="E1045" t="n">
        <v>15</v>
      </c>
      <c r="F1045">
        <f>HYPERLINK("https://www.reddit.com/r/eyetriage/comments/e6urwk/do_i_need_lipiflow_how_bad_are_my_meibomian_glands/")</f>
        <v/>
      </c>
      <c r="G1045" t="inlineStr">
        <is>
          <t>2019-12-05 22:16:09</t>
        </is>
      </c>
      <c r="H1045" t="inlineStr"/>
    </row>
    <row r="1046">
      <c r="A1046" t="inlineStr">
        <is>
          <t>e7246b</t>
        </is>
      </c>
      <c r="B1046" t="inlineStr">
        <is>
          <t>What other things could cause suddenly onset of ghosting?</t>
        </is>
      </c>
      <c r="C1046" t="inlineStr">
        <is>
          <t>Hi everyone, after a long day of working and gaming I woke up the next day with visual ghosting on high contrast, especially on subtitles while watching movies. I checked with a ophthalmologist and he said that maybe it was dry eyes and recommended me Artelac Rebalance.
But after using it for 2 weeks nothing has changed. What other things could it be? Could the dry eyes caused permanent damage? Does the eye drops take some weeks to do clear it?
Also, the ghosting really decreases if I open up my eyes a little more than the normal.</t>
        </is>
      </c>
      <c r="D1046" t="n">
        <v>1</v>
      </c>
      <c r="E1046" t="n">
        <v>8</v>
      </c>
      <c r="F1046">
        <f>HYPERLINK("https://www.reddit.com/r/eyetriage/comments/e7246b/what_other_things_could_cause_suddenly_onset_of/")</f>
        <v/>
      </c>
      <c r="G1046" t="inlineStr">
        <is>
          <t>2019-12-06 10:02:30</t>
        </is>
      </c>
      <c r="H1046" t="inlineStr"/>
    </row>
    <row r="1047">
      <c r="A1047" t="inlineStr">
        <is>
          <t>e73pxy</t>
        </is>
      </c>
      <c r="B1047" t="inlineStr">
        <is>
          <t>Question regarding visual flashes.</t>
        </is>
      </c>
      <c r="C1047" t="inlineStr">
        <is>
          <t>Hello all, 
I \[29 M Caucasian\], otherwise healthy with no medical history, am having some visual distrubances : 
I have a history of optical migraines that began in January of 2017. Since then I've only had about 6 and I usually only get a slight headache afterwards, nothing severe. 
Recently (in about the last 7-9 months) I've been experiencing visual flashes in my left visual field (in both eyes, I believe). The flash occurs for around 500 milliseconds and appears to be about the size of a pinhead (the super tiny ballpoint pins). I've noticed a correlation between the occurrence of these flashes and A) stress, B) sleep deprivation, and C) high caffeine intake. I recently finished my applications to neuroscience Ph.D. programs, so all of these factors have been present. 
I went to the ophthalmologist today and he said that my retinas and optic nerves both appear to be healthy. He also said that he doesn't suggest further tests based on his observations. I told him that I am slightly worried as my mother's diagnosis of multiple sclerosis had been preceded by an episode of optic neuritis years prior. I questioned if the visual flashes that I am experiencing could be due to demyelination in my optic nerve(s) and/or a developing lesion in my visual cortex. He stated that he doesn't believe this to be the case, but wrote me a referral for an MRI to provide peace of mind. 
I was hoping some of you could offer your opinions/suggestions on this? 
Thank you so much!</t>
        </is>
      </c>
      <c r="D1047" t="n">
        <v>1</v>
      </c>
      <c r="E1047" t="n">
        <v>4</v>
      </c>
      <c r="F1047">
        <f>HYPERLINK("https://www.reddit.com/r/eyetriage/comments/e73pxy/question_regarding_visual_flashes/")</f>
        <v/>
      </c>
      <c r="G1047" t="inlineStr">
        <is>
          <t>2019-12-06 12:03:12</t>
        </is>
      </c>
      <c r="H1047" t="inlineStr"/>
    </row>
    <row r="1048">
      <c r="A1048" t="inlineStr">
        <is>
          <t>e778hx</t>
        </is>
      </c>
      <c r="B1048" t="inlineStr">
        <is>
          <t>Weird peripheral eye issues</t>
        </is>
      </c>
      <c r="C1048" t="inlineStr">
        <is>
          <t>So disclaimer: I do have severe health anxiety issues which i'm working on. 
I'm a 29F. In january I started getting occasional flashes in left eye. Maybe once or twice a month. I also started getting "dim" vision where screens would look dim even with full brightness. I also have always needed my phone at 100% brightness. I saw 4 eye doctors between January and October, including 2 retinal specialists ( one of the top ones in the nation btw). I had scans done of eyes and the doctors said everything was perfectly fine. No signs of anything. In the 4 weeks since then I feel like my peripheral vision isn't that good, like I'm constantly feeling like it's decreased. But my thinking is that if something was wrong wouldn't the multiple doctors have seen something by now? The flashes have gotten better but the dim vision and the peripheral eye issues come and go. Is this health anxiety? I just don't know if there is anything else to do because I have literally seen every doctor and every test done.</t>
        </is>
      </c>
      <c r="D1048" t="n">
        <v>1</v>
      </c>
      <c r="E1048" t="n">
        <v>2</v>
      </c>
      <c r="F1048">
        <f>HYPERLINK("https://www.reddit.com/r/eyetriage/comments/e778hx/weird_peripheral_eye_issues/")</f>
        <v/>
      </c>
      <c r="G1048" t="inlineStr">
        <is>
          <t>2019-12-06 16:36:41</t>
        </is>
      </c>
      <c r="H1048" t="inlineStr"/>
    </row>
    <row r="1049">
      <c r="A1049" t="inlineStr">
        <is>
          <t>e77vpn</t>
        </is>
      </c>
      <c r="B1049" t="inlineStr">
        <is>
          <t>Dad has recurring "severe" corneal abrasion. What suggestions do you have?</t>
        </is>
      </c>
      <c r="C1049" t="inlineStr">
        <is>
          <t>He currently has some amniotic fluid or something like that in his eye with an eye patch on and apparently this is the 2nd or 3rd time (in a row!) that he has had to do this with no improvements. Any suggestions? I have looked up that it is supposed to only take about a week to heal but this has been going on for more than month I think. Any advice? I'm getting worried that he will be blind in that eye and this is his "good" eye too....</t>
        </is>
      </c>
      <c r="D1049" t="n">
        <v>1</v>
      </c>
      <c r="E1049" t="n">
        <v>3</v>
      </c>
      <c r="F1049">
        <f>HYPERLINK("https://www.reddit.com/r/eyetriage/comments/e77vpn/dad_has_recurring_severe_corneal_abrasion_what/")</f>
        <v/>
      </c>
      <c r="G1049" t="inlineStr">
        <is>
          <t>2019-12-06 17:32:37</t>
        </is>
      </c>
      <c r="H1049" t="inlineStr"/>
    </row>
    <row r="1050">
      <c r="A1050" t="inlineStr">
        <is>
          <t>e7ccam</t>
        </is>
      </c>
      <c r="B1050" t="inlineStr">
        <is>
          <t>Ghosting after ICL</t>
        </is>
      </c>
      <c r="C1050" t="inlineStr">
        <is>
          <t>It's been 6 weeks after my ICL surgery and I still have issues with double vision/ghosting in both eyes and the doc doesn't seem to know why or have any suggestions other than to give it more time. Initially he thought it might be the cornea healing and was surprised in the 1 week post op when it didn't go away. My left eye was clear and good about 2-3 days post-op, then the 4th day started having the ghosting issues, where the faint double image appears to the right and disappears if I look at a bright light. My right eye has had it the entire 6 weeks, and the ghost image is stronger and appears to the left, it also sticks around if I look at bright lights. During the day, outside, where it's evenly bright out I can see clearly, but the dimmer the lighting, the worse it gets. So my pupils dilating must have something to do with it.
The other thing is that my pupils are not centered. My left one is almost on center but a tad bit closer to my nose. Righty is noticably closer to my nose. The doc doesn't seem too concerned about this though but I'm wondering what's causing it.
Would the ghosting be a result of the pupils being off center or astigmatism or some other reason? The double vision wasn't even mentioned as a potential risk or side effect, but it's driving me crazy since much of my life is spent indoors.</t>
        </is>
      </c>
      <c r="D1050" t="n">
        <v>1</v>
      </c>
      <c r="E1050" t="n">
        <v>2</v>
      </c>
      <c r="F1050">
        <f>HYPERLINK("https://www.reddit.com/r/eyetriage/comments/e7ccam/ghosting_after_icl/")</f>
        <v/>
      </c>
      <c r="G1050" t="inlineStr">
        <is>
          <t>2019-12-07 01:24:10</t>
        </is>
      </c>
      <c r="H1050" t="inlineStr"/>
    </row>
    <row r="1051">
      <c r="A1051" t="inlineStr">
        <is>
          <t>e7gcme</t>
        </is>
      </c>
      <c r="B1051" t="inlineStr">
        <is>
          <t>Could my bad eyesight be causing brainfog? I am unable to retain information and my concentration is really bad.</t>
        </is>
      </c>
      <c r="C1051" t="inlineStr">
        <is>
          <t>The opticians started off with a +2 for my left eye and a +1 for my right. I've started to notice that my left eye is lazy, and doesn't align perfectly with the right.
More recently, I had another test because I complained that I'm still getting issues. They began by putting some eye dilating drops in and had me wait 20 minutes. After the 20 minutes was up, I couldn't see anything at all. Once they did some further tests, they told me that my eyes had a difficult time relaxing and realistically my prescription needs to be somewhere of +5. This blew my mind as I can actually see very well without glasses, I just get strain up close for longer than 5 minutes. Even having a conversation with someone is difficult for me at the moment.
I've tried these new glasses now, which are a step up from the initial prescription, (Not the max required as my eyes wouldn't be able to adjust that fast), but they feel extremely weird. It legitimately feels like my eyes are cock-eyed. I've given them a few days, but I haven't adjusted to them. Am I just doomed to feel like this forever? And is it normal to feel like this?</t>
        </is>
      </c>
      <c r="D1051" t="n">
        <v>1</v>
      </c>
      <c r="E1051" t="n">
        <v>1</v>
      </c>
      <c r="F1051">
        <f>HYPERLINK("https://www.reddit.com/r/eyetriage/comments/e7gcme/could_my_bad_eyesight_be_causing_brainfog_i_am/")</f>
        <v/>
      </c>
      <c r="G1051" t="inlineStr">
        <is>
          <t>2019-12-07 08:32:47</t>
        </is>
      </c>
      <c r="H1051" t="inlineStr"/>
    </row>
    <row r="1052">
      <c r="A1052" t="inlineStr">
        <is>
          <t>e7gm91</t>
        </is>
      </c>
      <c r="B1052" t="inlineStr">
        <is>
          <t>Change in axis in one year [question]</t>
        </is>
      </c>
      <c r="C1052" t="inlineStr">
        <is>
          <t>Hi, there!
I get my eyes tested every year and have worn glasses or contacts for the past 22 years. (I had to stop wearing contacts about five years ago due to chronic iritis flares.) 
Last year both axis numbers for my eyes were 180. This year, they were 55 and 160. The rest of my prescription did not change.  
What are some things that could cause a change like this? Is this a dramatic change? I know it has to do with the shape of the eye.
Other relevant info: diagnosed with rheumatoid arthritis and Hashimoto's this year, if that makes a difference. I'm 32, female, USA.</t>
        </is>
      </c>
      <c r="D1052" t="n">
        <v>1</v>
      </c>
      <c r="E1052" t="n">
        <v>4</v>
      </c>
      <c r="F1052">
        <f>HYPERLINK("https://www.reddit.com/r/eyetriage/comments/e7gm91/change_in_axis_in_one_year_question/")</f>
        <v/>
      </c>
      <c r="G1052" t="inlineStr">
        <is>
          <t>2019-12-07 08:53:34</t>
        </is>
      </c>
      <c r="H1052" t="inlineStr"/>
    </row>
    <row r="1053">
      <c r="A1053" t="inlineStr">
        <is>
          <t>e7jwd6</t>
        </is>
      </c>
      <c r="B1053" t="inlineStr">
        <is>
          <t>I’ve noticed that I can improve my vision without squinting on command, need help</t>
        </is>
      </c>
      <c r="C1053" t="inlineStr">
        <is>
          <t>According to my girlfriend, my pupils increase in size when I do this. It only lasts for short bursts, unless I squint with it. 
Is this harmful to do long term? Is this normal?  Can I train my eyes to permanently be focused like this? 
I’d appreciate any help, thanks!</t>
        </is>
      </c>
      <c r="D1053" t="n">
        <v>1</v>
      </c>
      <c r="E1053" t="n">
        <v>4</v>
      </c>
      <c r="F1053">
        <f>HYPERLINK("https://www.reddit.com/r/eyetriage/comments/e7jwd6/ive_noticed_that_i_can_improve_my_vision_without/")</f>
        <v/>
      </c>
      <c r="G1053" t="inlineStr">
        <is>
          <t>2019-12-07 13:02:18</t>
        </is>
      </c>
      <c r="H1053" t="inlineStr"/>
    </row>
    <row r="1054">
      <c r="A1054" t="inlineStr">
        <is>
          <t>e7lyi5</t>
        </is>
      </c>
      <c r="B1054" t="inlineStr">
        <is>
          <t>Son (7m) tells me he is seeing colored spots that fade into blind spots in his vision. Also reporting some eye pain. Details inside!</t>
        </is>
      </c>
      <c r="C1054" t="inlineStr">
        <is>
          <t>This weekend my seven year old shared with me that he’s been seeing colored spots in his vision. Here are the details I’ve sussed out: 
- he sees them all the time (not just when looking into bright light) but they’ve recently gotten worse. 
- they move around and are different sizes. Sometimes they’re big enough to cover his entire field of vision. He can see through them. 
- his vision isn’t blurry when it’s just the colored spots but...
-...when the spots fade they fade to black or gray and he can’t see through that. The “blind spots” last up to a few seconds. He said they’re varying darkness (gray to black) and the darker the spot the longer it lingers 
- he sees them in both eyes but seems to be seeing more in the eye that hurts 
- he’s reported eye pain in the last 12 hours or so. Not excruciating but enough to bother him. The eye and eye socket hurt, especially when touched. 
- no headaches or vomiting 
- no big injuries recently - though he did hit his head hard at school a few times in the last couple of weeks (per the school nurse) 
The pediatrician on call has asked me to just watch him closely and I’ll be making an appt with an opthamologist here on Monday (in Atlanta if anyone has a recommendation) but I was hoping someone here might have some ideas?</t>
        </is>
      </c>
      <c r="D1054" t="n">
        <v>1</v>
      </c>
      <c r="E1054" t="n">
        <v>5</v>
      </c>
      <c r="F1054">
        <f>HYPERLINK("https://www.reddit.com/r/eyetriage/comments/e7lyi5/son_7m_tells_me_he_is_seeing_colored_spots_that/")</f>
        <v/>
      </c>
      <c r="G1054" t="inlineStr">
        <is>
          <t>2019-12-07 15:45:31</t>
        </is>
      </c>
      <c r="H1054" t="inlineStr"/>
    </row>
    <row r="1055">
      <c r="A1055" t="inlineStr">
        <is>
          <t>e7uhoa</t>
        </is>
      </c>
      <c r="B1055" t="inlineStr">
        <is>
          <t>Mild pain/sensation that feels like it’s behind my right eye or side of head when rubbing left eye at night</t>
        </is>
      </c>
      <c r="C1055" t="inlineStr">
        <is>
          <t>Hi there,
I’m having trouble describing the issue but basically when I purposefully strain my eyes, somewhat equivalent to squinting, but with my eyes closed I feel a sensation almost like a muscle strain either beside my right eye or in behind it. It’s hard to tell. The side of my eye where my crows feet would be feels a little tight from time to time. 
It’s been like this for a couple of months now although I have been prodding around and testing that area consistently. I have no other visual symptoms or any other changes. I experience this mostly at night when rubbing my eyes before bed although when I self test during the day I can bring it on also. 
Is it something I should be worried about? 
Thanks in advance.</t>
        </is>
      </c>
      <c r="D1055" t="n">
        <v>1</v>
      </c>
      <c r="E1055" t="n">
        <v>1</v>
      </c>
      <c r="F1055">
        <f>HYPERLINK("https://www.reddit.com/r/eyetriage/comments/e7uhoa/mild_painsensation_that_feels_like_its_behind_my/")</f>
        <v/>
      </c>
      <c r="G1055" t="inlineStr">
        <is>
          <t>2019-12-08 06:44:13</t>
        </is>
      </c>
      <c r="H1055" t="inlineStr"/>
    </row>
    <row r="1056">
      <c r="A1056" t="inlineStr">
        <is>
          <t>e83dru</t>
        </is>
      </c>
      <c r="B1056" t="inlineStr">
        <is>
          <t>Why do texts suddenly look noticeably greyer?</t>
        </is>
      </c>
      <c r="C1056" t="inlineStr">
        <is>
          <t>Hi eyetriage, I would like to ask about a recent phenonmenon in which texts seem to look noticeably greyer. It seems that this greyish look comes from my right eye. One month ago my eye doctor tells me that there's some traction in the back of my retina and advise me to have an eye check in two months. I don't know if this phenonmenon is relevant to that. What can possibly be the cause of this greyish look? Could I have some opinions from you guys? Thank in advance.</t>
        </is>
      </c>
      <c r="D1056" t="n">
        <v>1</v>
      </c>
      <c r="E1056" t="n">
        <v>0</v>
      </c>
      <c r="F1056">
        <f>HYPERLINK("https://www.reddit.com/r/eyetriage/comments/e83dru/why_do_texts_suddenly_look_noticeably_greyer/")</f>
        <v/>
      </c>
      <c r="G1056" t="inlineStr">
        <is>
          <t>2019-12-08 18:13:55</t>
        </is>
      </c>
      <c r="H1056" t="inlineStr"/>
    </row>
    <row r="1057">
      <c r="A1057" t="inlineStr">
        <is>
          <t>e84xw9</t>
        </is>
      </c>
      <c r="B1057" t="inlineStr">
        <is>
          <t>Eye damage from hot, high-pressure shower water?</t>
        </is>
      </c>
      <c r="C1057" t="inlineStr">
        <is>
          <t>Earlier today, I got some shampoo in my eyes while showering and they really started hurting. I responded by holding my eyes open up while looking up at the shower stream to flush the shampoo out. The shower stream is pretty powerful and I take really hot showers. Is it possible the high pressure and heat of the shower damaged my corneas/eyes? My eyes were really red after the shower, but the redness is mostly gone now although they still feel somewhat uncomfortable</t>
        </is>
      </c>
      <c r="D1057" t="n">
        <v>1</v>
      </c>
      <c r="E1057" t="n">
        <v>1</v>
      </c>
      <c r="F1057">
        <f>HYPERLINK("https://www.reddit.com/r/eyetriage/comments/e84xw9/eye_damage_from_hot_highpressure_shower_water/")</f>
        <v/>
      </c>
      <c r="G1057" t="inlineStr">
        <is>
          <t>2019-12-08 20:26:23</t>
        </is>
      </c>
      <c r="H1057" t="inlineStr"/>
    </row>
    <row r="1058">
      <c r="A1058" t="inlineStr">
        <is>
          <t>e8bspo</t>
        </is>
      </c>
      <c r="B1058" t="inlineStr">
        <is>
          <t>Solution for a single watery eye?</t>
        </is>
      </c>
      <c r="C1058" t="inlineStr">
        <is>
          <t>My right eye randomly waters on the outside frequently, my left does not. 
I don’t have any pain, redness, or irritation in the eye but after a while of watering the skin on the outside corner of my eye becomes irritated. 
There is no noticeable correlation to when it starts to water....I may or may not be wearing makeup. Inside or outside. Day or night. Humid or dry climates. Wearing my glasses or wearing my contacts. 
I don’t have intense allergies but I’ve tried taking daily allergy medicine in the hopes that it would help, to no avail. 
I’ve tried swapping brands of makeup just in case of an allergic reaction but it didn’t help. That seemed like a long shot since the other eye wasn’t affected, but I’ll try anything. 
If it is relevant, the affected eye is the weaker of my two and I have astigmatism. 
It doesn’t constantly water, but there is no telling when it will start or how long it will last. It does happen frequently. 
I saw the sticky about artificial tears, so I’m going to try that. 
Any additional advice or over the counter solution suggestions is appreciated.</t>
        </is>
      </c>
      <c r="D1058" t="n">
        <v>1</v>
      </c>
      <c r="E1058" t="n">
        <v>3</v>
      </c>
      <c r="F1058">
        <f>HYPERLINK("https://www.reddit.com/r/eyetriage/comments/e8bspo/solution_for_a_single_watery_eye/")</f>
        <v/>
      </c>
      <c r="G1058" t="inlineStr">
        <is>
          <t>2019-12-09 08:01:28</t>
        </is>
      </c>
      <c r="H1058" t="inlineStr"/>
    </row>
    <row r="1059">
      <c r="A1059" t="inlineStr">
        <is>
          <t>e8dtdl</t>
        </is>
      </c>
      <c r="B1059" t="inlineStr">
        <is>
          <t>Double vision</t>
        </is>
      </c>
      <c r="C1059" t="inlineStr">
        <is>
          <t>Hi. I have had double vision for about year and a half now. It came on quite suddenly and has never gone away.
I’m not super worried but just wish I had an explanation. I went to an optician and he said the double vision wasn’t “true” as it’s more of a ghosting than anything else. I got checked at the doctors anyway this time last year and he said it’s probably nothing to worry about.
But neither of them gave me any explanation. 
I have it when I close either eyes, and ive been diagnosed with mild astigmatism in both eyes. I’ve had that since I was a kid but I never used to wear my glasses. Its not normally noticeable unless it’s very dark or like, white text against a black background in which case there’s ghosting above the image.
My eyes are also quite dry a lot of the time and I use eye drops but not regularly.
Should I be worried, and go back to the doctors? Or is it just something small that won’t go away, like an irregularity?
Thanks for your help. This has been bugging me for a while, but I got cleared by both professionals so have been in limbo.</t>
        </is>
      </c>
      <c r="D1059" t="n">
        <v>1</v>
      </c>
      <c r="E1059" t="n">
        <v>4</v>
      </c>
      <c r="F1059">
        <f>HYPERLINK("https://www.reddit.com/r/eyetriage/comments/e8dtdl/double_vision/")</f>
        <v/>
      </c>
      <c r="G1059" t="inlineStr">
        <is>
          <t>2019-12-09 10:27:01</t>
        </is>
      </c>
      <c r="H1059" t="inlineStr"/>
    </row>
    <row r="1060">
      <c r="A1060" t="inlineStr">
        <is>
          <t>e8fgl1</t>
        </is>
      </c>
      <c r="B1060" t="inlineStr">
        <is>
          <t>Why do I see my retina when I squint?</t>
        </is>
      </c>
      <c r="C1060" t="inlineStr">
        <is>
          <t>Is this a normal thing? When I squint, I see these dirty looking lines, which I assume are my retinas. Should I see a doctor for this or is it nothing to worry about?</t>
        </is>
      </c>
      <c r="D1060" t="n">
        <v>1</v>
      </c>
      <c r="E1060" t="n">
        <v>4</v>
      </c>
      <c r="F1060">
        <f>HYPERLINK("https://www.reddit.com/r/eyetriage/comments/e8fgl1/why_do_i_see_my_retina_when_i_squint/")</f>
        <v/>
      </c>
      <c r="G1060" t="inlineStr">
        <is>
          <t>2019-12-09 12:24:59</t>
        </is>
      </c>
      <c r="H1060" t="inlineStr"/>
    </row>
    <row r="1061">
      <c r="A1061" t="inlineStr">
        <is>
          <t>e8k3tc</t>
        </is>
      </c>
      <c r="B1061" t="inlineStr">
        <is>
          <t>Flashes (?) in My Vision.</t>
        </is>
      </c>
      <c r="C1061" t="inlineStr">
        <is>
          <t>Let me tell it chronologically,
At January 2019, after 5 years, finally I have time to check my near-sighted eye. The result is -4.0 (Left) and -3.50 (Right). Increase only -1/4 both eyes after 5 years. 
At August 2019, I feel something weird in my vision field. Something like 'shadow' blinking at ther cornor bottom of my eyes, at least 1 second everytime I close my eye, wait for a moment, and 're-open' it. I tell my doctor, she check my eyes with a device that looks like head-flashlight-device after dilated my pupil. And She said nothing wrong with my eye nerve and retina.
At September/October 2019, there's a new 'variant'. Something that looks like 'blinking water vapor' appear every morning (and sometimes at afternoon). It happen more than 1 seconds. It wont fade away even I close my eyes. Then my doctor check with OCT for macula, and there's nothing wrong. All graph are green, which mean it's good. She said it happen because of my 'Medium Myopia' that cause my retina attracted. But she confirmed that's not a problem at all.
But as 'paranoid person'. I feel scared every morning, everyday because of these blink(s). Anyone here have a problem like me?
Note: Actually I have high IOP too (20-22), but everything under control with medicine. She even stop my medicine (temporary). So I think it's okay. I just scared if there's something bad with my retina in the future.</t>
        </is>
      </c>
      <c r="D1061" t="n">
        <v>1</v>
      </c>
      <c r="E1061" t="n">
        <v>4</v>
      </c>
      <c r="F1061">
        <f>HYPERLINK("https://www.reddit.com/r/eyetriage/comments/e8k3tc/flashes_in_my_vision/")</f>
        <v/>
      </c>
      <c r="G1061" t="inlineStr">
        <is>
          <t>2019-12-09 18:15:25</t>
        </is>
      </c>
      <c r="H1061" t="inlineStr"/>
    </row>
    <row r="1062">
      <c r="A1062" t="inlineStr">
        <is>
          <t>e8tx8c</t>
        </is>
      </c>
      <c r="B1062" t="inlineStr">
        <is>
          <t>Distortion and dark spots when I turn my eyes to the extreme sides</t>
        </is>
      </c>
      <c r="C1062" t="inlineStr">
        <is>
          <t>[18M] Hey everyone. I've had this thing recently and it's honestly driving me nuts. When I turn my eyes far to the extreme sides I get this weird distortion, like circles that get kinda wiggly as well as some darker spots around it, I only notice it if my eyes are turned AND I physically move my head. I've noticed it recently after I had some light flashes and it went downhill from there, crazy anxiety all the time. For reasons eye related and not- so I've been having plenty of visual anxiety symptoms as well. But this is persistent and starting to scare me. Probably related- but not the same: I see blue circles when I'm laying down and roll my eyes back.
I saw an optometrist recently, got retinal imaging, dilated eye exam, everything checked out. "Your retina looks good, macula looks great". He said it could be from my eye muscles putting pressure on my retina from putting my eye in extreme positions. I've never noticed this before and I'm losing it worrying that something crazy is wrong with me. I know I sound like a crazy person, but needed a second opinion and you guys have been helpful in the past. I have no family history of eye problems, I have myopia (-4.5, -5. Something like that) with an astigmatism. Thank you</t>
        </is>
      </c>
      <c r="D1062" t="n">
        <v>1</v>
      </c>
      <c r="E1062" t="n">
        <v>3</v>
      </c>
      <c r="F1062">
        <f>HYPERLINK("https://www.reddit.com/r/eyetriage/comments/e8tx8c/distortion_and_dark_spots_when_i_turn_my_eyes_to/")</f>
        <v/>
      </c>
      <c r="G1062" t="inlineStr">
        <is>
          <t>2019-12-10 09:46:28</t>
        </is>
      </c>
      <c r="H1062" t="inlineStr"/>
    </row>
    <row r="1063">
      <c r="A1063" t="inlineStr">
        <is>
          <t>e90n2p</t>
        </is>
      </c>
      <c r="B1063" t="inlineStr">
        <is>
          <t>5 Months Post LASIK Concern</t>
        </is>
      </c>
      <c r="C1063" t="inlineStr">
        <is>
          <t>Hey everyone, thanks in advance for reading.
I'm a 27-year-old male.
I had LASIK surgery for near-sightedness about 5 months ago, and my vision seemed to have stabilised quite well after the first month but I'm noticing that now, 5 months later, I'm experiencing a few issues that concern me.
Firstly, my right eye seems to see things that are far away with much more clarity than my left eye. With things that are closer, my left eye seems to see things with more clarity than my right. I'm not so sure about the latter, but very sure about the former (very noticeable, but not extremely severe). 
Before the operation, my eyes had different prescriptions also, though I can't remember if they matched what I'm experiencing now.
I do plan to see my ophthalmologist for a control session soon, but I'm planning to travel at the end of the week (for a week), so won't be able to book an appointment right away.
Being totally honest, I use the computer a lot. I work 7hrs a day in front of the laptop, then I sometimes play video games or edit videos for many hours after. I know that's a bad habit and I should take breaks. I try where I can. Also, I'm going to look for some blue light glasses. 
Thanks in advance for your advice. 
TLdr; 5 months after LASIK my left eye's far-sighted vision seems a bit blurry. Should I be worried?</t>
        </is>
      </c>
      <c r="D1063" t="n">
        <v>1</v>
      </c>
      <c r="E1063" t="n">
        <v>4</v>
      </c>
      <c r="F1063">
        <f>HYPERLINK("https://www.reddit.com/r/eyetriage/comments/e90n2p/5_months_post_lasik_concern/")</f>
        <v/>
      </c>
      <c r="G1063" t="inlineStr">
        <is>
          <t>2019-12-10 18:11:35</t>
        </is>
      </c>
      <c r="H1063" t="inlineStr"/>
    </row>
    <row r="1064">
      <c r="A1064" t="inlineStr">
        <is>
          <t>e93we0</t>
        </is>
      </c>
      <c r="B1064" t="inlineStr">
        <is>
          <t>As a patient, how do you describe your vision symptoms?</t>
        </is>
      </c>
      <c r="C1064" t="inlineStr">
        <is>
          <t>Do you use words like "blurry" and "double vision" or do you get more scientific?
Is there somewhere online with a library of terms you can use? Or even better photos/videos?
Not trying to self-diagnose. I want to get better at using the right words to describe my experience. This has been really difficult for me.</t>
        </is>
      </c>
      <c r="D1064" t="n">
        <v>1</v>
      </c>
      <c r="E1064" t="n">
        <v>3</v>
      </c>
      <c r="F1064">
        <f>HYPERLINK("https://www.reddit.com/r/eyetriage/comments/e93we0/as_a_patient_how_do_you_describe_your_vision/")</f>
        <v/>
      </c>
      <c r="G1064" t="inlineStr">
        <is>
          <t>2019-12-10 23:21:48</t>
        </is>
      </c>
      <c r="H1064" t="inlineStr"/>
    </row>
    <row r="1065">
      <c r="A1065" t="inlineStr">
        <is>
          <t>e9lzzu</t>
        </is>
      </c>
      <c r="B1065" t="inlineStr">
        <is>
          <t>I have noticed a red 'pimple' on the corner of the eye this morning. I searched for similar red spots but I haven't found anything which looks like mine. Can this be a serious issue?</t>
        </is>
      </c>
      <c r="C1065" t="inlineStr">
        <is>
          <t>Here is a [photo](https://i.imgur.com/HkAtlZ2.jpg) I took after I noticed the red spot.
I've just had 2 eye exam, with 2 different doctors in the past 30 days due to appearance of new floaters after lasik operation (last one being 1 week ago) and there were no notable problems.
I plan to schedule another eye exam, but till then I want to know if this should be a cause of concern.
Thank you!</t>
        </is>
      </c>
      <c r="D1065" t="n">
        <v>1</v>
      </c>
      <c r="E1065" t="n">
        <v>0</v>
      </c>
      <c r="F1065">
        <f>HYPERLINK("https://www.reddit.com/r/eyetriage/comments/e9lzzu/i_have_noticed_a_red_pimple_on_the_corner_of_the/")</f>
        <v/>
      </c>
      <c r="G1065" t="inlineStr">
        <is>
          <t>2019-12-12 02:36:17</t>
        </is>
      </c>
      <c r="H1065" t="inlineStr"/>
    </row>
    <row r="1066">
      <c r="A1066" t="inlineStr">
        <is>
          <t>e9wfgt</t>
        </is>
      </c>
      <c r="B1066" t="inlineStr">
        <is>
          <t>Can I get urgent advice/help?</t>
        </is>
      </c>
      <c r="C1066" t="inlineStr">
        <is>
          <t>Hi all, until I see my gp on the 24th I'm finding myself getting anxious on my change in vision, I'm aware anxiety can cause vision problems though I think it may be a more serious symptom? I've seen an optometrist and got a retinal eye scan, and a couple weeks later saw an ophthalmologist, to which both said my eyes are healthy. The best way I can describe my vision right now is it seems I have a negative scotoma in both eyes and seems to be persisting; when I'm driving I can't really see the whole back of the car in front of me. I don't understand how my eyes can be healthy but seem to have loss in my vision?
For clarification, I have a history of visual migraines, and have anxiety.</t>
        </is>
      </c>
      <c r="D1066" t="n">
        <v>1</v>
      </c>
      <c r="E1066" t="n">
        <v>4</v>
      </c>
      <c r="F1066">
        <f>HYPERLINK("https://www.reddit.com/r/eyetriage/comments/e9wfgt/can_i_get_urgent_advicehelp/")</f>
        <v/>
      </c>
      <c r="G1066" t="inlineStr">
        <is>
          <t>2019-12-12 16:42:09</t>
        </is>
      </c>
      <c r="H1066" t="inlineStr"/>
    </row>
    <row r="1067">
      <c r="A1067" t="inlineStr">
        <is>
          <t>e9wto0</t>
        </is>
      </c>
      <c r="B1067" t="inlineStr">
        <is>
          <t>Theres one tiny little bubble on the top center of both of my eyelids. Is that normal?</t>
        </is>
      </c>
      <c r="C1067" t="inlineStr">
        <is>
          <t>I have an eye doctor appointment with my ophthalmologist but not until january 20. Its one tiny little what looks like clear bubble on the top center edge of both my eyelids. I was told I have dry eyes. They stick together at night and I use a gel in them right before I sleep but it still sticks together, which is something I plan on bringing up with my doctor.</t>
        </is>
      </c>
      <c r="D1067" t="n">
        <v>1</v>
      </c>
      <c r="E1067" t="n">
        <v>9</v>
      </c>
      <c r="F1067">
        <f>HYPERLINK("https://www.reddit.com/r/eyetriage/comments/e9wto0/theres_one_tiny_little_bubble_on_the_top_center/")</f>
        <v/>
      </c>
      <c r="G1067" t="inlineStr">
        <is>
          <t>2019-12-12 17:15:24</t>
        </is>
      </c>
      <c r="H1067" t="inlineStr"/>
    </row>
    <row r="1068">
      <c r="A1068" t="inlineStr">
        <is>
          <t>e9xic1</t>
        </is>
      </c>
      <c r="B1068" t="inlineStr">
        <is>
          <t>Ingrown eyelash</t>
        </is>
      </c>
      <c r="C1068" t="inlineStr">
        <is>
          <t>For an ingrown eyelash visible through the external surface of the upper lid, should I see an ophthalmologist? Optometrist? I haven't been able to get it out with hot compresses or a needle. Do they tend to resolve on their own?</t>
        </is>
      </c>
      <c r="D1068" t="n">
        <v>1</v>
      </c>
      <c r="E1068" t="n">
        <v>3</v>
      </c>
      <c r="F1068">
        <f>HYPERLINK("https://www.reddit.com/r/eyetriage/comments/e9xic1/ingrown_eyelash/")</f>
        <v/>
      </c>
      <c r="G1068" t="inlineStr">
        <is>
          <t>2019-12-12 18:11:54</t>
        </is>
      </c>
      <c r="H1068" t="inlineStr"/>
    </row>
    <row r="1069">
      <c r="A1069" t="inlineStr">
        <is>
          <t>ea26yw</t>
        </is>
      </c>
      <c r="B1069" t="inlineStr">
        <is>
          <t>Infant red streaks in both eyes</t>
        </is>
      </c>
      <c r="C1069" t="inlineStr">
        <is>
          <t>My 12 week old boy has red streaks in both his eyes and after researching online I think it could either be subconjunctival hemorrhage or pink eye. Although I don’t think it’s pink eye since there isn’t any pus and he doesn’t appear to be irritated by it. If it is the former, online sources say it’s harmless and will go away in few days but I’m wondering what caused it???</t>
        </is>
      </c>
      <c r="D1069" t="n">
        <v>1</v>
      </c>
      <c r="E1069" t="n">
        <v>1</v>
      </c>
      <c r="F1069">
        <f>HYPERLINK("https://www.reddit.com/r/eyetriage/comments/ea26yw/infant_red_streaks_in_both_eyes/")</f>
        <v/>
      </c>
      <c r="G1069" t="inlineStr">
        <is>
          <t>2019-12-13 02:10:55</t>
        </is>
      </c>
      <c r="H1069" t="inlineStr"/>
    </row>
    <row r="1070">
      <c r="A1070" t="inlineStr">
        <is>
          <t>ea8mfa</t>
        </is>
      </c>
      <c r="B1070" t="inlineStr">
        <is>
          <t>My 7 month old toddler has cataract, requesting a bit more information</t>
        </is>
      </c>
      <c r="C1070" t="inlineStr">
        <is>
          <t>So as the title says, my 7 month old toddler has cataract in his right eye, doctor said surgery is needed, and we will discuss this further, but until then it just kills me to gain more information. What can we expect for the surgery and after that?</t>
        </is>
      </c>
      <c r="D1070" t="n">
        <v>1</v>
      </c>
      <c r="E1070" t="n">
        <v>8</v>
      </c>
      <c r="F1070">
        <f>HYPERLINK("https://www.reddit.com/r/eyetriage/comments/ea8mfa/my_7_month_old_toddler_has_cataract_requesting_a/")</f>
        <v/>
      </c>
      <c r="G1070" t="inlineStr">
        <is>
          <t>2019-12-13 11:32:09</t>
        </is>
      </c>
      <c r="H1070" t="inlineStr"/>
    </row>
    <row r="1071">
      <c r="A1071" t="inlineStr">
        <is>
          <t>ea8nq9</t>
        </is>
      </c>
      <c r="B1071" t="inlineStr">
        <is>
          <t>Help please</t>
        </is>
      </c>
      <c r="C1071" t="inlineStr">
        <is>
          <t>Hi there I’m looking for some advice. Around 2 months ago I started getting eye pain. More like dull ache. Anyway I wear corrective lenses to help with my squint which I have with my glasses off. With them on it is fixed. One night I was sitting and made the eye go inwards not by looking at my nose but by forcing it. I done this a couple of times, the next day I tried to put contacts in and it was fine in the other eye but it felt like a discomfort in the eye I made go inwards. So I went to an optician for an opinion he said everything was fine and couldn’t see why it could be uncomfortable in the one eye with the lens in. It continued for another month and I went to a different opticians, they diagnosed me with papillary conjunctivitis. Told me not to wear lenses for a month. Anyway I fear I may have damaged my eye after doing that a few months ago and wondering if I had an eye injury, would it affect the contact lens comfort? And is the discomfort just down to the papillary conjunctivitis that’s causing the discomfort. Going out of my mind as going back to glasses would make my mental health worse and my sight is too bad for laser surgery. Any help would be much appreciated!</t>
        </is>
      </c>
      <c r="D1071" t="n">
        <v>1</v>
      </c>
      <c r="E1071" t="n">
        <v>0</v>
      </c>
      <c r="F1071">
        <f>HYPERLINK("https://www.reddit.com/r/eyetriage/comments/ea8nq9/help_please/")</f>
        <v/>
      </c>
      <c r="G1071" t="inlineStr">
        <is>
          <t>2019-12-13 11:34:59</t>
        </is>
      </c>
      <c r="H1071" t="inlineStr"/>
    </row>
    <row r="1072">
      <c r="A1072" t="inlineStr">
        <is>
          <t>eagzci</t>
        </is>
      </c>
      <c r="B1072" t="inlineStr">
        <is>
          <t>Abrasion or a lesser evil?</t>
        </is>
      </c>
      <c r="C1072" t="inlineStr">
        <is>
          <t>Can I have a corneal abrasion without pain?
Tonight at dinner, a blurry spot suddenly developed in my left eye. My sister observed a floating eyelash. I (dumbly) rubbed my dry winter eye to remove it. The eye became red and irritated, but not painful. The blurriness stopped for a few minutes, but with my dry eye all I really accomplished was causing the lash to retreat to the corner and shift back a few times. 
I went home, applied TheraTears, showered, went to bed.
Ive woken up a few hours later with the eye plastered shut. Red, goopy, with cloudy vision that is somewhat relieved by blinking 
The eye doesn’t hurt though (or even itch). The pain from my corneal abrasion years ago is seared into my memory. Are there levels of abrasion that don’t hurt? Does this sound more like another type of injury?</t>
        </is>
      </c>
      <c r="D1072" t="n">
        <v>1</v>
      </c>
      <c r="E1072" t="n">
        <v>0</v>
      </c>
      <c r="F1072">
        <f>HYPERLINK("https://www.reddit.com/r/eyetriage/comments/eagzci/abrasion_or_a_lesser_evil/")</f>
        <v/>
      </c>
      <c r="G1072" t="inlineStr">
        <is>
          <t>2019-12-13 23:46:56</t>
        </is>
      </c>
      <c r="H1072" t="inlineStr"/>
    </row>
    <row r="1073">
      <c r="A1073" t="inlineStr">
        <is>
          <t>eai9tt</t>
        </is>
      </c>
      <c r="B1073" t="inlineStr">
        <is>
          <t>Allergies with Mucus Fishing Syndrome</t>
        </is>
      </c>
      <c r="C1073" t="inlineStr">
        <is>
          <t>After ages of occasionally googling for why I have so much mucus in my eye, I finally ran across MFS. I've been dealing with it for 4 or so years, thinking I was just having allergies. While I'm glad to learn that it is usually a two week fix, I'm concerned about handling the situation in the meantime. My eyes are itchy on a daily basis, especially when there is an excess of mucus within them. (Allergy eye drops do help, though). Even worse, I wake up unable to see through the mess of mucus. I don't know if this is relevant, but I also wake up stuffy and with yellow mucus in both the eyes and nose, while it is whitish clear through the rest of the day. Either way, all the mucus is itchy. 
So what I'd like to know are these:
1. How should I go about trying to see in the mornings with such an excess of mucus? Is rubbing eyes safe?
2. Will this prevent the yellow drainage from morning allergies? And for anyone who knows, is it possible this will solve my sinus issue or do you know of a way to fix it?
3. How do I deal with the itchiness of this mucus? Will the antihistamine eye drops help?
Thanks for reading this, because I would love help.</t>
        </is>
      </c>
      <c r="D1073" t="n">
        <v>1</v>
      </c>
      <c r="E1073" t="n">
        <v>1</v>
      </c>
      <c r="F1073">
        <f>HYPERLINK("https://www.reddit.com/r/eyetriage/comments/eai9tt/allergies_with_mucus_fishing_syndrome/")</f>
        <v/>
      </c>
      <c r="G1073" t="inlineStr">
        <is>
          <t>2019-12-14 02:36:42</t>
        </is>
      </c>
      <c r="H1073" t="inlineStr"/>
    </row>
    <row r="1074">
      <c r="A1074" t="inlineStr">
        <is>
          <t>ean5md</t>
        </is>
      </c>
      <c r="B1074" t="inlineStr">
        <is>
          <t>My eye felt watery and cold for about 10 to 15 minutes after I poked it. There is no redness or pain, should I be concerned?</t>
        </is>
      </c>
      <c r="C1074" t="inlineStr">
        <is>
          <t>I accidentally moved my index finger to my eye with my fingernail directly in front of my eye, and i'm pretty sure I did touch it. Could I have scratched my cornea or is this minor enough to ignore?</t>
        </is>
      </c>
      <c r="D1074" t="n">
        <v>1</v>
      </c>
      <c r="E1074" t="n">
        <v>1</v>
      </c>
      <c r="F1074">
        <f>HYPERLINK("https://www.reddit.com/r/eyetriage/comments/ean5md/my_eye_felt_watery_and_cold_for_about_10_to_15/")</f>
        <v/>
      </c>
      <c r="G1074" t="inlineStr">
        <is>
          <t>2019-12-14 10:18:15</t>
        </is>
      </c>
      <c r="H1074" t="inlineStr"/>
    </row>
    <row r="1075">
      <c r="A1075" t="inlineStr">
        <is>
          <t>eap8e9</t>
        </is>
      </c>
      <c r="B1075" t="inlineStr">
        <is>
          <t>Do I have eye flashes?</t>
        </is>
      </c>
      <c r="C1075" t="inlineStr">
        <is>
          <t>I (28 M) have been having eye floaters for the last 3 months. There seems to be half a dozen of them in my left eye and two of them in my right eye. I had never experienced floaters before, I didn't even know that it existed. Anyway, I've never had to wear glasses and I have a very good sight.
I've already seen an ophtalmologist and scheduled all the exams that she asked me to do. As I began reading about it on the internet, I also found out about eye flashes and at first I thought I didn't have those, I thought I only had floaters. But now I'm a little paranoid about also having flashes. It's just that I'm not sure wether what I'm experiencing is really eye flashes. Let me describe it.
Most of my floaters are on my left eye. Whenever I turn my head or my eyes swiftly from left to right, one of the floaters of my left eye seems to get bright, it seems to become a bright spot, and then the brightness disappears after a second.
It's important to note that it only happens when I'm at a bright room. It never happens when I'm in a dark room. Anyway, it ALWAYS happens whenever I turn my head of my eyes very swiftly from left to right in a bright room (especially looking at a white wall).
Can it be considered an eye flash?</t>
        </is>
      </c>
      <c r="D1075" t="n">
        <v>1</v>
      </c>
      <c r="E1075" t="n">
        <v>1</v>
      </c>
      <c r="F1075">
        <f>HYPERLINK("https://www.reddit.com/r/eyetriage/comments/eap8e9/do_i_have_eye_flashes/")</f>
        <v/>
      </c>
      <c r="G1075" t="inlineStr">
        <is>
          <t>2019-12-14 12:57:26</t>
        </is>
      </c>
      <c r="H1075" t="inlineStr"/>
    </row>
    <row r="1076">
      <c r="A1076" t="inlineStr">
        <is>
          <t>eaqt5f</t>
        </is>
      </c>
      <c r="B1076" t="inlineStr">
        <is>
          <t>Bubble/ Bump on eyeball</t>
        </is>
      </c>
      <c r="C1076" t="inlineStr">
        <is>
          <t>Just looking for advice for what to do and what Dr to see.
I have a bump that comes up on my left eye, in the same spot. It comes and goes. It is on the white part of my eyeball closest to my ear. 
I will have it a most days usually in the morning then it goes away for the day. Then the next morning it is back. Sometimes it gives me a few days off. Then I wake up one morning and it's back.  (It also comes during the day sometimes but usually the morning is a reoccurring thing)
It started in September for a week. Went to my general practitioner she said it was a sty (but I thought those could only be on the lid not the eye ball) so no intervention except for saline eye drops. It went away after a week. 
It stayed away until almost a month later in October. I have been to a ear,eye,nose and throat specialist twice. Neither time I went it was active when I had my appointment. So they said maybe it's an allergy to ragweed, gave me steroid eye drops for a week and told me it should go away.  Ragweed season is done in my area but the bump persists. The eye Dr also told me to use alaway eye drops. They do nothing for the bump itself but if my eye is itchy and I use them it helps that. 
It has been coming and going ever since. It hurts really bad when it is active, and is very irritating. 
It feels like something is in my eye, it burns and when it gets really bad sometimes my eyelids burn. (There is no physical change except the bump on my eyeball getting bigger, smaller or going away) 
[Bump on eyeball](https://ibb.co/61zDRqC)
I have more pictures if it would help. 
Update: I got put on methylprednisolone for a week for carpal tunnel and it completely went away for 8 days. Which is the longest it has not bothered me. 
Out of the past 58 days I haven't had the bump come up for 15 days. :( :( 
Any idea of what it could be? Any idea of anything I can take to make it go away or stay away? Any ideas would be helpful or what kind of Dr I should go see next? Again I am desperate and lost of what I should do about this. 
34 Female
5ft 10in, 220 lbs
Medications: hydrocodone and flexaril as needed for spinal stenosis
Conditions: spinal stenosis, astigmatism, psoriasis, carpal tunnel and arthritis
No known allergies
Current smoker
Lives in USA</t>
        </is>
      </c>
      <c r="D1076" t="n">
        <v>1</v>
      </c>
      <c r="E1076" t="n">
        <v>4</v>
      </c>
      <c r="F1076">
        <f>HYPERLINK("https://www.reddit.com/r/eyetriage/comments/eaqt5f/bubble_bump_on_eyeball/")</f>
        <v/>
      </c>
      <c r="G1076" t="inlineStr">
        <is>
          <t>2019-12-14 15:03:25</t>
        </is>
      </c>
      <c r="H1076" t="inlineStr"/>
    </row>
    <row r="1077">
      <c r="A1077" t="inlineStr">
        <is>
          <t>eav400</t>
        </is>
      </c>
      <c r="B1077" t="inlineStr">
        <is>
          <t>Wore Biofinity toric for years, suddenly insanely blurry. Tried dry eye options, adjusting the prescription... no success. Tried Acuvue, Air Optix new trials. Acuvue incredibly blurry, Air Optix completely clear... Why is this, what happened to cause this change?</t>
        </is>
      </c>
      <c r="C1077" t="inlineStr">
        <is>
          <t>Prescription (Biofinity Toric)
L +3.00 -.75 AX150
R +4.00 -1.25 AX030
BC 8.7 DIA 14.5
The only difference is that the Air Optix and Acuvue are both AX160/AX020 instead of 150/030 (didn't even notice this until writing this post, but the Acuvue are blurry with these too). Would this make a large difference? It felt like my eyes could never relax and clear. Always slightly out of focus which would cause fluctuation issues and accomodation struggles. Tried dry eye treatments (xiidra, omega 3 refresh drops 4x daily, added in Systane Ultra, warm compress mask, bought a vicks warm mist humidifier, duct plugs), nothing helps. Vision clearer without contacts than with contacts. Been driving me insane and honestly ruining my life to an extent, since it's been hard to handle the blur. But now after a year of back and forth (only get seen once a month), this Air Optix seems good? And I have a fresh pair of the Biofinity Torics in front of me too, and same issue, so it's very apparent the difference between two brand new lenses. Even switching back and forth, immediately, is obvious.
Why is this? I wore Biofinity Toric from 2011-2015 and then started having these issues with out of focusness / blurriness. Switched to glasses for awhile, but broke mine after a few years and have been trying contacts again as it helps me much more than glasses due to being amblyopic (right eye, not left which is the problem in this post) and glasses making me dizzy due to that / my prescription in general (?).
Additionally, I was told with my astigmatism, I cannot do scelerl / RGP lenses / hard lenses? Is that true? My major issue is that all light (especially blue lights, like on a router or christmas lights) has a double on top and behind it. I've been told this is irregular astigmatism, but I've also been told I am not a candidate for hard lenses due to dryness / astigmatism? Isn't that... what hard lenses are for?
Thank you! Are there other brands of contacts that could be recommended given this information?</t>
        </is>
      </c>
      <c r="D1077" t="n">
        <v>1</v>
      </c>
      <c r="E1077" t="n">
        <v>1</v>
      </c>
      <c r="F1077">
        <f>HYPERLINK("https://www.reddit.com/r/eyetriage/comments/eav400/wore_biofinity_toric_for_years_suddenly_insanely/")</f>
        <v/>
      </c>
      <c r="G1077" t="inlineStr">
        <is>
          <t>2019-12-14 21:36:11</t>
        </is>
      </c>
      <c r="H1077" t="inlineStr"/>
    </row>
    <row r="1078">
      <c r="A1078" t="inlineStr">
        <is>
          <t>eb535h</t>
        </is>
      </c>
      <c r="B1078" t="inlineStr">
        <is>
          <t>Why do entopic phenomena seem to be worse in the morning?</t>
        </is>
      </c>
      <c r="C1078" t="inlineStr">
        <is>
          <t>Hey everyone! Exactly what the title says, I was wondering why they're more "intense", in the morning. You know the weirdness you see when you push on your eye? Or in my case, turning them to the extreme sides? (Which I've since learned is totally normal and to stop freaking out about. Ever since I've gained a level head these things fascinate me more than scare me) what would cause these to happen more around the time you wake up? Eye pressure? I've also noticed it happens in different spots, i.e in the morning, eyes closed, say I turn my eyes to the extreme right side, normally just my left eye bugs out, but in the morning now I've noticed a little spot in the left eye gets a little blue light for a split second. So I'm assuming it has something to do with eye pressure? Idk, thank you in advance!</t>
        </is>
      </c>
      <c r="D1078" t="n">
        <v>1</v>
      </c>
      <c r="E1078" t="n">
        <v>0</v>
      </c>
      <c r="F1078">
        <f>HYPERLINK("https://www.reddit.com/r/eyetriage/comments/eb535h/why_do_entopic_phenomena_seem_to_be_worse_in_the/")</f>
        <v/>
      </c>
      <c r="G1078" t="inlineStr">
        <is>
          <t>2019-12-15 13:34:42</t>
        </is>
      </c>
      <c r="H1078" t="inlineStr"/>
    </row>
    <row r="1079">
      <c r="A1079" t="inlineStr">
        <is>
          <t>ebafyx</t>
        </is>
      </c>
      <c r="B1079" t="inlineStr">
        <is>
          <t>(URGENT) laser eye surgery this Tuesday</t>
        </is>
      </c>
      <c r="C1079" t="inlineStr">
        <is>
          <t>I was told I have a small pinhole in my left retina eye. I’m required to do laser this Tuesday. I read that it causes permanent vision loss. Is there any alternative I can do that isn’t this risky? Please help thank you</t>
        </is>
      </c>
      <c r="D1079" t="n">
        <v>1</v>
      </c>
      <c r="E1079" t="n">
        <v>12</v>
      </c>
      <c r="F1079">
        <f>HYPERLINK("https://www.reddit.com/r/eyetriage/comments/ebafyx/urgent_laser_eye_surgery_this_tuesday/")</f>
        <v/>
      </c>
      <c r="G1079" t="inlineStr">
        <is>
          <t>2019-12-15 20:54:52</t>
        </is>
      </c>
      <c r="H1079" t="inlineStr"/>
    </row>
    <row r="1080">
      <c r="A1080" t="inlineStr">
        <is>
          <t>ebpvdc</t>
        </is>
      </c>
      <c r="B1080" t="inlineStr">
        <is>
          <t>Moving bead of light in peripheral vision</t>
        </is>
      </c>
      <c r="C1080" t="inlineStr">
        <is>
          <t>Intermittent and both eyes. Lasts a second at a time. Not retinal detachment. Any ideas?</t>
        </is>
      </c>
      <c r="D1080" t="n">
        <v>1</v>
      </c>
      <c r="E1080" t="n">
        <v>0</v>
      </c>
      <c r="F1080">
        <f>HYPERLINK("https://www.reddit.com/r/eyetriage/comments/ebpvdc/moving_bead_of_light_in_peripheral_vision/")</f>
        <v/>
      </c>
      <c r="G1080" t="inlineStr">
        <is>
          <t>2019-12-16 19:04:34</t>
        </is>
      </c>
      <c r="H1080" t="inlineStr"/>
    </row>
    <row r="1081">
      <c r="A1081" t="inlineStr">
        <is>
          <t>ebun4v</t>
        </is>
      </c>
      <c r="B1081" t="inlineStr">
        <is>
          <t>PVD symptom still going after several years?</t>
        </is>
      </c>
      <c r="C1081" t="inlineStr">
        <is>
          <t>Around 3 years ago, I saw a "flash" in my left eye. This was on the right side of my left-eye's field of vision, about half-a-centimetre to the right from the centre of the Amsler Grid and, and maybe 1/4 of a centimetre down.
When this calmed down a bit, it became a bit like a camera flash after-image which didn't go away, so I went to Specsavers and was referred to the eye unit at a nearby hospital.
They performed the full range of scans; a visual field test, something which involved laser-scanning my retina, simply looking at the problem with my eyes dilated...
As I was in my mid-30s, the doctor was really trying to convince me this problem was a floater, but I was pretty sure it wasn't as the problem was "fixed" (it moved in perfect tandem with the movement of my eye, no drift). Still, the nature of the tests they did meant they strongly believed I hadn't suffered a retinal tear or detatchment.
After much examination, the doctor said they believed I was suffering from a mild form of PVD, and that I should keep aware of it and only come back if the problem got worse. They said I should avoid anything which would "jar" my head for a few months, so stuff like intense exercise or rollercoasters and the like, but that I should expect this as I got older, and it *should* get better over time (though could take months).
It's now maybe 2 years later, and I can still see the mark in my eye. It's definitely less noticeable than it once was (like I have to drift my eye across the correct light conditions to see it, like if I drift it over the scrollbar at the edge of a computer screen) and it has become smaller, but it's still there - and it hasn't really changed since maybe a year after it first appeared.
I had a scare recently where I saw another mark in the same eye, but I'm having sinus pains after a recent bout of flu and fortunately this didn't stay. Still, it's made me super-conscious of this.
However, when I look up PVD symptoms online, such as here...
[https://www.rnib.org.uk/eye-health/eye-conditions/posterior-vitreous-detachment](https://www.rnib.org.uk/eye-health/eye-conditions/posterior-vitreous-detachment)
... they generally say that PVD symptoms should pretty much disappear within a few months, and this has remained.
I can live with it, but it's really annoying. Sometimes I'm reading text and my eye is drawn to it, like it looks like a letter further along the page is smudged. I write as a major part of my profession so you can see why this might be irritating.
It's also worrying living with the constant fear of it getting worse. I get nightmares of waking up one morning and my whole vision is covered in them.
Anyway, if anyone can offer advice, I'd much appreciate it. Should I go back to the eye hospital and suggest they examine me again?</t>
        </is>
      </c>
      <c r="D1081" t="n">
        <v>1</v>
      </c>
      <c r="E1081" t="n">
        <v>3</v>
      </c>
      <c r="F1081">
        <f>HYPERLINK("https://www.reddit.com/r/eyetriage/comments/ebun4v/pvd_symptom_still_going_after_several_years/")</f>
        <v/>
      </c>
      <c r="G1081" t="inlineStr">
        <is>
          <t>2019-12-17 03:24:40</t>
        </is>
      </c>
      <c r="H1081" t="inlineStr"/>
    </row>
    <row r="1082">
      <c r="A1082" t="inlineStr">
        <is>
          <t>ecij12</t>
        </is>
      </c>
      <c r="B1082" t="inlineStr">
        <is>
          <t>Sun in my eyes multiple times</t>
        </is>
      </c>
      <c r="C1082" t="inlineStr">
        <is>
          <t>Since it’s winter and the sun is low, the sun frequently gets in my eyes when I’m playing sports outside. It’s usually in my eyes for no more than 5 seconds but that’s still a long time for damage to occur right? How do I know if my eyes got damaged or not.</t>
        </is>
      </c>
      <c r="D1082" t="n">
        <v>1</v>
      </c>
      <c r="E1082" t="n">
        <v>9</v>
      </c>
      <c r="F1082">
        <f>HYPERLINK("https://www.reddit.com/r/eyetriage/comments/ecij12/sun_in_my_eyes_multiple_times/")</f>
        <v/>
      </c>
      <c r="G1082" t="inlineStr">
        <is>
          <t>2019-12-18 12:58:38</t>
        </is>
      </c>
      <c r="H1082" t="inlineStr"/>
    </row>
    <row r="1083">
      <c r="A1083" t="inlineStr">
        <is>
          <t>ecq4eu</t>
        </is>
      </c>
      <c r="B1083" t="inlineStr">
        <is>
          <t>Visual artifacts after accident</t>
        </is>
      </c>
      <c r="C1083" t="inlineStr">
        <is>
          <t>A year ago I was in a bus that hit a cow, which caused me to get thrown around (think ragdoll and imagine this being a few rows of jostling down the aisle) and hit my head a few times. So many issues. Now, I’m on a list for a neuroopthalmologist but I apparently picked the busiest time of year to have these issues and have weeks to wait. However, until then, I have two issues that I’m trying to understand:
1) When I turn my head but maintain focus on a spot (an exercise my physical therapist ordered) circles appear, one big grey one and to its right a small sunburst that looks like a pull/warp deformation from photoshop (think a circle of grey with a black hole effect). Flashes happen in this region. I have trouble focusing and my eyes twitch back and forth, so there’s a lot of these exercises and, by extension, these images.
2) I’m red-green colorblind, and at night my vision seems to perceive a red LED as yellow or greenish, along with a spiky halo and a visual copy. Is this an issue with bad focusing? My colorblindness? Or could it be trauma/psychogenic? I’m so confused by this one, especially since it seems red 99% of the time.
I’m a historian by trade, which means I read a lot every day. Having vision issues is bad for the brand, so to speak. I’m grateful for literally any idea, and if this seems critical, I’ll happily (?) take advice on whether urgent care or whatever is necessary.</t>
        </is>
      </c>
      <c r="D1083" t="n">
        <v>1</v>
      </c>
      <c r="E1083" t="n">
        <v>4</v>
      </c>
      <c r="F1083">
        <f>HYPERLINK("https://www.reddit.com/r/eyetriage/comments/ecq4eu/visual_artifacts_after_accident/")</f>
        <v/>
      </c>
      <c r="G1083" t="inlineStr">
        <is>
          <t>2019-12-18 23:49:46</t>
        </is>
      </c>
      <c r="H1083" t="inlineStr"/>
    </row>
    <row r="1084">
      <c r="A1084" t="inlineStr">
        <is>
          <t>ecr1h3</t>
        </is>
      </c>
      <c r="B1084" t="inlineStr">
        <is>
          <t>Implant abrading iris, possibly causing pigmentary glaucoma</t>
        </is>
      </c>
      <c r="C1084" t="inlineStr">
        <is>
          <t>I have had a bunch of surgery for an RD in 2016, culminating in a lens implant in September 2018. Since the implant, I noticed that there was what I thought was debris floating around in there, and occasionally my vision would get cloudy. I have been getting high IOP, which has been managed with drops, but during a recent visit, after another bout of cloudy vison, my consultant said it seemed that the implant was rubbing against the iris causing shedding of pigment.
Of course I did the worst thing possible - go on the internet. I found a bunch of papers on pigmentary glaucoma and iris abrasion, none of which filled me with positivity. I am of course going back to my ophthalmologist regularly, but am wondering what experiences others may have had. Is there any treatment that doesn't carry at least as much risk as the condition itself, apart from maintenance via medication/drops.</t>
        </is>
      </c>
      <c r="D1084" t="n">
        <v>1</v>
      </c>
      <c r="E1084" t="n">
        <v>2</v>
      </c>
      <c r="F1084">
        <f>HYPERLINK("https://www.reddit.com/r/eyetriage/comments/ecr1h3/implant_abrading_iris_possibly_causing_pigmentary/")</f>
        <v/>
      </c>
      <c r="G1084" t="inlineStr">
        <is>
          <t>2019-12-19 01:41:34</t>
        </is>
      </c>
      <c r="H1084" t="inlineStr"/>
    </row>
    <row r="1085">
      <c r="A1085" t="inlineStr">
        <is>
          <t>ed7mb4</t>
        </is>
      </c>
      <c r="B1085" t="inlineStr">
        <is>
          <t>Help understanding glasses prescription? Should I wear them all the time?</t>
        </is>
      </c>
      <c r="C1085" t="inlineStr">
        <is>
          <t>Hi there. 
I recently renewed my prescription for glasses in South Korea. I am not a native speaker of Korean and English is my first language so there is some difficulty in fully understanding the optometrist I visited.
From what I can gather researching my prescription I am far sighted. Prior to being tested in Korea I was only tested in New Zealand and told to wear my glasses for close up work (reading, computer, etc). The first time I saw an optom. in Korea, he told me to wear my glasses all the time. Since doing so I have had a dramatic reduction in headaches which I now attribute to my vision. 2 years later I have renewed my prescription and am a little confused once again. 
My prescription is:
OD Nothing written in SPH +0.25 CYL 85 Axis 69 PD
OS +0.25 SPH +0.25 CYL 90 AXIS 
I have read this is an extremely weak prescription and should not make any significant change to my vision. Is this true?
Can someone please explain why wearing my glasses permanently seems to help with vision related headaches? I have been told all my life just to use them for reading. 
Thanks for your help.</t>
        </is>
      </c>
      <c r="D1085" t="n">
        <v>1</v>
      </c>
      <c r="E1085" t="n">
        <v>2</v>
      </c>
      <c r="F1085">
        <f>HYPERLINK("https://www.reddit.com/r/eyetriage/comments/ed7mb4/help_understanding_glasses_prescription_should_i/")</f>
        <v/>
      </c>
      <c r="G1085" t="inlineStr">
        <is>
          <t>2019-12-20 00:52:46</t>
        </is>
      </c>
      <c r="H1085" t="inlineStr"/>
    </row>
    <row r="1086">
      <c r="A1086" t="inlineStr">
        <is>
          <t>ed8jk9</t>
        </is>
      </c>
      <c r="B1086" t="inlineStr">
        <is>
          <t>Lesion on my lower lid</t>
        </is>
      </c>
      <c r="C1086" t="inlineStr">
        <is>
          <t>I had a chalazion/stye, that left me with some growth/lesion on my lower lid. It's red and the lid under it is little bit swollen. 
I got the infection on my upper lid first, then lower. The doctor prescribed me drops and cream over the phone. At the apothecary they only had drops, and the woman told me "well the cream is the same so I don't know why he would prescribe both". I took whatever they had.
Anyways, the infection went away and I am left with this red lesion that's been there for a month and is not healing. It doesn't hurt, but I can feel it's there and it's uncomfortable. 
I googled and well of course it told me I have cancer! I urgently booked an appointment with my gp. He wasn't happy that I used only drops and not cream. He agrees there is indeed some growth but believes it's benign and it's a leftover from the infection that will probably resolve in several months. He refered me to an eye specialist but I probably won't get an appointment for another 2-3 weeks. He didn't prescribe anything. 
I am still very concerned about this growth. I think even if my gp thinks it's not benign, he wouldn't tell me. 
What are the chances that such lesion that doesn't resolve itself for at least a month is benign? What are treatment options? 
I can provide a photo if necessary.
I'm too young to die :-(</t>
        </is>
      </c>
      <c r="D1086" t="n">
        <v>1</v>
      </c>
      <c r="E1086" t="n">
        <v>3</v>
      </c>
      <c r="F1086">
        <f>HYPERLINK("https://www.reddit.com/r/eyetriage/comments/ed8jk9/lesion_on_my_lower_lid/")</f>
        <v/>
      </c>
      <c r="G1086" t="inlineStr">
        <is>
          <t>2019-12-20 02:41:52</t>
        </is>
      </c>
      <c r="H1086" t="inlineStr"/>
    </row>
    <row r="1087">
      <c r="A1087" t="inlineStr">
        <is>
          <t>eden3e</t>
        </is>
      </c>
      <c r="B1087" t="inlineStr">
        <is>
          <t>Barrier Laser Photocoagulation for Retinal Hole</t>
        </is>
      </c>
      <c r="C1087" t="inlineStr">
        <is>
          <t xml:space="preserve"> 
Hello,
I am a 31 year old female. I had lasik surgery back in 2013 to correct a mild nearsighted prescription. A few years ago I noticed my right eye was regressing and had become a little blurry, but with both eyes I still had excellent vision. I have also always had floaters but never an increasing amount.
A few months ago I started noticing flickering lights at the top of my vision. I would always think the lights were flickering at work and home, but they weren't. Yesterday I went to an opthamologist and he said he found 2 small retinal holes in my right eye. He suggested "barrier laser photocoagulation" surgery. He said it was a short but painful procedure with a high rate of success. The surgery is booked for 3 weeks from now.
Has anyone had this done? Or has any insight to the procedure? I am FREAKED OUT. My anxiety is through the roof. Of course I have read about the potential complications of the surgery and its really concerning me. I am aware that not having the surgery puts me at risk of a retinal detachment.
Interestingly enough, the opthamologist told me retinal holes are more common among those who have had Lasik. I wish I knew that.
Any insight would be great.
TL;DR Has anyone had barrier laser photocoagulation done? Or has any insight to the procedure? Thanks.</t>
        </is>
      </c>
      <c r="D1087" t="n">
        <v>1</v>
      </c>
      <c r="E1087" t="n">
        <v>8</v>
      </c>
      <c r="F1087">
        <f>HYPERLINK("https://www.reddit.com/r/eyetriage/comments/eden3e/barrier_laser_photocoagulation_for_retinal_hole/")</f>
        <v/>
      </c>
      <c r="G1087" t="inlineStr">
        <is>
          <t>2019-12-20 11:19:38</t>
        </is>
      </c>
      <c r="H1087" t="inlineStr"/>
    </row>
    <row r="1088">
      <c r="A1088" t="inlineStr">
        <is>
          <t>edj9lk</t>
        </is>
      </c>
      <c r="B1088" t="inlineStr">
        <is>
          <t>Do dry eyes ever go away?</t>
        </is>
      </c>
      <c r="C1088" t="inlineStr">
        <is>
          <t>I've had severe dry eyes for 6 months.
I've stopped wearing contact lenses, no makeup - no eyeliner or mascara, solely wear glasses now. I do a hot compress with a hot cup (more pressure and the heat lasts longer than a hot towel) either every day or every other day. I've been frequently using Optrex Night Restore Gel Drops which contains Sodium Hyaluronate 0.4% and no preservatives.
The hot compress brings short term relief but doesn't seem to do much in the long term. The biggest difference came when I started using the Optrex eye drops last month as the inflammation goes when I use it frequently.
Now I'm wondering if it'll go away at all or if it's going to be with me for a long time. I'd hate for it to be longer lasting that it has been so far.</t>
        </is>
      </c>
      <c r="D1088" t="n">
        <v>1</v>
      </c>
      <c r="E1088" t="n">
        <v>10</v>
      </c>
      <c r="F1088">
        <f>HYPERLINK("https://www.reddit.com/r/eyetriage/comments/edj9lk/do_dry_eyes_ever_go_away/")</f>
        <v/>
      </c>
      <c r="G1088" t="inlineStr">
        <is>
          <t>2019-12-20 17:26:51</t>
        </is>
      </c>
      <c r="H1088" t="inlineStr"/>
    </row>
    <row r="1089">
      <c r="A1089" t="inlineStr">
        <is>
          <t>edrm7f</t>
        </is>
      </c>
      <c r="B1089" t="inlineStr">
        <is>
          <t>Can someone explain these vision requirements to me (for license)?</t>
        </is>
      </c>
      <c r="C1089" t="inlineStr">
        <is>
          <t>Minimum Vision Requirements (with or without corrective lenses)
No less than 20/40 in the best eye; OR
No less than 20/70 in the best eye AND
Field of vision at least 140 degrees
------
I do not wear glasses or have contacts. I can read the entirety of a standard eye chart with my right eye. With my left eye I have trouble making it below the 20/50 or 20/40 line, and even those require me squinting and kinda moving around. With both eyes I can read the entire chart. I don't know exactly what a field of vision of 140 degrees means, but I'd say if I am looking directly straight and don't articulate my eyes in any direction, I can hold my hands straight out at my sides and see both of them. I'm no math major but that sounds like I can see 180 degrees.
Based on my description, have I met the vision requirements?
----
Spoiler: They said I failed the vision test. It was not on a standard eye chart. Was a contraption where you rest your forehead and look into some binoculars and there are three columns of numbers. I read the middle and right columns fine, and basically couldn't see anything in the left column - like the numbers were invisible. Squinting and fidgeting around I could eventually make out that there were objects there - just couldn't read them.
---
Thanks!</t>
        </is>
      </c>
      <c r="D1089" t="n">
        <v>1</v>
      </c>
      <c r="E1089" t="n">
        <v>11</v>
      </c>
      <c r="F1089">
        <f>HYPERLINK("https://www.reddit.com/r/eyetriage/comments/edrm7f/can_someone_explain_these_vision_requirements_to/")</f>
        <v/>
      </c>
      <c r="G1089" t="inlineStr">
        <is>
          <t>2019-12-21 08:08:14</t>
        </is>
      </c>
      <c r="H1089" t="inlineStr"/>
    </row>
    <row r="1090">
      <c r="A1090" t="inlineStr">
        <is>
          <t>edy8bb</t>
        </is>
      </c>
      <c r="B1090" t="inlineStr">
        <is>
          <t>Weird dimming near nose when straining eyes and flashes in peripheral? Normal?</t>
        </is>
      </c>
      <c r="C1090" t="inlineStr">
        <is>
          <t>Hey everyone, thanks for your time. I seem to have 3 bothering symptoms with my vision.
1: When I turn my eyes too far to the sides or even up or down, I seem to get a bluish grey dimming the fills up close to the center of my vision. For example, if I look too far to the left then I get a dimming in my right eye near my nose. Same thing when I look to the right, I also get the dimming in my left eye, near my nose. Almost seems like a dim circle, definitely not floaters. It fades out when I look back/normal. I can notice this especially when its cloudy outside, and I Look around. The dimming quickly fills close to the center and fades just as quick when Im done turning my head/looking around.
2: In extremely bright environments, and dimly lit environments I notice flashes and wavy lines (NOT floaters) in the peripheral vision of both eyes when I move them left to right. If I also keep my vision fixed on one point and shake my head back and forth (like I'm shaking my head "no") this also induces flashes in the peripheral of both eyes. There is also a straight dim line in the peripheral of my left eye that grows the farther I turn my head with my vision fixed on something
3: I seem to get ghosting on high contrast scenarios. It changes with blinking and happens in both eyes. Looks exactly like this [https://i.imgur.com/IHWBflS.png](https://i.imgur.com/IHWBflS.png)
&amp;amp;#x200B;
I have seen 5 different ophthalmologists that look at my eyes and say there is nothing wrong. How can these be? Do I need to see a retinal specialists and get an OCT? Or is this normal and am I overreacting? thanks!</t>
        </is>
      </c>
      <c r="D1090" t="n">
        <v>1</v>
      </c>
      <c r="E1090" t="n">
        <v>2</v>
      </c>
      <c r="F1090">
        <f>HYPERLINK("https://www.reddit.com/r/eyetriage/comments/edy8bb/weird_dimming_near_nose_when_straining_eyes_and/")</f>
        <v/>
      </c>
      <c r="G1090" t="inlineStr">
        <is>
          <t>2019-12-21 17:05:00</t>
        </is>
      </c>
      <c r="H1090" t="inlineStr"/>
    </row>
    <row r="1091">
      <c r="A1091" t="inlineStr">
        <is>
          <t>ee1ugb</t>
        </is>
      </c>
      <c r="B1091" t="inlineStr">
        <is>
          <t>My vision in my right eye has been getting randomly blurry for ~2 hrs. Is this a cause for concern?</t>
        </is>
      </c>
      <c r="C1091" t="inlineStr">
        <is>
          <t>I keep on looking in the mirrror to see if something is on my eye, but i've found nothing. Trying rinsing my eye and still no improvement. It comes and goes, if i blink several times it goes away. The blurry spot appears in roughly the same spot everytime, roughly the lower right quadrant of my right eye, but it sometimes changes size. I have minor dry eyes. i've never gotten this symptom before. **Is it just gonna go away on it's own in a few hrs?**
Medications: cyclosporin, eye drops/lubricants
Age - 26 Sex - m Height - 175 Weight - 70 kg</t>
        </is>
      </c>
      <c r="D1091" t="n">
        <v>1</v>
      </c>
      <c r="E1091" t="n">
        <v>4</v>
      </c>
      <c r="F1091">
        <f>HYPERLINK("https://www.reddit.com/r/eyetriage/comments/ee1ugb/my_vision_in_my_right_eye_has_been_getting/")</f>
        <v/>
      </c>
      <c r="G1091" t="inlineStr">
        <is>
          <t>2019-12-21 22:50:02</t>
        </is>
      </c>
      <c r="H1091" t="inlineStr"/>
    </row>
    <row r="1092">
      <c r="A1092" t="inlineStr">
        <is>
          <t>eeag0b</t>
        </is>
      </c>
      <c r="B1092" t="inlineStr">
        <is>
          <t>Alternative to Spersalllerg eyedrops?</t>
        </is>
      </c>
      <c r="C1092" t="inlineStr">
        <is>
          <t>I've used Spersallerg for many years, but cannot find it in Vietnam.
My options here are:
1. Alegysal (Perimolast) - bought a bottle today
2. Pataday
3. Lotemax
Which do you recommend I swop over to for daily use?</t>
        </is>
      </c>
      <c r="D1092" t="n">
        <v>1</v>
      </c>
      <c r="E1092" t="n">
        <v>4</v>
      </c>
      <c r="F1092">
        <f>HYPERLINK("https://www.reddit.com/r/eyetriage/comments/eeag0b/alternative_to_spersalllerg_eyedrops/")</f>
        <v/>
      </c>
      <c r="G1092" t="inlineStr">
        <is>
          <t>2019-12-22 13:16:03</t>
        </is>
      </c>
      <c r="H1092" t="inlineStr"/>
    </row>
    <row r="1093">
      <c r="A1093" t="inlineStr">
        <is>
          <t>eeij19</t>
        </is>
      </c>
      <c r="B1093" t="inlineStr">
        <is>
          <t>Does this have a name?</t>
        </is>
      </c>
      <c r="C1093" t="inlineStr">
        <is>
          <t>White lines/spots appearing in peripheral vision after widening eyes and  moving. Moving head left and right or widening my eyes makes it  clearer. I am not here for medical advice/diagnosis. My eyes were checked and there was nothing problematic. I am genuinely curious about this thing, can someone tell me what it is called?</t>
        </is>
      </c>
      <c r="D1093" t="n">
        <v>1</v>
      </c>
      <c r="E1093" t="n">
        <v>6</v>
      </c>
      <c r="F1093">
        <f>HYPERLINK("https://www.reddit.com/r/eyetriage/comments/eeij19/does_this_have_a_name/")</f>
        <v/>
      </c>
      <c r="G1093" t="inlineStr">
        <is>
          <t>2019-12-23 01:40:35</t>
        </is>
      </c>
      <c r="H1093" t="inlineStr"/>
    </row>
    <row r="1094">
      <c r="A1094" t="inlineStr">
        <is>
          <t>eekejl</t>
        </is>
      </c>
      <c r="B1094" t="inlineStr">
        <is>
          <t>Looking for ways to cope with a floater in my central vision.</t>
        </is>
      </c>
      <c r="C1094" t="inlineStr">
        <is>
          <t>So I went to my ophthalmologist two weeks ago to follow-up on a Laser Eye injury I received during a performance where looked at the light source of a class 3B laser for about 1 second (on a side note, who knows why a venue would point a Class 3B laser into a crowd/stage area). My OCT showed no signs of permanent damage to my macula, but they said they could tell that something happened at one point. I told them I have a floater in each eye, and they both start at a darkened dot, and then trail off in the shape of a snake. They said it's possibly because of my nearsightedness, and that if any new floaters pop up unexpectedly, to call their office right away.
Is there any where to cope with reading a computer screen with the bothersome floater in my left eye? It's darker than the one in my right, and I'm various methods like blocking off the part of my vision it's in with my hand, but when I got to type, it's still there. I thought of wearing an eye patch, but then I figured the eye wouldn't learn how to focus light around. However, considering it's in the central vision, that might be difficult, and I might have to just learn how to live with it in my sight for the rest of my life. Any pointers? (~~no pun intended~~)</t>
        </is>
      </c>
      <c r="D1094" t="n">
        <v>1</v>
      </c>
      <c r="E1094" t="n">
        <v>20</v>
      </c>
      <c r="F1094">
        <f>HYPERLINK("https://www.reddit.com/r/eyetriage/comments/eekejl/looking_for_ways_to_cope_with_a_floater_in_my/")</f>
        <v/>
      </c>
      <c r="G1094" t="inlineStr">
        <is>
          <t>2019-12-23 05:08:03</t>
        </is>
      </c>
      <c r="H1094" t="inlineStr"/>
    </row>
    <row r="1095">
      <c r="A1095" t="inlineStr">
        <is>
          <t>eezm06</t>
        </is>
      </c>
      <c r="B1095" t="inlineStr">
        <is>
          <t>Mild dark spot in peripheral vision related to floaters? General question, not a medical advice/diagnosis.</t>
        </is>
      </c>
      <c r="C1095" t="inlineStr">
        <is>
          <t xml:space="preserve"> Do  people who suffer from floaters may also see dark spots in peripheral  vision? I know it was related to the vitreous gel. Have you ever had similar experiences or patients with floaters tell you about that?
Again. I am not looking for medical advice but just knowledge. My eyes were checked and there was nothing problematic.</t>
        </is>
      </c>
      <c r="D1095" t="n">
        <v>1</v>
      </c>
      <c r="E1095" t="n">
        <v>0</v>
      </c>
      <c r="F1095">
        <f>HYPERLINK("https://www.reddit.com/r/eyetriage/comments/eezm06/mild_dark_spot_in_peripheral_vision_related_to/")</f>
        <v/>
      </c>
      <c r="G1095" t="inlineStr">
        <is>
          <t>2019-12-24 02:17:51</t>
        </is>
      </c>
      <c r="H1095" t="inlineStr"/>
    </row>
    <row r="1096">
      <c r="A1096" t="inlineStr">
        <is>
          <t>ef0ws6</t>
        </is>
      </c>
      <c r="B1096" t="inlineStr">
        <is>
          <t>Need advice, I think I have computer vision syndrome</t>
        </is>
      </c>
      <c r="C1096" t="inlineStr">
        <is>
          <t>Hi, 
1,5 years ago I was at my opthamologist at normal control (I wear glasses, I go to control every 5 years), she did the tests (letter reading and that test when I put my chin on some device and she look my eyes through that device), everything was fine, my  diopter got a litle higher, I bought new glasses for that. Around that time I had some small trouble sometimes with eye tiredness and sometimes when looking object with a lot of small detail I need some 1second time for my focus to sharpen image. I didn't mention this to opthamologist. 
 With time that problem begin to bother me more, reading some forum and googing I realized that I also in car light can see starburst (light is brighter and around light centre there are many lines). I think my problem is caused by computer vision syndrome, I spend a lot of time on computers, tablet, mobile phones ( especially  at night when mobiel phone is only source of light), usually 8 hours at work  and then contniue that at home. 
Are my  symptoms that I have dangerous (eye tiredness - sometmes, problem with focus on object with a lot of small details, starburst). I have opthamologist meeting for 7 month (In my country I need a lot to wait for that ), in meantime I ordered Vitamin A (10000UI) and Vitamin E (200UI) becasue I read they are vital for eye health. Any other advice? I am not native english speaker so sorry for mistakes</t>
        </is>
      </c>
      <c r="D1096" t="n">
        <v>1</v>
      </c>
      <c r="E1096" t="n">
        <v>15</v>
      </c>
      <c r="F1096">
        <f>HYPERLINK("https://www.reddit.com/r/eyetriage/comments/ef0ws6/need_advice_i_think_i_have_computer_vision/")</f>
        <v/>
      </c>
      <c r="G1096" t="inlineStr">
        <is>
          <t>2019-12-24 04:44:17</t>
        </is>
      </c>
      <c r="H1096" t="inlineStr"/>
    </row>
    <row r="1097">
      <c r="A1097" t="inlineStr">
        <is>
          <t>ef8exe</t>
        </is>
      </c>
      <c r="B1097" t="inlineStr">
        <is>
          <t>How common is vitrectomy/what is recovery like?</t>
        </is>
      </c>
      <c r="C1097" t="inlineStr">
        <is>
          <t>Disclaimer: I know this doesn’t replace actual medical advice, but I can’t get in contact with my doctor for the holidays. I have a detached retina and my doctor said there is a possibility I will need to have vitrectomy in addition to the other surgery to fix my retina. In the heat of the moment, I was very upset and didn’t think to ask questions about the logistics. They said if I don’t have the vitrectomy I’ll be able to return to school after two weeks. Does anyone know how much longer the recovery would be/ how long I would have to maintain the face-down position?</t>
        </is>
      </c>
      <c r="D1097" t="n">
        <v>1</v>
      </c>
      <c r="E1097" t="n">
        <v>8</v>
      </c>
      <c r="F1097">
        <f>HYPERLINK("https://www.reddit.com/r/eyetriage/comments/ef8exe/how_common_is_vitrectomywhat_is_recovery_like/")</f>
        <v/>
      </c>
      <c r="G1097" t="inlineStr">
        <is>
          <t>2019-12-24 14:55:54</t>
        </is>
      </c>
      <c r="H1097" t="inlineStr"/>
    </row>
    <row r="1098">
      <c r="A1098" t="inlineStr">
        <is>
          <t>ef8xw3</t>
        </is>
      </c>
      <c r="B1098" t="inlineStr">
        <is>
          <t>LASIK when blind in one eye?</t>
        </is>
      </c>
      <c r="C1098" t="inlineStr">
        <is>
          <t>Hello, I have unilateral optic nerve hypoplasia with complete vision loss in one eye. My other eye is myopic, so I wear glasses. I had always assumed LASIK or other laser eye surgeries were out of the question, since if something went wrong I would be blind in both eyes. 
A doctor friend recently informed me that losing vision due to LASIK wasn't a risk and that I should see an ophthalmologist to learn more. 
What do you think reddit? Is there a risk of ending up worse with LASIK?</t>
        </is>
      </c>
      <c r="D1098" t="n">
        <v>1</v>
      </c>
      <c r="E1098" t="n">
        <v>4</v>
      </c>
      <c r="F1098">
        <f>HYPERLINK("https://www.reddit.com/r/eyetriage/comments/ef8xw3/lasik_when_blind_in_one_eye/")</f>
        <v/>
      </c>
      <c r="G1098" t="inlineStr">
        <is>
          <t>2019-12-24 15:40:56</t>
        </is>
      </c>
      <c r="H1098" t="inlineStr"/>
    </row>
    <row r="1099">
      <c r="A1099" t="inlineStr">
        <is>
          <t>efbohp</t>
        </is>
      </c>
      <c r="B1099" t="inlineStr">
        <is>
          <t>My eye (eyelid?) is bleeding, but an ophthalmologist told me he saw nothing wrong</t>
        </is>
      </c>
      <c r="C1099" t="inlineStr">
        <is>
          <t>Hi there, 
Hoping that at the very least my posting here will let me know I’m not paranoid over nothing (or, let me know that I AM. Either way). 
Back in July, I rubbed my eye (while wearing contacts, as I frequently do. I’m always careful to be gentle) by putting my finger on my eye lid and just kind of moving it back and forth. When I stopped, I noticed my finger was wet, and when I glanced in a mirror a bit later I saw some dried blood. 
When I rub my eye, it kind of pushes my top lid over my bottom lid. The eye itself appeared fine, so it led me to believe the blood was coming from my top lid. 
I saw an ophthalmologist, as this went on for about a week. Any time I rubbed my eye, it bled (my eye was also swollen/misshapen during this period). However, he said he saw nothing wrong. “Sometimes shards of contact lenses can cut your eyelid” was his explanation. 
TONIGHT: I rub my eye like usual, and there’s a ton of blood. I’m a reddit newbie so I don’t know how to show pictures, but I took a couple because I was nervous/shocked. 
Any ideas about why this would happen? It’s only in my right eye. And I rub my eyes all the time, but today it is suddenly bleeding again, 5 months after it did the first time. 
Thanks!</t>
        </is>
      </c>
      <c r="D1099" t="n">
        <v>1</v>
      </c>
      <c r="E1099" t="n">
        <v>1</v>
      </c>
      <c r="F1099">
        <f>HYPERLINK("https://www.reddit.com/r/eyetriage/comments/efbohp/my_eye_eyelid_is_bleeding_but_an_ophthalmologist/")</f>
        <v/>
      </c>
      <c r="G1099" t="inlineStr">
        <is>
          <t>2019-12-24 20:00:25</t>
        </is>
      </c>
      <c r="H1099" t="inlineStr"/>
    </row>
    <row r="1100">
      <c r="A1100" t="inlineStr">
        <is>
          <t>efjbxi</t>
        </is>
      </c>
      <c r="B1100" t="inlineStr">
        <is>
          <t>Forced to look at sun with dilated eyes?</t>
        </is>
      </c>
      <c r="C1100" t="inlineStr">
        <is>
          <t>I remember when I was about 10 years old, one of my friends older brothers was an absolute jerk and forced me to look at the sun when my eyes were dilated. 
I forget a lot of the details, but I remember I went over to their house after an eye exam and had the big goofy glasses on...we were outside and he ripped them off my face then basically forced my eyes open with his hands to look at the sky. 
At about 16, I started developing floaters. I’ve had multiple eye exams every other year (just to make sure the floaters aren’t getting worse) and my doctor said everything looks fine. I’m 29 now so it’s been a long time since that happened. 
1) Could that event have caused my floaters?
2) I’ve had multiple eyes exams (and OCT scans) and my doctor said everything looks good. If there was some type of damage from that event, would my doctor be able to see it?
Just thought I’d ask this subreddit since I have no idea how it could affect me in life or if I’m fine as if nothing ever happened.</t>
        </is>
      </c>
      <c r="D1100" t="n">
        <v>1</v>
      </c>
      <c r="E1100" t="n">
        <v>2</v>
      </c>
      <c r="F1100">
        <f>HYPERLINK("https://www.reddit.com/r/eyetriage/comments/efjbxi/forced_to_look_at_sun_with_dilated_eyes/")</f>
        <v/>
      </c>
      <c r="G1100" t="inlineStr">
        <is>
          <t>2019-12-25 09:44:06</t>
        </is>
      </c>
      <c r="H1100" t="inlineStr"/>
    </row>
    <row r="1101">
      <c r="A1101" t="inlineStr">
        <is>
          <t>efm7xk</t>
        </is>
      </c>
      <c r="B1101" t="inlineStr">
        <is>
          <t>Paranoid of detached retina</t>
        </is>
      </c>
      <c r="C1101" t="inlineStr">
        <is>
          <t>Ok so I'll preface this with these "symptoms" started a little over 2 weeks ago and have seemingly progressed, but my paranoia has also grown after reading up a little bit about detached retinas.
Anyways, something just feels kind of wrong or off about my vision: 
I for sure get a weird faint static like thing in my peripherals when I look at the sky 
I might get like a sort of flashes of light sometimes but could be overthinking
I possibly have a weird faint white stripish thing in hanging diagonally across my vision when I focus at a like 3-10 foot distance and/or it could be a weird enlarging of my blind spot?  It's kind of hard to tell which it is but I believe theres something going on with my right eye/side vision like that, although that may also be a symptom of my overthinking too.
Also big obligatory no insurance.  
So my big questions are if I should treat this as urgent and maybe go to the ER?  Or just wait and hit up my local cheap optometrist on Saturday which is the soonest I could?
Any input or advice is incredibly appreciated!</t>
        </is>
      </c>
      <c r="D1101" t="n">
        <v>1</v>
      </c>
      <c r="E1101" t="n">
        <v>3</v>
      </c>
      <c r="F1101">
        <f>HYPERLINK("https://www.reddit.com/r/eyetriage/comments/efm7xk/paranoid_of_detached_retina/")</f>
        <v/>
      </c>
      <c r="G1101" t="inlineStr">
        <is>
          <t>2019-12-25 13:39:44</t>
        </is>
      </c>
      <c r="H1101" t="inlineStr"/>
    </row>
    <row r="1102">
      <c r="A1102" t="inlineStr">
        <is>
          <t>eftfhv</t>
        </is>
      </c>
      <c r="B1102" t="inlineStr">
        <is>
          <t>🤨</t>
        </is>
      </c>
      <c r="C1102" t="inlineStr">
        <is>
          <t>Is there any evidence that screens f*$k your eyesight? 
(Sorry if it's a repost. I'm genuinely curious)</t>
        </is>
      </c>
      <c r="D1102" t="n">
        <v>1</v>
      </c>
      <c r="E1102" t="n">
        <v>3</v>
      </c>
      <c r="F1102">
        <f>HYPERLINK("https://www.reddit.com/r/eyetriage/comments/eftfhv/_/")</f>
        <v/>
      </c>
      <c r="G1102" t="inlineStr">
        <is>
          <t>2019-12-26 01:22:25</t>
        </is>
      </c>
      <c r="H1102" t="inlineStr"/>
    </row>
    <row r="1103">
      <c r="A1103" t="inlineStr">
        <is>
          <t>efxim3</t>
        </is>
      </c>
      <c r="B1103" t="inlineStr">
        <is>
          <t>21F Should I be concerned? On and Off blurry vision</t>
        </is>
      </c>
      <c r="C1103" t="inlineStr">
        <is>
          <t>Hi, so I have been experiencing on and off blurry vision in my right eye for the past year or so. 
I went to the optometrist and they were unable to identify any reasons for the blurriness. They said that my right eye was healthy and fine in terms of sight. I have anxiety, and I've noticed that it's especially bad during exam time, after a bad headache or when I fixate on it. Somedays it's hard to read what's on the board when I'm in class. Additionally, I've noticed that green/blue/white neon lights appear very blurry.
Could this possibly be attributed to my anxiety or eyestrain? 
Any comments would be much appreciated :)</t>
        </is>
      </c>
      <c r="D1103" t="n">
        <v>1</v>
      </c>
      <c r="E1103" t="n">
        <v>4</v>
      </c>
      <c r="F1103">
        <f>HYPERLINK("https://www.reddit.com/r/eyetriage/comments/efxim3/21f_should_i_be_concerned_on_and_off_blurry_vision/")</f>
        <v/>
      </c>
      <c r="G1103" t="inlineStr">
        <is>
          <t>2019-12-26 08:36:21</t>
        </is>
      </c>
      <c r="H1103" t="inlineStr"/>
    </row>
    <row r="1104">
      <c r="A1104" t="inlineStr">
        <is>
          <t>eg6adp</t>
        </is>
      </c>
      <c r="B1104" t="inlineStr">
        <is>
          <t>Straight parallel lines of flickering shadows in my vision</t>
        </is>
      </c>
      <c r="C1104" t="inlineStr">
        <is>
          <t>I'm having anxiety after entering the rabbit hole of possible causes of vision loss, so I hope that this post can settle some of my fears.
I've started noticing that I see these 'lines' where the lights would appear to dim and back to normal in rapid succession, sort of like a fuzzy heatwave- but only in unfocused area.
Of more concern to be is the arc of flashing light that flickers non stop wherever I look. This happens in the centre of my vision and is starting to worry me. 
I do see some floaters. My pheripheral vision feels fine and I don't think that those lines are blind spot.
This is making it hard for me to go about my day. Coming here would most likely compound my fear. But I need to know; what is wrong with me?</t>
        </is>
      </c>
      <c r="D1104" t="n">
        <v>1</v>
      </c>
      <c r="E1104" t="n">
        <v>5</v>
      </c>
      <c r="F1104">
        <f>HYPERLINK("https://www.reddit.com/r/eyetriage/comments/eg6adp/straight_parallel_lines_of_flickering_shadows_in/")</f>
        <v/>
      </c>
      <c r="G1104" t="inlineStr">
        <is>
          <t>2019-12-26 20:26:37</t>
        </is>
      </c>
      <c r="H1104" t="inlineStr"/>
    </row>
    <row r="1105">
      <c r="A1105" t="inlineStr">
        <is>
          <t>eg820z</t>
        </is>
      </c>
      <c r="B1105" t="inlineStr">
        <is>
          <t>half vision loss in single eye</t>
        </is>
      </c>
      <c r="C1105" t="inlineStr">
        <is>
          <t>I thought I felt something in my eye last night. The irritation went away after a few moments, but I noticed this morning that in my left eye, I can only see about half my normal field of vision. The other half just fades into blurry nothingness/blackness. 
It's lasted all throughout today, and I'm getting a bit nervous. 
If I move my left eye to look in different directions, the blackness follows, so I can always see just half my normal range with that eye.</t>
        </is>
      </c>
      <c r="D1105" t="n">
        <v>1</v>
      </c>
      <c r="E1105" t="n">
        <v>3</v>
      </c>
      <c r="F1105">
        <f>HYPERLINK("https://www.reddit.com/r/eyetriage/comments/eg820z/half_vision_loss_in_single_eye/")</f>
        <v/>
      </c>
      <c r="G1105" t="inlineStr">
        <is>
          <t>2019-12-26 23:21:59</t>
        </is>
      </c>
      <c r="H1105" t="inlineStr"/>
    </row>
    <row r="1106">
      <c r="A1106" t="inlineStr">
        <is>
          <t>egbevb</t>
        </is>
      </c>
      <c r="B1106" t="inlineStr">
        <is>
          <t>UPDATE: Severe eye strain after very short periods of certain activities</t>
        </is>
      </c>
      <c r="C1106" t="inlineStr">
        <is>
          <t>Hi, everyone. I made a post a few months ago about how my eyes just became awfully strained after short periods of reading. It didn't get much activity, but I really wanted to update so that I could help anyone that was in a similar situation.
I refused to believe that my issue was just the result of strained eyes from work. There were too many things that didn't square with that explanation. I kept looking around online, and found an article titled "The Dry Eye Misalignment" that basically described my symptoms exactly, and said my problem was actually an issue called "trigeminal dypshoria". I don't fully understand how my eyes suck, but they do. 
The good news is that there was specific lenses to correct for this, and, to date, I'd say there's been a 50% improvement in my symptoms. I can now read comfortably, which has been HUGE for me because I love reading, and spend most of my job doing it.
Just as a sort of PSA: if you have symptons that include dry eyes, eye fatigue, eye strain, headaches, and a myriad of other awful things, I seriously recommend that you go check out "The Dry Eye Misalignment" and see if it describes you as perfectly as it did with me. I had to get these things called NeuroLenses that were expensive as all hell, but they're worth it for me.
Good luck to everyone!</t>
        </is>
      </c>
      <c r="D1106" t="n">
        <v>1</v>
      </c>
      <c r="E1106" t="n">
        <v>3</v>
      </c>
      <c r="F1106">
        <f>HYPERLINK("https://www.reddit.com/r/eyetriage/comments/egbevb/update_severe_eye_strain_after_very_short_periods/")</f>
        <v/>
      </c>
      <c r="G1106" t="inlineStr">
        <is>
          <t>2019-12-27 05:53:54</t>
        </is>
      </c>
      <c r="H1106" t="inlineStr"/>
    </row>
    <row r="1107">
      <c r="A1107" t="inlineStr">
        <is>
          <t>egbg7e</t>
        </is>
      </c>
      <c r="B1107" t="inlineStr">
        <is>
          <t>Flashing blinking light in eye</t>
        </is>
      </c>
      <c r="C1107" t="inlineStr">
        <is>
          <t>I've been constantly experiencing a flashing blinking light in my right eye that hasn't gone away in a week. What could it be? It's annoying and it's making me worried</t>
        </is>
      </c>
      <c r="D1107" t="n">
        <v>1</v>
      </c>
      <c r="E1107" t="n">
        <v>5</v>
      </c>
      <c r="F1107">
        <f>HYPERLINK("https://www.reddit.com/r/eyetriage/comments/egbg7e/flashing_blinking_light_in_eye/")</f>
        <v/>
      </c>
      <c r="G1107" t="inlineStr">
        <is>
          <t>2019-12-27 05:57:42</t>
        </is>
      </c>
      <c r="H1107" t="inlineStr"/>
    </row>
    <row r="1108">
      <c r="A1108" t="inlineStr">
        <is>
          <t>egbxvk</t>
        </is>
      </c>
      <c r="B1108" t="inlineStr">
        <is>
          <t>eye discomfort</t>
        </is>
      </c>
      <c r="C1108" t="inlineStr">
        <is>
          <t>hi everyone, first time poster here looking for some eye medical advice.
18F, relevant medical history is that i was shot in the right eye(bounced off, did not get stuck) when i was in elementary school which hurt my vision in that eye and makes me prone to a lot more eye diseases(cataracts) at a younger age.
last night i woke up to go to the bathroom and noticed that my eye was red near the cornea. i thought nothing of it and went back to sleep. this morning i woke up and my eye is still red near the cornea ONLY in my right eye. in addition to this, i have severe discomfort and pain when i blink. i dont think anything is stuck as i have checked it over. i don’t know if this is significant, but my cornea area in my right eye is more moist than my left eye(unaffected).
i’ve ruled out basic eye things, such as conjunctivitis, popping a blood vessel, etc.
could anyone give me any other leads? is it something to be concerned about?</t>
        </is>
      </c>
      <c r="D1108" t="n">
        <v>1</v>
      </c>
      <c r="E1108" t="n">
        <v>3</v>
      </c>
      <c r="F1108">
        <f>HYPERLINK("https://www.reddit.com/r/eyetriage/comments/egbxvk/eye_discomfort/")</f>
        <v/>
      </c>
      <c r="G1108" t="inlineStr">
        <is>
          <t>2019-12-27 06:43:18</t>
        </is>
      </c>
      <c r="H1108" t="inlineStr"/>
    </row>
    <row r="1109">
      <c r="A1109" t="inlineStr">
        <is>
          <t>egeqej</t>
        </is>
      </c>
      <c r="B1109" t="inlineStr">
        <is>
          <t>Corneal ulcer got better then worse</t>
        </is>
      </c>
      <c r="C1109" t="inlineStr">
        <is>
          <t>I was diagnosed with a corneal ulcer about a month ago and given polymixin and trimethoprim 1 drop every hour for first day and erythromycin ointment at night.
After lack of improvement within 3 days I was referred to a cornea specialist. The specialist was expensive and I don't have money or insurance so I couldn see them, but it seemed to improve after about a week. 
Today I woke up with severe eye pain and redness and a slightly swollen eyelid. I noticed there is a large white spot almost touching the previous ulcer spot that is now a lighter grey color. What should I do when low on money I lost my job recently . It's causing pain from my eye and running up that side of my head through my temple area, photosensitivity, hard to keep my eye open, and it's kinda causing me to go cross eyed in both eyes somehow.</t>
        </is>
      </c>
      <c r="D1109" t="n">
        <v>1</v>
      </c>
      <c r="E1109" t="n">
        <v>13</v>
      </c>
      <c r="F1109">
        <f>HYPERLINK("https://www.reddit.com/r/eyetriage/comments/egeqej/corneal_ulcer_got_better_then_worse/")</f>
        <v/>
      </c>
      <c r="G1109" t="inlineStr">
        <is>
          <t>2019-12-27 10:23:56</t>
        </is>
      </c>
      <c r="H1109" t="inlineStr"/>
    </row>
    <row r="1110">
      <c r="A1110" t="inlineStr">
        <is>
          <t>egl11i</t>
        </is>
      </c>
      <c r="B1110" t="inlineStr">
        <is>
          <t>Did I get acid in my eye or did I overreact?</t>
        </is>
      </c>
      <c r="C1110" t="inlineStr">
        <is>
          <t>I work in an auto parts store where we often handle car batteries. Therefore when my eye starter burning all of a sudden I dicided to flush my eye out for a few minutes. That said I don't recall rubbing or touching my eyes before this happened, although who would want to take a risk with battery acid right? What I am wondering is if there is any other reasonable explanation forwhat happened. Can a single stray eyelash or dried eye gunk really cause an intenae stinging sensation and make your eyes water? I do recall having experienced stinging sensationa in my eye before, but they went away as quiclly as they came and were nowhere near as intense.</t>
        </is>
      </c>
      <c r="D1110" t="n">
        <v>1</v>
      </c>
      <c r="E1110" t="n">
        <v>1</v>
      </c>
      <c r="F1110">
        <f>HYPERLINK("https://www.reddit.com/r/eyetriage/comments/egl11i/did_i_get_acid_in_my_eye_or_did_i_overreact/")</f>
        <v/>
      </c>
      <c r="G1110" t="inlineStr">
        <is>
          <t>2019-12-27 18:46:20</t>
        </is>
      </c>
      <c r="H1110" t="inlineStr"/>
    </row>
    <row r="1111">
      <c r="A1111" t="inlineStr">
        <is>
          <t>egl3k0</t>
        </is>
      </c>
      <c r="B1111" t="inlineStr">
        <is>
          <t>Prolotherapy and vision</t>
        </is>
      </c>
      <c r="C1111" t="inlineStr">
        <is>
          <t>I (petient) recently had prolotherapy done on my neck. A few weeks later I need a slight adjustment in my glasses for my near-sighted eye. I read that posture can affect vision. Is there any chance this is related?</t>
        </is>
      </c>
      <c r="D1111" t="n">
        <v>1</v>
      </c>
      <c r="E1111" t="n">
        <v>1</v>
      </c>
      <c r="F1111">
        <f>HYPERLINK("https://www.reddit.com/r/eyetriage/comments/egl3k0/prolotherapy_and_vision/")</f>
        <v/>
      </c>
      <c r="G1111" t="inlineStr">
        <is>
          <t>2019-12-27 18:52:24</t>
        </is>
      </c>
      <c r="H1111" t="inlineStr"/>
    </row>
    <row r="1112">
      <c r="A1112" t="inlineStr">
        <is>
          <t>egllr3</t>
        </is>
      </c>
      <c r="B1112" t="inlineStr">
        <is>
          <t>Amblyopic, can't get prescription correct. Working with CVOD. Severe pain and fatigue ONLY with correction on. Can't do in-office tests, right eye doesn't cope well unless it's being "used" by itself for extended periods of time. Eyepatch helps. Are there contacts that can serve as an Eyepatch?</t>
        </is>
      </c>
      <c r="C1112" t="inlineStr">
        <is>
          <t>I think my right eye is insanely over corrected but the only time this has been ever tested is when they dialed my prescription back from +325 -.75 154 (L), +425 -1.25 20 (R) to a +2 in both eyes...which didn't work because my left eye was so under corrected causing tons of fluctuation...
I pretty much can't function at a high level whatsoever anymore, and spent Christmas until now in bed sleeping, unless I wear an eye patch, due to immediate fatigue or being unable to see (vision is blurry without correction, with both eyes open, but left is completely clear without correction with patched right).
Are there other options here, like a contact that would block vision but not be so noticeable? The issue with eye patches are that my brain still sees some of the signals from my right eye and merges all of the blackness from the eye patch now. Maybe that will go away in time (all the pain started as, for some reason, my brain started wanting to use my right eye for the first time in 2014 - before that it was entirely ignored), but aesthetically is there also something that may be better? What is my next step as far as potential doctors go after a CVOCD? Nothing?</t>
        </is>
      </c>
      <c r="D1112" t="n">
        <v>1</v>
      </c>
      <c r="E1112" t="n">
        <v>1</v>
      </c>
      <c r="F1112">
        <f>HYPERLINK("https://www.reddit.com/r/eyetriage/comments/egllr3/amblyopic_cant_get_prescription_correct_working/")</f>
        <v/>
      </c>
      <c r="G1112" t="inlineStr">
        <is>
          <t>2019-12-27 19:38:00</t>
        </is>
      </c>
      <c r="H1112" t="inlineStr"/>
    </row>
    <row r="1113">
      <c r="A1113" t="inlineStr">
        <is>
          <t>egpfqp</t>
        </is>
      </c>
      <c r="B1113" t="inlineStr">
        <is>
          <t>Eye motility</t>
        </is>
      </c>
      <c r="C1113" t="inlineStr">
        <is>
          <t>What effects eye motility?. In my case my eye is moving in all directions except upwards. Upward gaze has very limited motility (nearly none). What issues can effect this and how to treat them.</t>
        </is>
      </c>
      <c r="D1113" t="n">
        <v>1</v>
      </c>
      <c r="E1113" t="n">
        <v>3</v>
      </c>
      <c r="F1113">
        <f>HYPERLINK("https://www.reddit.com/r/eyetriage/comments/egpfqp/eye_motility/")</f>
        <v/>
      </c>
      <c r="G1113" t="inlineStr">
        <is>
          <t>2019-12-28 02:44:59</t>
        </is>
      </c>
      <c r="H1113" t="inlineStr"/>
    </row>
    <row r="1114">
      <c r="A1114" t="inlineStr">
        <is>
          <t>egr16c</t>
        </is>
      </c>
      <c r="B1114" t="inlineStr">
        <is>
          <t>Retinal scan - optic nerve swollen?</t>
        </is>
      </c>
      <c r="C1114" t="inlineStr">
        <is>
          <t>My optometrist was concerned with my optic nerve today after a retinal scan. Any ideas why?
Yes I do have a freckle on my eye. Ignore the dots on the top half of my eye, problem with the image.</t>
        </is>
      </c>
      <c r="D1114" t="n">
        <v>1</v>
      </c>
      <c r="E1114" t="n">
        <v>4</v>
      </c>
      <c r="F1114">
        <f>HYPERLINK("https://www.reddit.com/r/eyetriage/comments/egr16c/retinal_scan_optic_nerve_swollen/")</f>
        <v/>
      </c>
      <c r="G1114" t="inlineStr">
        <is>
          <t>2019-12-28 05:59:46</t>
        </is>
      </c>
      <c r="H1114" t="inlineStr"/>
    </row>
    <row r="1115">
      <c r="A1115" t="inlineStr">
        <is>
          <t>egtc71</t>
        </is>
      </c>
      <c r="B1115" t="inlineStr">
        <is>
          <t>Weird visual disturbances, help?</t>
        </is>
      </c>
      <c r="C1115" t="inlineStr">
        <is>
          <t>Hey everyone, I've been experiencing some odd disturbances lately and have seen my optometrist twice and he's said that my eyes have looked good after retinal imaging and dilated eye exams. Both times. Once a few weeks ago, and again yesterday. I've had some flashes of light, lots of floaters (no, not hundreds of pigmented specks. Just noticing more of the normal variety and it's distressing)  using the bathroom, probably moving my head slightly and not moving my eyes I saw flashes in my left eye, instinctively turning my eyes to look at it (I know it's not how it works), I saw two dark spots around some distortion. I know how traction phospenes work and this was like that, but more intense. When I trigger that reaction now, no dark spots. Seeing little pinpricks here and there still. Went outside to floaters galore. My doctor didn't mention anything happening like PVD so I'm at a loss here, and honestly scared. My anxiety has pretty much progressively increased along with my stress as time goes on, and i know that in of itself isn't good for my eyes. One thing worth noting is that my eye pressure was on the high side of normal, as both the doctor and tech put it on both visits (20 and 21, or the other way around. Don't remember but the numbers are right). I notice disturbances are more frequent or intense in the mornings, but I'm not sure if thats of any importance. 
I'm 18, around -5 in each eye, astigmatism. Obviously not looking for any real diagnosis but in your opinion what could I be looking at? What should I do? Thank you in advance.</t>
        </is>
      </c>
      <c r="D1115" t="n">
        <v>1</v>
      </c>
      <c r="E1115" t="n">
        <v>28</v>
      </c>
      <c r="F1115">
        <f>HYPERLINK("https://www.reddit.com/r/eyetriage/comments/egtc71/weird_visual_disturbances_help/")</f>
        <v/>
      </c>
      <c r="G1115" t="inlineStr">
        <is>
          <t>2019-12-28 09:20:28</t>
        </is>
      </c>
      <c r="H1115" t="inlineStr"/>
    </row>
    <row r="1116">
      <c r="A1116" t="inlineStr">
        <is>
          <t>eh05z5</t>
        </is>
      </c>
      <c r="B1116" t="inlineStr">
        <is>
          <t>Corneal Ulcer Treatment Question</t>
        </is>
      </c>
      <c r="C1116" t="inlineStr">
        <is>
          <t>I went to an ophthalmologist today after my eye had been hurting and I noticed a white circle in my cornea. She identified that it was a corneal ulcer and prescribed me AzaSite (azithromycin ophthalmic solution 1%) and told me to put one drop into my eye every hour that I'm awake. I've been doing this for half a day now and only realized that the instructions say to use the drops once every 8-12 hours or once a day. I'm inclined to listen to my ophthalmologists' instructions, but I am worried. Is it okay to use AzaSite like I was instructed to?
&amp;amp;#x200B;
TLDR: Should I continue to use AzaSite hourly as instructed when the leaflet/box says otherwise?
&amp;amp;#x200B;
Thank you very much for your help!</t>
        </is>
      </c>
      <c r="D1116" t="n">
        <v>1</v>
      </c>
      <c r="E1116" t="n">
        <v>3</v>
      </c>
      <c r="F1116">
        <f>HYPERLINK("https://www.reddit.com/r/eyetriage/comments/eh05z5/corneal_ulcer_treatment_question/")</f>
        <v/>
      </c>
      <c r="G1116" t="inlineStr">
        <is>
          <t>2019-12-28 18:27:53</t>
        </is>
      </c>
      <c r="H1116" t="inlineStr"/>
    </row>
    <row r="1117">
      <c r="A1117" t="inlineStr">
        <is>
          <t>eh6d7h</t>
        </is>
      </c>
      <c r="B1117" t="inlineStr">
        <is>
          <t>I have a CSR in my left eye and on top of that I am seeing floaters. Please help I am freaking out.</t>
        </is>
      </c>
      <c r="C1117" t="inlineStr">
        <is>
          <t>Already booked an appointment at a Retina Specialist for January 2nd. I am 28 (IT professional) and doctor said that CSR will resolve in 6 months but it did not and now I am seeing floaters. It all started with an eye infection. Going through Google is the worst mistake I made. Now I am worrying if I have a Retinal Detachment.
Thank you</t>
        </is>
      </c>
      <c r="D1117" t="n">
        <v>1</v>
      </c>
      <c r="E1117" t="n">
        <v>12</v>
      </c>
      <c r="F1117">
        <f>HYPERLINK("https://www.reddit.com/r/eyetriage/comments/eh6d7h/i_have_a_csr_in_my_left_eye_and_on_top_of_that_i/")</f>
        <v/>
      </c>
      <c r="G1117" t="inlineStr">
        <is>
          <t>2019-12-29 06:16:37</t>
        </is>
      </c>
      <c r="H1117" t="inlineStr"/>
    </row>
    <row r="1118">
      <c r="A1118" t="inlineStr">
        <is>
          <t>ehfkdc</t>
        </is>
      </c>
      <c r="B1118" t="inlineStr">
        <is>
          <t>Worried about corneal ectasia (9 years post lasik)</t>
        </is>
      </c>
      <c r="C1118" t="inlineStr">
        <is>
          <t>So i had lasik july of 2010 at the age of 20. I have never noticed any problems.
However I picked up that my left eye vision is slightly worse than my right eye. I have noticed this before, but i always wrote it off as normal. This past week though, it has stood out to me. 
Now I have pretty high anxiety levels, so this could (hopefully) be a false alarm.  I do not think either of my eyes are at 20/20 level anymore.
So i have been googling and now im freaking out about corneal ectasia. 
I have an appoitment booked with the eye doctor, but its in 2 weeks. 
What are the chances of this being the case so far out from lasik? Or is it likely just vision degradation?</t>
        </is>
      </c>
      <c r="D1118" t="n">
        <v>1</v>
      </c>
      <c r="E1118" t="n">
        <v>2</v>
      </c>
      <c r="F1118">
        <f>HYPERLINK("https://www.reddit.com/r/eyetriage/comments/ehfkdc/worried_about_corneal_ectasia_9_years_post_lasik/")</f>
        <v/>
      </c>
      <c r="G1118" t="inlineStr">
        <is>
          <t>2019-12-29 18:17:53</t>
        </is>
      </c>
      <c r="H1118" t="inlineStr"/>
    </row>
    <row r="1119">
      <c r="A1119" t="inlineStr">
        <is>
          <t>ehtahc</t>
        </is>
      </c>
      <c r="B1119" t="inlineStr">
        <is>
          <t>Glare in eye 2 weeks post SLT?</t>
        </is>
      </c>
      <c r="C1119" t="inlineStr">
        <is>
          <t>FYI - I have an appointment tomorrow afternoon and just looking for some input while I wait or any suggestions on what I should say during my appointment. 
I am a newly diagnosed glaucoma patient and very unfamiliar with any typical eye-related things. I have narrow angles and enough concern from my doctor that he wanted to see me a week later to get SLT. While nervous, the procedure was quick and painless and I walked away feeling happy and relieved.
About a week post-procedure I noticed, mainly at night, while looking at a brighter light source (tv, street light in a dark car, etc) I get a sort of glare? It almost feels like a minor lease flare effect or a slight blur. No pain, not really noticeable during the day.
Is this normal? Should I be worried? Just trying to ease my mind or set myself up for a productive conversation with my doctor tomorrow. I am supposed to get my other eye treated with SLT in a week.
Thanks for your time!</t>
        </is>
      </c>
      <c r="D1119" t="n">
        <v>1</v>
      </c>
      <c r="E1119" t="n">
        <v>7</v>
      </c>
      <c r="F1119">
        <f>HYPERLINK("https://www.reddit.com/r/eyetriage/comments/ehtahc/glare_in_eye_2_weeks_post_slt/")</f>
        <v/>
      </c>
      <c r="G1119" t="inlineStr">
        <is>
          <t>2019-12-30 14:28:36</t>
        </is>
      </c>
      <c r="H1119" t="inlineStr"/>
    </row>
    <row r="1120">
      <c r="A1120" t="inlineStr">
        <is>
          <t>ehw417</t>
        </is>
      </c>
      <c r="B1120" t="inlineStr">
        <is>
          <t>how fast can myopia worsen?</t>
        </is>
      </c>
      <c r="C1120" t="inlineStr">
        <is>
          <t>So im a bit anxious lately. Im a 29 yo male. 
&amp;amp;#x200B;
I made this thread not too long ago:
 [https://www.reddit.com/r/eyetriage/comments/ehfkdc/worried\_about\_corneal\_ectasia\_9\_years\_post\_lasik/fcizoi8/?context=3](https://www.reddit.com/r/eyetriage/comments/ehfkdc/worried_about_corneal_ectasia_9_years_post_lasik/fcizoi8/?context=3) 
&amp;amp;#x200B;
So quick rundown. Had lasik in july of 2010 at the age of 20. Everything seemed to be great, however about one week ago I noticed my vision being blurrier, with the left eye being more so (i can tell by closing each eye individually).
&amp;amp;#x200B;
So I naturally started googling and freaked out about things like corneal ectasia.
&amp;amp;#x200B;
Anyways, I went to the optometrist today and he did a full exam, including topography.
&amp;amp;#x200B;
Here are the topography results
 https://imgur.com/MHZRxu2 
 https://imgur.com/j0AeNo3 
&amp;amp;#x200B;
He says everything looks fine and I dont have any signs of corneal ecatasia and to basically never worry about it. He says I even have plenty of spare corneal tissue for lasik enhancements. 
&amp;amp;#x200B;
He did however say I need glasses and that I have slight astigmatism i think in my right eye.
Vision prescription as follows:
Right eye sphere is -1.25, Cylinder is -1.50 and axis 170
Left eye sphere is -1.00, cylinder is -.5 and axis is 065
&amp;amp;#x200B;
Normally, this would not bother me as I know lasix can regress, however I feel liek this has all come on too fast? I swear before last week I dont think I ever even thought about my vision changing. Can myopic changes sneak up on you that fast? Im freaking out that there may be something more going on. My left eye has always been blurrier as far as I can remember, but ive never noticed it like I do now. Im walkign around with a headache and eye fatigue from the visual difference. 
&amp;amp;#x200B;
I really hope its all in my head and its just old fashioned vision regression. Should I get a second opinion or am I overreacting?</t>
        </is>
      </c>
      <c r="D1120" t="n">
        <v>1</v>
      </c>
      <c r="E1120" t="n">
        <v>3</v>
      </c>
      <c r="F1120">
        <f>HYPERLINK("https://www.reddit.com/r/eyetriage/comments/ehw417/how_fast_can_myopia_worsen/")</f>
        <v/>
      </c>
      <c r="G1120" t="inlineStr">
        <is>
          <t>2019-12-30 18:05:21</t>
        </is>
      </c>
      <c r="H1120" t="inlineStr"/>
    </row>
    <row r="1121">
      <c r="A1121" t="inlineStr">
        <is>
          <t>ei9vdn</t>
        </is>
      </c>
      <c r="B1121" t="inlineStr">
        <is>
          <t>My symptoms keep changing, coming and going etc. I'm both scared and confused</t>
        </is>
      </c>
      <c r="C1121" t="inlineStr">
        <is>
          <t>Crossposting from r/optometry
Hey everyone. I've been an frequent poster on here recently as my eyes have kinda been acting up. You all have been very helpful and I thank you for that. 
I've had two appointments with my optometrist. Retinal imaging, dilated exams both times. And both times my eyes have physically looked okay (I have an appointment with a retinal specialist on Monday too) 
Mainly, my symptoms have been flashes, noticing lots of floaters. Things like that. My eyes tend to be a little "wonkier" in the morning (shimmers and stuff like that seem to be more likely to happen then). 
I've been noticing that my symptoms just seem to keep changing? Sure, I have plenty of floaters but have not been noticing new ones. I don't have many large periphery flashes but more so many pin prick sized flashes here and there both in my periphery and central vision. Sometimes they're colored, sometimes they're white. Sometimes they happen when I squint my eyes and sometimes they just happen. My eyes have felt noticably tired lately, waking up and one of them is usually extra gooey and blurry for a little while (happens when I'm getting tired at night too)
I also notice that in darker environments I notice darker areas and spots kinda appear in my peripheral sometimes if I focus in on one point. This is inconsistent though. 
Sometimes, I'll see stars, but instead of lighter they'll be darker and disappear after a second. And only be a few of them. 
I've considered the idea of a opthalmic migraine but I don't ever see the typical "aura" that people mention. I have a history of actual painful migraines but have never had visual disturbances now that I think of it. 
Kind of an afterthought; but I have been experiencing some photosensitivity. Mostly when going outside or looking at a bright screen. I've attributed that to my anxiety but I also figure it's worth mentioning
Is this all just my anxiety messing with me? The inconsistency of some of these symptoms both confuse me and scare me.</t>
        </is>
      </c>
      <c r="D1121" t="n">
        <v>1</v>
      </c>
      <c r="E1121" t="n">
        <v>2</v>
      </c>
      <c r="F1121">
        <f>HYPERLINK("https://www.reddit.com/r/eyetriage/comments/ei9vdn/my_symptoms_keep_changing_coming_and_going_etc_im/")</f>
        <v/>
      </c>
      <c r="G1121" t="inlineStr">
        <is>
          <t>2019-12-31 14:29:12</t>
        </is>
      </c>
      <c r="H1121" t="inlineStr"/>
    </row>
    <row r="1122">
      <c r="A1122" t="inlineStr">
        <is>
          <t>eibhia</t>
        </is>
      </c>
      <c r="B1122" t="inlineStr">
        <is>
          <t>Pupil dilated in one eye after injury</t>
        </is>
      </c>
      <c r="C1122" t="inlineStr">
        <is>
          <t>So about two weeks ago, I got hit in the eye with a racquet ball. Two days later I went to the ER because I was concerned. My eye was still somewhat sore, vision was sporadically cloudy, and there was noticeable redness. They numbed/dyed and examined my eye, did a pressure test, and performed an ultrasound. They said it didnt look bad, I had 20/20 in both eyes and they only saw couple scratches. They gave me a tube of erythromycin to use for a week. Soreness, cloudy vision, and redness completely went away. But now I notice my pupil is twice the size of my other eye. Is this typical after getting hit in the eye in anyone's personal experience in this field?</t>
        </is>
      </c>
      <c r="D1122" t="n">
        <v>1</v>
      </c>
      <c r="E1122" t="n">
        <v>22</v>
      </c>
      <c r="F1122">
        <f>HYPERLINK("https://www.reddit.com/r/eyetriage/comments/eibhia/pupil_dilated_in_one_eye_after_injury/")</f>
        <v/>
      </c>
      <c r="G1122" t="inlineStr">
        <is>
          <t>2019-12-31 16:38:03</t>
        </is>
      </c>
      <c r="H1122" t="inlineStr"/>
    </row>
    <row r="1123">
      <c r="A1123" t="inlineStr">
        <is>
          <t>eik6b5</t>
        </is>
      </c>
      <c r="B1123" t="inlineStr">
        <is>
          <t>Woke up with sandy feeling in left eye</t>
        </is>
      </c>
      <c r="C1123" t="inlineStr">
        <is>
          <t xml:space="preserve">
This morning I woke up with a scratchy feeling in one eye as if there were grains of sand in it. Now I can only feel it when both my eyes are shut, but not when I only close on eye. I got eye drops from a pharmacy but they did not help at all. Should I be concerned?</t>
        </is>
      </c>
      <c r="D1123" t="n">
        <v>1</v>
      </c>
      <c r="E1123" t="n">
        <v>3</v>
      </c>
      <c r="F1123">
        <f>HYPERLINK("https://www.reddit.com/r/eyetriage/comments/eik6b5/woke_up_with_sandy_feeling_in_left_eye/")</f>
        <v/>
      </c>
      <c r="G1123" t="inlineStr">
        <is>
          <t>2020-01-01 08:31:31</t>
        </is>
      </c>
      <c r="H1123" t="inlineStr"/>
    </row>
    <row r="1124">
      <c r="A1124" t="inlineStr">
        <is>
          <t>eimyba</t>
        </is>
      </c>
      <c r="B1124" t="inlineStr">
        <is>
          <t>Black floater in eye after a punch</t>
        </is>
      </c>
      <c r="C1124" t="inlineStr">
        <is>
          <t>Hi all, 
I was holding Muay Thai pads  for someone and while holding them my own knuckle pushed into my eye and now I have a small black floater in my vision. No swelling at all. It sorta felt like I got punched straight in my eye. The floater moves when I focus on something else and kinda looks like an eyelash. But I’m 100% sure it’s in my vision. Any help or recommendations would be appreciated</t>
        </is>
      </c>
      <c r="D1124" t="n">
        <v>1</v>
      </c>
      <c r="E1124" t="n">
        <v>9</v>
      </c>
      <c r="F1124">
        <f>HYPERLINK("https://www.reddit.com/r/eyetriage/comments/eimyba/black_floater_in_eye_after_a_punch/")</f>
        <v/>
      </c>
      <c r="G1124" t="inlineStr">
        <is>
          <t>2020-01-01 12:03:43</t>
        </is>
      </c>
      <c r="H1124" t="inlineStr"/>
    </row>
    <row r="1125">
      <c r="A1125" t="inlineStr">
        <is>
          <t>eiuf43</t>
        </is>
      </c>
      <c r="B1125" t="inlineStr">
        <is>
          <t>What’s Causing My White Eye Discharge?</t>
        </is>
      </c>
      <c r="C1125" t="inlineStr">
        <is>
          <t>I had Stye/Chalazion on both eyelids for 3 weeks. I used warm compresses and started putting Genteal Lubricant eye gel (Hypromellose 0.3%) in both eyes every night before going to sleep. Stye/Chalazion is 99% gone (I only have a small bump on eyelid).
For the last 3 weeks, I wake up to white discharge from eyes. Sometimes only from left eye, but most times both eyes.
What’s Causing My White Eye Discharge? How can I treat it?</t>
        </is>
      </c>
      <c r="D1125" t="n">
        <v>1</v>
      </c>
      <c r="E1125" t="n">
        <v>4</v>
      </c>
      <c r="F1125">
        <f>HYPERLINK("https://www.reddit.com/r/eyetriage/comments/eiuf43/whats_causing_my_white_eye_discharge/")</f>
        <v/>
      </c>
      <c r="G1125" t="inlineStr">
        <is>
          <t>2020-01-01 22:12:11</t>
        </is>
      </c>
      <c r="H1125" t="inlineStr"/>
    </row>
    <row r="1126">
      <c r="A1126" t="inlineStr">
        <is>
          <t>ejkp5o</t>
        </is>
      </c>
      <c r="B1126" t="inlineStr">
        <is>
          <t>Autorefractor error</t>
        </is>
      </c>
      <c r="C1126" t="inlineStr">
        <is>
          <t>This may be long. Sorry!
Background. 32 F. Extreme Myopia. Had retina tears lasered in both eyes in 2012. In August 2019 had a retina detachment in left eye. Macula remained intact. I had some blurring in my peripheral vision and loss of depth perception. Repaired with scleral buckle and more laser. Only lasting effect i have is a constant flashing like a broken pixel in a TV slightly off my center of vision that just flickers 24/7. My surgeon has said that this is just my new norm. Today I went for a follow up with my retina surgeon to have my vision retested post buckle. 
Here's a history of my previous prescriptions as well as my new prescription.
November 2015
Right Eye  Sph -14.00 cyl +1.25 Axis 100
Left Eye  Sph -14.25 cyl +1.00 Axis 100
March 2019
Right Eye   Sph -15.25 cyl +1.25 Axis 080
Left Eye   Sph -16.25 cyl +1.75 Axis 080
August 2019 - RETINA DETACHMENT SURGERY
January 2020
Right Eye   Sph -14.50  cyl +0.75  Axis 73
Left Eye    Sph -14.00  cyl +1.75  Axis 74
Question about autorefractor
In March after that prescription change I had purchased contacts and the prescription really didn't feel right. My vision was wonky, I felt woozy and drunk like maybe my vision was being overcorrected. I mentioned this to my surgeon today when he gave me my newest prescription that was weaker then the March 2019 one. He said that if they relied on the autorefractor test to determine my prescription and if it wasn't giving a correct reading due to my eye shape that it may have been an invalid prescription. To test my vision today he used these crazy looking glasses with interchangeable lenses but he did it very fast and I wouldn't say that the letter chart ever looked super super clear and he never did that "is this one better or is this one better". Would you accept his prescription? My vision does feel blurry in my left eye when wearing my old glasses that are a super old prescription from 2012. So I feel like the buckle did have an effect on my nearsightedness but I'm not sure that's being reflected in my newest prescription. I don't want to invest in new glasses in a bad prescription. Would it be worth while to take all 3 prescriptions to my ophthalmologist along with my surgeons explanation of the autorefractor test and get his opinion before I fill the prescription?n?
Questions about my prescription
In March after that prescription change I had purchased contacts and the prescription really didn't feel right. My vision was wonky, I felt woozy and drunk like maybe my vision was being overcorrected. I mentioned this to my surgeon today when he gave me my newest prescription that was weaker then the March 2019 one. He said that if they relied on the autorefractor test to determine my prescription and if it wasn't giving a correct reading due to my eye shape that it may have been an invalid prescription. To test my vision today he used these crazy looking glasses with interchangeable lenses but he did it very fast and I wouldn't say that the letter chart ever looked super super clear and he never did that "is this one better or is this one better". Would you accept his prescription? My vision does feel blurry in my left eye when wearing my old glasses that are a super old prescription from 2012. So I feel like the buckle did have an effect on my nearsightedness but i'm not sure that's being reflected in my newest prescription. I don't want to invest in new glasses in a bad prescription. Would it be worth while to take all 3 prescriptions to my opthamologist along with my surgeons explanation of the autorefractor test and get his opinion before I fill the prescription?
Lastly, what type of lenses would you recommend for my prescription? and bonus points if you have any recommendation on where I could order from in Winnipeg Canada.
If you got this far! I apologize lol and thank you!</t>
        </is>
      </c>
      <c r="D1126" t="n">
        <v>2</v>
      </c>
      <c r="E1126" t="n">
        <v>23</v>
      </c>
      <c r="F1126">
        <f>HYPERLINK("https://www.reddit.com/r/eyetriage/comments/ejkp5o/autorefractor_error/")</f>
        <v/>
      </c>
      <c r="G1126" t="inlineStr">
        <is>
          <t>2020-01-03 11:53:16</t>
        </is>
      </c>
      <c r="H1126" t="inlineStr"/>
    </row>
    <row r="1127">
      <c r="A1127" t="inlineStr">
        <is>
          <t>ejpie2</t>
        </is>
      </c>
      <c r="B1127" t="inlineStr">
        <is>
          <t>Is it ok to put hydrocortisone on my eyelid?</t>
        </is>
      </c>
      <c r="C1127" t="inlineStr">
        <is>
          <t>So I had redness, itching, burning and puffy eyes since like two days ago and since my eyes aren’t red just my eye lid and underneath my doctor said it could be contact dermatitis. They suggested using hydrocortisone but I’m not so sure about putting it that close to my eye. Would it be okay to use or would you recommend something else? If nothing clears by Monday then I’m gonna go in and see what they can do.</t>
        </is>
      </c>
      <c r="D1127" t="n">
        <v>2</v>
      </c>
      <c r="E1127" t="n">
        <v>9</v>
      </c>
      <c r="F1127">
        <f>HYPERLINK("https://www.reddit.com/r/eyetriage/comments/ejpie2/is_it_ok_to_put_hydrocortisone_on_my_eyelid/")</f>
        <v/>
      </c>
      <c r="G1127" t="inlineStr">
        <is>
          <t>2020-01-03 17:39:23</t>
        </is>
      </c>
      <c r="H1127" t="inlineStr"/>
    </row>
    <row r="1128">
      <c r="A1128" t="inlineStr">
        <is>
          <t>ejrp3c</t>
        </is>
      </c>
      <c r="B1128" t="inlineStr">
        <is>
          <t>What does over and under correction look like? Massive headaches / fatigue in (L)+2.75 -.75 154, (R) +3.75 -1.25 20</t>
        </is>
      </c>
      <c r="C1128" t="inlineStr">
        <is>
          <t>Right eye is extremely bold, sharp, blurry. Too HD to the point of it feeling intense and straining on my eye. Can't tell if this boldness is due to overcorrection, undercorrection, or something else. Left eye is bigger, but much softer. Feels SD to my rights HD, but not in a bad way. Can't tell which I should be aiming for tbh, but one isn't right.
Without correction on, no headaches or fatigue</t>
        </is>
      </c>
      <c r="D1128" t="n">
        <v>2</v>
      </c>
      <c r="E1128" t="n">
        <v>32</v>
      </c>
      <c r="F1128">
        <f>HYPERLINK("https://www.reddit.com/r/eyetriage/comments/ejrp3c/what_does_over_and_under_correction_look_like/")</f>
        <v/>
      </c>
      <c r="G1128" t="inlineStr">
        <is>
          <t>2020-01-03 20:30:58</t>
        </is>
      </c>
      <c r="H1128" t="inlineStr"/>
    </row>
    <row r="1129">
      <c r="A1129" t="inlineStr">
        <is>
          <t>ejwj7x</t>
        </is>
      </c>
      <c r="B1129" t="inlineStr">
        <is>
          <t>Post Retinal Tear Laser Treatment Flashes.</t>
        </is>
      </c>
      <c r="C1129" t="inlineStr">
        <is>
          <t>Hey everyone,
About 3 weeks ago, I had a retinal tear. I had a very solid, transparent floater which immediately brought on a black spot that was noticeable with rapid eye movement in my lower left peripheral. I had a laser procedure done that day. 
This probably the cause if the random light flashes.. Which would almost look like a fan blade slowly turning in the same lower left peripheral for about a month prior. 
I am now noticing a dull flash of light in the area again. Not as severe as before the tear, but I catch it every now and then.. Maybe about 4 times a day. I can't tell if it's when the light catches my eye when I'm looking in a certain direction, or if it's completely random. Are these flashes normal and part of the scarring process brought on by the laser? Or should this immediately be checked out again. I have no new floaters that have caught my attention, just the tiny blind spot from the laser, if I look up and ALL the way to the right. My followup is on the 22nd, and if light flashes are a normal side effect, I'll wait until my follow up!
**Please note: I have had a sinus infection over the last week, but I don't know if that had any bearing on this situation **
Thank you!</t>
        </is>
      </c>
      <c r="D1129" t="n">
        <v>3</v>
      </c>
      <c r="E1129" t="n">
        <v>16</v>
      </c>
      <c r="F1129">
        <f>HYPERLINK("https://www.reddit.com/r/eyetriage/comments/ejwj7x/post_retinal_tear_laser_treatment_flashes/")</f>
        <v/>
      </c>
      <c r="G1129" t="inlineStr">
        <is>
          <t>2020-01-04 05:17:40</t>
        </is>
      </c>
      <c r="H1129" t="inlineStr"/>
    </row>
    <row r="1130">
      <c r="A1130" t="inlineStr">
        <is>
          <t>ekadol</t>
        </is>
      </c>
      <c r="B1130" t="inlineStr">
        <is>
          <t>Big eyelash cluster with blepharis</t>
        </is>
      </c>
      <c r="C1130" t="inlineStr">
        <is>
          <t>Im a male 26 y.o and for a few years ive had this big cluster on the bottom left eyelash. I have small clusters like i guess everone has but this one has around a dozen hairs. All i tried so far was to use a mascara brush to untangle them. But they go back to cluster a few minutes/blinks later. It looks not very good first but more importanly is the upper and bottom eyelashes getting entangled everytime i blink because of it. I have blepharitis and i always felt like this cluster was increasing the inflammation and making the inconfort in that eye worse
I was wondering if anyone knew any way to fix this?
Thanks</t>
        </is>
      </c>
      <c r="D1130" t="n">
        <v>2</v>
      </c>
      <c r="E1130" t="n">
        <v>9</v>
      </c>
      <c r="F1130">
        <f>HYPERLINK("https://www.reddit.com/r/eyetriage/comments/ekadol/big_eyelash_cluster_with_blepharis/")</f>
        <v/>
      </c>
      <c r="G1130" t="inlineStr">
        <is>
          <t>2020-01-05 00:27:47</t>
        </is>
      </c>
      <c r="H1130" t="inlineStr"/>
    </row>
    <row r="1131">
      <c r="A1131" t="inlineStr">
        <is>
          <t>ekbfj0</t>
        </is>
      </c>
      <c r="B1131" t="inlineStr">
        <is>
          <t>Monocular Double Vision Both Eyes [28M]</t>
        </is>
      </c>
      <c r="C1131" t="inlineStr">
        <is>
          <t>Hey folks. The last few weeks I've noticed that I'm developing double vision. It's present with either eye covered, and in both eyes (the "ghost" is usually swapped horizontally depending on the eye). Brightly lit objects are much more noticeable than non-lit objects, and my makeshift home "pinhole" test (lol) shows the double visioning goes away when looking through. I have a optometrist appointment on Monday and an appointment with my neurologist on Friday.
I have a history of migraine onsets (especially visual) and also meibomitis (my eyelids tear ducts get clogged constantly). I started using tear drops this weekend in the event that it's dry eyes. I dunno if it's that because I feel like my double vision would fluctuate more, but I also have unhealthy computer habits and my eyelids/eyes definitely are inflammed/bloodshot. (I'm working on that now - trying to follow better eye strain habits)
I mostly am using this to vent because I'm nervous about the whole ordeal. I'm a developer and if my vision kicks the can, I'm basically done for. Any advice or at-home tips while I wait for my appointments would be great.
(Also, a few years ago I had an MRI/spinal tap/conduction test to rule out that my migraine onsets weren't MS or something else insidious).</t>
        </is>
      </c>
      <c r="D1131" t="n">
        <v>1</v>
      </c>
      <c r="E1131" t="n">
        <v>8</v>
      </c>
      <c r="F1131">
        <f>HYPERLINK("https://www.reddit.com/r/eyetriage/comments/ekbfj0/monocular_double_vision_both_eyes_28m/")</f>
        <v/>
      </c>
      <c r="G1131" t="inlineStr">
        <is>
          <t>2020-01-05 02:33:40</t>
        </is>
      </c>
      <c r="H1131" t="inlineStr"/>
    </row>
    <row r="1132">
      <c r="A1132" t="inlineStr">
        <is>
          <t>ekfwkh</t>
        </is>
      </c>
      <c r="B1132" t="inlineStr">
        <is>
          <t>Angle recession common?</t>
        </is>
      </c>
      <c r="C1132" t="inlineStr">
        <is>
          <t>How common is angle recession after an eye injury? I’ve read its common after force into the eye due to aqueous humour pushing parts of the eye but thats more a force kind of injury, what about injuries such as corneal abrasions more like a slap across the eye rather than a full force paintball or hockey ball into the eye pushing then cornea back etc? Surely the cornea is tough enough to take impact from lighter blows due to how many eye injuries happen everyday.</t>
        </is>
      </c>
      <c r="D1132" t="n">
        <v>1</v>
      </c>
      <c r="E1132" t="n">
        <v>5</v>
      </c>
      <c r="F1132">
        <f>HYPERLINK("https://www.reddit.com/r/eyetriage/comments/ekfwkh/angle_recession_common/")</f>
        <v/>
      </c>
      <c r="G1132" t="inlineStr">
        <is>
          <t>2020-01-05 09:21:40</t>
        </is>
      </c>
      <c r="H1132" t="inlineStr"/>
    </row>
    <row r="1133">
      <c r="A1133" t="inlineStr">
        <is>
          <t>ekgztt</t>
        </is>
      </c>
      <c r="B1133" t="inlineStr">
        <is>
          <t>eye pain and brief flashes of yellow rings when I look sideways</t>
        </is>
      </c>
      <c r="C1133" t="inlineStr">
        <is>
          <t>I'm 45, Caucasian, female.  Over the last few years, there have been times when the muscles behind my eyes ache when I move my eyes around, and when I look from side to side (especially in a dark room or when my eyes are closed), I briefly see a hollow yellow "ring of fire" in my peripheral vision (basically the size and shape of my iris).
The eye pain comes and goes, but the "rings" seem to be here to stay.  I saw a neuro-opthalmologist (I think that was her specialty) after the first couple times this happened, and she found nothing wrong with my eyes.
It's been a few years, and it hasn't gotten worse, so I'm not terribly scared, but I just thought I'd post here and see if anyone could suggest what it might be, and then maybe I can ask my neurologist about it at my next appointment (although he's a sleep neurologist).</t>
        </is>
      </c>
      <c r="D1133" t="n">
        <v>1</v>
      </c>
      <c r="E1133" t="n">
        <v>2</v>
      </c>
      <c r="F1133">
        <f>HYPERLINK("https://www.reddit.com/r/eyetriage/comments/ekgztt/eye_pain_and_brief_flashes_of_yellow_rings_when_i/")</f>
        <v/>
      </c>
      <c r="G1133" t="inlineStr">
        <is>
          <t>2020-01-05 10:38:37</t>
        </is>
      </c>
      <c r="H1133" t="inlineStr"/>
    </row>
    <row r="1134">
      <c r="A1134" t="inlineStr">
        <is>
          <t>ekh65y</t>
        </is>
      </c>
      <c r="B1134" t="inlineStr">
        <is>
          <t>pain above temples when eyeglasses touch my ears</t>
        </is>
      </c>
      <c r="C1134" t="inlineStr">
        <is>
          <t>Hi again!  Sorry to post 2 in a row, but I have another eye-related symptom that is fairly bothersome when it happens, so I thought I'd see if anyone has suggestions about it.
Caucasian female, 45, near-sighted with astigmatism, regular soft contact lens wearer.  For the last several years, there have been times when I was wearing my prescription eye glasses (like if I was cleaning my contact lenses overnight or taking a "day off" from wearing them), when I would get a surge of searing pressure-like pain just where my glasses touch my skull above and behind my ears.  If I didn't snatch the glasses off my face right away, the pain would intensify and sort of wrap around my skull!  And the second I did snatch the glasses off, the pain would quickly fade away and vanish.
This continued even after I changed my prescription and got new glasses.  Neither pair of glasses is too tight; one pair is actually way too big and barely touches at all, but even the slightest touch can cause the pain.  But here's the kicker: it can happen even if my eyes are closed as I put the glasses on and take them off!  So I don't think it's a vision thing at all... I think it's some sort of physical pressure point thing, like fibromyalgia, but just in this one very specific spot.  It has never happened with sunglasses, but my sunglasses are all much lighter than my eyeglasses.  Anyone heard of something like this?</t>
        </is>
      </c>
      <c r="D1134" t="n">
        <v>1</v>
      </c>
      <c r="E1134" t="n">
        <v>8</v>
      </c>
      <c r="F1134">
        <f>HYPERLINK("https://www.reddit.com/r/eyetriage/comments/ekh65y/pain_above_temples_when_eyeglasses_touch_my_ears/")</f>
        <v/>
      </c>
      <c r="G1134" t="inlineStr">
        <is>
          <t>2020-01-05 10:50:56</t>
        </is>
      </c>
      <c r="H1134" t="inlineStr"/>
    </row>
    <row r="1135">
      <c r="A1135" t="inlineStr">
        <is>
          <t>ekn00s</t>
        </is>
      </c>
      <c r="B1135" t="inlineStr">
        <is>
          <t>Intense burning sensation from inner corner of eye.</t>
        </is>
      </c>
      <c r="C1135" t="inlineStr">
        <is>
          <t>I felt the exact same sensation a week ago in the same eye.</t>
        </is>
      </c>
      <c r="D1135" t="n">
        <v>1</v>
      </c>
      <c r="E1135" t="n">
        <v>7</v>
      </c>
      <c r="F1135">
        <f>HYPERLINK("https://www.reddit.com/r/eyetriage/comments/ekn00s/intense_burning_sensation_from_inner_corner_of_eye/")</f>
        <v/>
      </c>
      <c r="G1135" t="inlineStr">
        <is>
          <t>2020-01-05 18:02:15</t>
        </is>
      </c>
      <c r="H1135" t="inlineStr"/>
    </row>
    <row r="1136">
      <c r="A1136" t="inlineStr">
        <is>
          <t>el1s09</t>
        </is>
      </c>
      <c r="B1136" t="inlineStr">
        <is>
          <t>diagnosed with meibomian gland dysfunction</t>
        </is>
      </c>
      <c r="C1136" t="inlineStr">
        <is>
          <t xml:space="preserve">
I took accutane for 3 and half months. 5 months post accutane , I had a bilateral conjunctivitis that was treated with antibiotics. 3 weeks after, my eyes were appearing red( not as bad as pink eye but red), I used steroid Drops for 2 weeks then now just use lubricant drops everyday along with hot compress.
My eyes just feel dry and they look very red when I wake up. I know this is not curable, but will the redness go away? The optometrist said the redness was caused by irritation.
It’s been 5 days since I used hot compress and nothing changed</t>
        </is>
      </c>
      <c r="D1136" t="n">
        <v>1</v>
      </c>
      <c r="E1136" t="n">
        <v>5</v>
      </c>
      <c r="F1136">
        <f>HYPERLINK("https://www.reddit.com/r/eyetriage/comments/el1s09/diagnosed_with_meibomian_gland_dysfunction/")</f>
        <v/>
      </c>
      <c r="G1136" t="inlineStr">
        <is>
          <t>2020-01-06 14:46:57</t>
        </is>
      </c>
      <c r="H1136" t="inlineStr"/>
    </row>
    <row r="1137">
      <c r="A1137" t="inlineStr">
        <is>
          <t>el7r9c</t>
        </is>
      </c>
      <c r="B1137" t="inlineStr">
        <is>
          <t>Questions about retinal detachment and reading</t>
        </is>
      </c>
      <c r="C1137" t="inlineStr">
        <is>
          <t>I had an operation on both eyes in June of 2019 for retinal detachment. One eye received intensive laser treatment and the other eye received surgical intervention with a recovery period of five weeks or so spent lying mostly face down and avoiding using computers or reading (but at least I really got into audiobooks). I'm not sure what caused the detachment, although I had a couple of bad falls that may have contributed. However, I'm also very shortsighted.
The operations were successful, and although my sight still isn't what it used to be, it's definitely better than it was.
I'm a Westerner living in Asia, and my surgeon gave me a couple of recommendations for maintaining the health of my eyes. Some of the advice, however, I haven't been able to find anywhere else.
He recommended I should take a ten minute break from reading from my computer screen every twenty minutes. My partner has taken this to mean I should do this forever when it comes to reading. 
However, I also have to make a living, and that means I have to use a computer or starve. Interrupting my routine that often throughout the day reduces my ability to focus clearly on my work, which is largely editing fiction to tight deadlines.
My question: **is this advice correct**? Should I, in the months and years following retinal detachment surgery, always seek to take a ten minute break every twenty minutes that I'm reading? Can reading actively cause damage to my retinas?
Any insight is hugely appreciated.</t>
        </is>
      </c>
      <c r="D1137" t="n">
        <v>1</v>
      </c>
      <c r="E1137" t="n">
        <v>0</v>
      </c>
      <c r="F1137">
        <f>HYPERLINK("https://www.reddit.com/r/eyetriage/comments/el7r9c/questions_about_retinal_detachment_and_reading/")</f>
        <v/>
      </c>
      <c r="G1137" t="inlineStr">
        <is>
          <t>2020-01-06 22:38:12</t>
        </is>
      </c>
      <c r="H1137" t="inlineStr"/>
    </row>
    <row r="1138">
      <c r="A1138" t="inlineStr">
        <is>
          <t>el86t6</t>
        </is>
      </c>
      <c r="B1138" t="inlineStr">
        <is>
          <t>Constant watery eyes for months, sore eyelids</t>
        </is>
      </c>
      <c r="C1138" t="inlineStr">
        <is>
          <t>I’m honestly at the end of my rope with this problem and not sure what to do. Around the middle of last year, my left eye started watering A LOT, and I was constantly wiping it every 10 minutes or so. I saw my regular doctor about it, who examined my eye and told me it wasn’t an infection, but possibly a sort of allergic conjunctivitis. She gave me Cromolyn Sodium eyedrops, which we’re supposed to give me relief in a few days, though I was told it might take up to six weeks to get better, and it might get worse before that. 
So I’ve been trying them, and they haven’t been working. What’s even worse is that it seems to have spread to my right eye as well, so about every 10-15 minutes or so and sometimes less than that, I’m constantly wiping my eyes with a tissue. They’re just watery, not itchy and usually don’t hurt. 
In the morning when I wake up, the outside of my lids are dry or crusty with watery discharge, and beneath both of my eyes and over the top of the left, tiny wrinkles have formed, which I think is a consequence of wiping my eyes with my hands at times, stretching the skin. 
I’m not sure what’s causing this in the first place, though I think it’s either a buildup of dust in my room causing an allergy (doubtful, but I don’t keep my room as clean as I should), or possibly traces of liquid nicotine getting in my eyes, as I have a bad habit of wiping my vape stuff and then mistakenly using the same tissue to wipe my eyes. I’ve done this on occasion, and my eye would immediately start burning, so I’d go to the sink and flush it out. Obviously, I’m much more careful about this now. 
But my eyes are driving my nuts, and the sides, beneath them, and the top lids can often get sore. I’m not sure if that’s from me wiping them, or the tears themselves irritating my skin. 
Anyone have any idea what this might be? Please help.</t>
        </is>
      </c>
      <c r="D1138" t="n">
        <v>1</v>
      </c>
      <c r="E1138" t="n">
        <v>2</v>
      </c>
      <c r="F1138">
        <f>HYPERLINK("https://www.reddit.com/r/eyetriage/comments/el86t6/constant_watery_eyes_for_months_sore_eyelids/")</f>
        <v/>
      </c>
      <c r="G1138" t="inlineStr">
        <is>
          <t>2020-01-06 23:19:46</t>
        </is>
      </c>
      <c r="H1138" t="inlineStr"/>
    </row>
    <row r="1139">
      <c r="A1139" t="inlineStr">
        <is>
          <t>elao31</t>
        </is>
      </c>
      <c r="B1139" t="inlineStr">
        <is>
          <t>Actual differences beteeen Systane / Systane Ultra / every eyedrop?</t>
        </is>
      </c>
      <c r="C1139" t="inlineStr">
        <is>
          <t>I used to use Blink and never knew what to buy out of the 10 different brands they sold since it sklf elt exactly the same, with the same ingredients. I switched to Refresh Preservative Free, then the Omega 3 Preservative Free. I like the Omega 3 the most, I think, but it definitely doesn't work well with contacts. Doctor told me to switch to Systane Ultra Preservative Free, not Systane Preservative Free. Seems like the exact same solution in both viles, just with a different name attached for marketing, for more money - the same way I felt with Blink. What are the differences, what are each for, am how is the average consumer supposed to tell?
I have severe dry eye with oil gland issues</t>
        </is>
      </c>
      <c r="D1139" t="n">
        <v>1</v>
      </c>
      <c r="E1139" t="n">
        <v>12</v>
      </c>
      <c r="F1139">
        <f>HYPERLINK("https://www.reddit.com/r/eyetriage/comments/elao31/actual_differences_beteeen_systane_systane_ultra/")</f>
        <v/>
      </c>
      <c r="G1139" t="inlineStr">
        <is>
          <t>2020-01-07 04:02:42</t>
        </is>
      </c>
      <c r="H1139" t="inlineStr"/>
    </row>
    <row r="1140">
      <c r="A1140" t="inlineStr">
        <is>
          <t>eliqjy</t>
        </is>
      </c>
      <c r="B1140" t="inlineStr">
        <is>
          <t>34m concerned about vision deterioration</t>
        </is>
      </c>
      <c r="C1140" t="inlineStr">
        <is>
          <t>I'm an active non-diabetic health-conscious 34 year old male. Starting last year, I noticed some visual disturbances such as floaters, blurry vision (despite prescription glasses), accommodation insufficiency, dry eye, reduction in peripheral clarity along with a bunch of other symptoms. Testing results seemed normal at first until only last month when ophthalmologist seemed a bit concerned and asked to repeat testing in 2 months. He didn't go into much detail explaining what is going on. I'm getting a second opinion soon but leaning on the help of the knowledgeable folks on this forum. 
Both photos (embedded &amp;amp; link below) are from December 2019
[https://imgur.com/KGROZVI](https://imgur.com/KGROZVI)</t>
        </is>
      </c>
      <c r="D1140" t="n">
        <v>1</v>
      </c>
      <c r="E1140" t="n">
        <v>2</v>
      </c>
      <c r="F1140">
        <f>HYPERLINK("https://www.reddit.com/r/eyetriage/comments/eliqjy/34m_concerned_about_vision_deterioration/")</f>
        <v/>
      </c>
      <c r="G1140" t="inlineStr">
        <is>
          <t>2020-01-07 14:14:05</t>
        </is>
      </c>
      <c r="H1140" t="inlineStr"/>
    </row>
    <row r="1141">
      <c r="A1141" t="inlineStr">
        <is>
          <t>elixlt</t>
        </is>
      </c>
      <c r="B1141" t="inlineStr">
        <is>
          <t>Sometimes I can see heart pulses in my vision...?</t>
        </is>
      </c>
      <c r="C1141" t="inlineStr">
        <is>
          <t>Around 3.5 years ago I had physical trauma to the right side of my head near my eye which created some tears in the right eye retina and I have had 4 rounds of retinal laser photocoagulation treatment for retinal dialysis a few months ago.
I have only somewhat recently noticed this but sometimes my vision "thumps" with my heart pulse. I believe this is most apparent when my heart's beating fast from rushing but I have also noticed it while sitting down. How serious might this be? I did some looking around and apparently it's a symptom of Carotid Cavernous Fistula but I don't experience all the symptoms of that. Should I be concerned?</t>
        </is>
      </c>
      <c r="D1141" t="n">
        <v>1</v>
      </c>
      <c r="E1141" t="n">
        <v>1</v>
      </c>
      <c r="F1141">
        <f>HYPERLINK("https://www.reddit.com/r/eyetriage/comments/elixlt/sometimes_i_can_see_heart_pulses_in_my_vision/")</f>
        <v/>
      </c>
      <c r="G1141" t="inlineStr">
        <is>
          <t>2020-01-07 14:27:43</t>
        </is>
      </c>
      <c r="H1141" t="inlineStr"/>
    </row>
    <row r="1142">
      <c r="A1142" t="inlineStr">
        <is>
          <t>em4ss5</t>
        </is>
      </c>
      <c r="B1142" t="inlineStr">
        <is>
          <t>Second post here blind eye silicone oil! Removal?</t>
        </is>
      </c>
      <c r="C1142" t="inlineStr">
        <is>
          <t>I have a previous post here in regards to symptoms that started last year main one being photophobia. 
I’ve seen 2 ophthalmologists and a neuro ophthalmologist had CTs and MRIs all clear. I have no been able to get an answer from a special since I thought of this next question. 
I have had silicone oil in my left eye for about 11 years now, it is often put in the eye to push the retina back after detachment (which happened to me). 
With all that has arisen in regards to implants and what not is there a chance that the silicone oil could be causing my issues and need to be replaced? As even oil deteriorates over time? 
I have a weird sensation in left eye depending on the angle of my head, eyes start to water when exposed to any sorta of light if I look straight or upwards. Watering is bilateral, however no pain in my right eye which is perfectly healthy.</t>
        </is>
      </c>
      <c r="D1142" t="n">
        <v>1</v>
      </c>
      <c r="E1142" t="n">
        <v>9</v>
      </c>
      <c r="F1142">
        <f>HYPERLINK("https://www.reddit.com/r/eyetriage/comments/em4ss5/second_post_here_blind_eye_silicone_oil_removal/")</f>
        <v/>
      </c>
      <c r="G1142" t="inlineStr">
        <is>
          <t>2020-01-08 20:47:17</t>
        </is>
      </c>
      <c r="H1142" t="inlineStr"/>
    </row>
    <row r="1143">
      <c r="A1143" t="inlineStr">
        <is>
          <t>em9xzx</t>
        </is>
      </c>
      <c r="B1143" t="inlineStr">
        <is>
          <t>PLEASE HELP</t>
        </is>
      </c>
      <c r="C1143" t="inlineStr">
        <is>
          <t>I've always had good vision and like to think I still do however I have been experiencing sudden changes in my vision that I will now try and explain. 
1) I have always seen some lines around a source of light, especially a bright one. I remember as a kid squinting and making them exaggerate and come down to the edges of my vision. But recently it has been far more exaggerated! Like headlights occupy a large portion of my visual field with rainbow lines exploding out and curving around my eyeball to the edge of my visual field, when they hit eachother (two or more light sources) they create a grid of adding and subtracting color dots very small. 
PLEASE READ THIS ONE TOO BEFORE RESPONDING
2) The "Starbursts" are largely consistent and are most troublesome with the sun and headlights how ever this next symptom is pretty rare. On some days, especially night time when my eyes seem tired/strained, I will have a very uncomfortable feeling associated with using both of my eyes that I can blink to alter/fix.. sometimes a decently large glob will occupy a portion of my vision in one eye and will move around Everytime I blink, when it is over my pupil, assumably, and I look at light, the light will appear hazey, blurry, and wavey with geometry like circles and curvy concentric lines and colors. I can temporarily blink to move it around in my eye and I can physically feel in my eyelids. It's comparable to the sensation of waking up and having dry blurred vision that is instantly fixed by wetting your eyes and I can temporarily fix and prevent it from happening by smearing liquid over the effected eye. It is worth mentioning that during these times of the smudgey dry eye phenomenon, the star bursts are extra pronounced and have a weird smudge or blur over the light source and it is really hard to see very very far away lights. It's much worse for far away lights 
WHAT THE hell is happening to me and WHY is it only happening SOMETIMES?? IM SO WORRIED PLEASE HELP</t>
        </is>
      </c>
      <c r="D1143" t="n">
        <v>1</v>
      </c>
      <c r="E1143" t="n">
        <v>2</v>
      </c>
      <c r="F1143">
        <f>HYPERLINK("https://www.reddit.com/r/eyetriage/comments/em9xzx/please_help/")</f>
        <v/>
      </c>
      <c r="G1143" t="inlineStr">
        <is>
          <t>2020-01-09 05:55:03</t>
        </is>
      </c>
      <c r="H1143" t="inlineStr"/>
    </row>
    <row r="1144">
      <c r="A1144" t="inlineStr">
        <is>
          <t>emdqv1</t>
        </is>
      </c>
      <c r="B1144" t="inlineStr">
        <is>
          <t>Dry eye / migraine aura</t>
        </is>
      </c>
      <c r="C1144" t="inlineStr">
        <is>
          <t>I have been researching the connection between dry eye and migraine aura. Is there a clinical causation between the two? Specifically, can dry eyes trigger a migraine aura?</t>
        </is>
      </c>
      <c r="D1144" t="n">
        <v>1</v>
      </c>
      <c r="E1144" t="n">
        <v>3</v>
      </c>
      <c r="F1144">
        <f>HYPERLINK("https://www.reddit.com/r/eyetriage/comments/emdqv1/dry_eye_migraine_aura/")</f>
        <v/>
      </c>
      <c r="G1144" t="inlineStr">
        <is>
          <t>2020-01-09 10:29:46</t>
        </is>
      </c>
      <c r="H1144" t="inlineStr"/>
    </row>
    <row r="1145">
      <c r="A1145" t="inlineStr">
        <is>
          <t>emfc1k</t>
        </is>
      </c>
      <c r="B1145" t="inlineStr">
        <is>
          <t>General Question: Eyelid closure duration and punctal occlusion with prescription eye drops.</t>
        </is>
      </c>
      <c r="C1145" t="inlineStr">
        <is>
          <t>I'm a high risk glaucoma suspect who was started on latanoprost a few weeks ago. 
What do you generally advise patients taking this medication regarding eyelid closure duration, and punctal occlusion? 
My optometrist didn't really give me a straight answer, only that both practices help the eye absorb more of the medication, and information on the internet is inconsistent. 
Thank you.</t>
        </is>
      </c>
      <c r="D1145" t="n">
        <v>1</v>
      </c>
      <c r="E1145" t="n">
        <v>2</v>
      </c>
      <c r="F1145">
        <f>HYPERLINK("https://www.reddit.com/r/eyetriage/comments/emfc1k/general_question_eyelid_closure_duration_and/")</f>
        <v/>
      </c>
      <c r="G1145" t="inlineStr">
        <is>
          <t>2020-01-09 12:22:53</t>
        </is>
      </c>
      <c r="H1145" t="inlineStr"/>
    </row>
    <row r="1146">
      <c r="A1146" t="inlineStr">
        <is>
          <t>emlakg</t>
        </is>
      </c>
      <c r="B1146" t="inlineStr">
        <is>
          <t>Eyes shaking when tired</t>
        </is>
      </c>
      <c r="C1146" t="inlineStr">
        <is>
          <t>Hello! So this ain’t a new issue. Let’s start with backstory. 
I’m in IB, junior in high school, and have IB Math HL1 bright and early every day. I’m good at math but it’s sooooo utterly boring. As the teacher goes on I get to the point where I wish I could see how fast I can fall asleep if I could put my head down and close my eyes. At this point, when I’m trying to listen, my eyes will randomly start shaking, up, down, left, right. It’s annoying, and low key makes me sleepier. 
This also happens when I’ve been staring at something for a long time, but only sometimes. Then, I look away and it stops. Then I go back to staring and sometimes it’ll start up again. Sometimes when I’m trying to sleep and have my eyes closed my eyes will shake. Then I become aware of it, move my eyes, and the above happens. My eyes will also randomly twitch, but only left and right, and it lasts maybe less than a second.
I’m really puzzled at what’s happening. I have a -6.00 and -6.25 prescription with dry eyes. Any help or insight would be greatly appreciated!
Happy New Year!!</t>
        </is>
      </c>
      <c r="D1146" t="n">
        <v>1</v>
      </c>
      <c r="E1146" t="n">
        <v>1</v>
      </c>
      <c r="F1146">
        <f>HYPERLINK("https://www.reddit.com/r/eyetriage/comments/emlakg/eyes_shaking_when_tired/")</f>
        <v/>
      </c>
      <c r="G1146" t="inlineStr">
        <is>
          <t>2020-01-09 19:41:32</t>
        </is>
      </c>
      <c r="H1146" t="inlineStr"/>
    </row>
    <row r="1147">
      <c r="A1147" t="inlineStr">
        <is>
          <t>emo4so</t>
        </is>
      </c>
      <c r="B1147" t="inlineStr">
        <is>
          <t>Contact lense removal trouble?</t>
        </is>
      </c>
      <c r="C1147" t="inlineStr">
        <is>
          <t>Hello all. I've had contact lenses for a few years now, but I'm starting to really struggle to take my right one out. I've always used a pinching method to remove them because it's the only way I know. No matter how gentle I am, it feels like I'm lifting up my cornea or something. Sometimes I get this painful pulling sensation and my vision goes blurry. Usually after a few tries I can manage to get ahold of my lens and remove it but I am getting increasingly worried that I won't be able to get it out one day. It is always the right eye. Also, lately, when I move that eye it feels like something is slightly sticking out of the surface. Like it's just not smooth. What is going on here? I'm going to visit the eye doctor soon, but right now I'm out of state.</t>
        </is>
      </c>
      <c r="D1147" t="n">
        <v>1</v>
      </c>
      <c r="E1147" t="n">
        <v>5</v>
      </c>
      <c r="F1147">
        <f>HYPERLINK("https://www.reddit.com/r/eyetriage/comments/emo4so/contact_lense_removal_trouble/")</f>
        <v/>
      </c>
      <c r="G1147" t="inlineStr">
        <is>
          <t>2020-01-10 00:25:35</t>
        </is>
      </c>
      <c r="H1147" t="inlineStr"/>
    </row>
    <row r="1148">
      <c r="A1148" t="inlineStr">
        <is>
          <t>emsos4</t>
        </is>
      </c>
      <c r="B1148" t="inlineStr">
        <is>
          <t>Constant eye strain?</t>
        </is>
      </c>
      <c r="C1148" t="inlineStr">
        <is>
          <t>FYI: I have have an appointment made and I’m going in two days. I’m posting just to get an idea of what I might have, before going to the appointment.
So the past two months I could feel eye strain every so often in my right eye. However, in the past couple weeks the pain became a constant, and it felt like my right eye is straining throughout the day. On really bad days it gave me headaches. Also I’m at a point where the vision in my right eye is slightly getting worse. My left eye is however completely fine. (Although I do get an eye strain once a while, but not often at all)
The only culprit I can think of that’s causing this is the fact my right eye’s vision has always been slightly worse than my left.</t>
        </is>
      </c>
      <c r="D1148" t="n">
        <v>1</v>
      </c>
      <c r="E1148" t="n">
        <v>0</v>
      </c>
      <c r="F1148">
        <f>HYPERLINK("https://www.reddit.com/r/eyetriage/comments/emsos4/constant_eye_strain/")</f>
        <v/>
      </c>
      <c r="G1148" t="inlineStr">
        <is>
          <t>2020-01-10 07:45:30</t>
        </is>
      </c>
      <c r="H1148" t="inlineStr"/>
    </row>
    <row r="1149">
      <c r="A1149" t="inlineStr">
        <is>
          <t>emunos</t>
        </is>
      </c>
      <c r="B1149" t="inlineStr">
        <is>
          <t>peripheral vision is blurred</t>
        </is>
      </c>
      <c r="C1149" t="inlineStr">
        <is>
          <t>my peripheral vision is blurred and it fades out in a circular way getting blurrier the further it is from the centre (which is clear) but I can move around the clear centre of my vision, I've had this problem all my life and I went to an optician and they didn't do adequate tests for my peripheral vision. What could this be?(I'm not looking for a diagnosis I just want to know what it could be because I recently found out this isn't normal and I'm worried, I tried finding out what it could be but I find almost nothing related to my problem.).</t>
        </is>
      </c>
      <c r="D1149" t="n">
        <v>1</v>
      </c>
      <c r="E1149" t="n">
        <v>2</v>
      </c>
      <c r="F1149">
        <f>HYPERLINK("https://www.reddit.com/r/eyetriage/comments/emunos/peripheral_vision_is_blurred/")</f>
        <v/>
      </c>
      <c r="G1149" t="inlineStr">
        <is>
          <t>2020-01-10 10:03:40</t>
        </is>
      </c>
      <c r="H1149" t="inlineStr"/>
    </row>
    <row r="1150">
      <c r="A1150" t="inlineStr">
        <is>
          <t>en2b73</t>
        </is>
      </c>
      <c r="B1150" t="inlineStr">
        <is>
          <t>How worried should I be about primary acquired melanosis (or a nevus, or otherwise)?</t>
        </is>
      </c>
      <c r="C1150" t="inlineStr">
        <is>
          <t>Hi,
I've had a small brown pigmentation in my right eye since August 2016. For some reason I had taken clear photos of my face in July and August of that year and can clearly see that this month was when this pigmentation first appeared.
I am a 24 year old white male of middle eastern decent (Assyrian).
My only other eye problem is mild floaters, which I have long learned to live with.
For my postgraduate degree I was required to use a Class IV laser, and so before and after my degree I had to have a comprehensive eye examination conducted by the university eye clinic. Both times I was told it was nothing to worry about. The first student optometrist told me it was a nevus, and the second time (October last year) I asked their supervisor and she told me it was a melanosis.
Due to a few anxieties about my health in the recent month or two, unrelated to my eye, I brought this all up with my GP this week. Having been told it was a melanosis prompted her to investigate it further. A few days later I had seen two separate ophthalmologists at my local eye and ENT hospital who both examined my eye with a slit lamp and said it looks harmless and is nothing to worry about.
[Here is a photo of my eye from 2016 where the pigment is first visible.](https://i.imgur.com/H8YGgbi.png)
[Here is a recent, clearer photo I took this week.](https://i.imgur.com/INFRgRT.png)
The first ophthalmologist told me it looked like a melanosis, and the second said it looked like a nevus. I mentioned how everyone kept calling it something different to the second doctor (which really does matter, prognosis wise), and he told me it was hard to say exactly without a biopsy. I let him know my GP was thinking of sending me to a dermatologist to get a definitive diagnosis, to which he agreed to if I thought it would help me with my anxiety.
The dermatologist told me that she was not experienced enough in such a condition to help me, and so she referred me to another doctor in another state. My GP is working to find someone local, I think an ocular oncologist.
I feel like I'm being thrown around a lot and I'm getting sick of waiting and being anxious about this thing. Having a scientific background I am not averse to reading journal articles regarding this topic, and so far the literature on conjunctival lesions has me worried. If this is PAM, I want to know if it is with or without atypia. The statistics regarding progression of PAM to melanoma are scarce. Heck, I'm still not even sure if this is PAM or something else.
What do you guys think? Should I be worried? What should my course of action be?
Thank you.</t>
        </is>
      </c>
      <c r="D1150" t="n">
        <v>1</v>
      </c>
      <c r="E1150" t="n">
        <v>2</v>
      </c>
      <c r="F1150">
        <f>HYPERLINK("https://www.reddit.com/r/eyetriage/comments/en2b73/how_worried_should_i_be_about_primary_acquired/")</f>
        <v/>
      </c>
      <c r="G1150" t="inlineStr">
        <is>
          <t>2020-01-10 19:45:24</t>
        </is>
      </c>
      <c r="H1150" t="inlineStr"/>
    </row>
    <row r="1151">
      <c r="A1151" t="inlineStr">
        <is>
          <t>ena59t</t>
        </is>
      </c>
      <c r="B1151" t="inlineStr">
        <is>
          <t>half vision loss in single eye [UPDATE]</t>
        </is>
      </c>
      <c r="C1151" t="inlineStr">
        <is>
          <t>a couple weeks back I posted here looking for some assistance: https://www.reddit.com/r/eyetriage/comments/eg820z/half_vision_loss_in_single_eye/
just wanted to say thanks to those who replied and update everyone: I did indeed have a detached retina! apparently I have holes all over my retinas in both eyes, and one of them finally detached on Christmas. I went in to the doctor on Friday and got a plastic band put around the eye on Monday, as well as lasers to scar over the holes. it was really though for a few days; not much pain but I kept my eye closed and couldn't do much on my own.
I've had a couple follow up appointments and the eye is doing very well. The retina has started to re-attach and I don't have to lay on my left side anymore. The doctor says I need lasers on the other eye ASAP so it doesn't detach as well. 
So yeah, just wanted to say my thanks (apparently you can be correctly diagnosed via the Internet!) and ask a few questions:
* My doctor said I should stop taking the antibiotic eyedrops and just take the steroid, but my eye still is very red, irritated and itchy. Any idea why he would say to stop the antibiotic and if that's a good idea?
* My biggest fear is that screentime contributed to this. Both my eyes have holes all over the retinas apparently, and though the Doctor didn't mention anything about screens affecting it, I work on a computer, watch stuff when I come home from work, etc. Just wondering if I should try to limit computers or get special glasses? Or am I just being paranoid...</t>
        </is>
      </c>
      <c r="D1151" t="n">
        <v>1</v>
      </c>
      <c r="E1151" t="n">
        <v>3</v>
      </c>
      <c r="F1151">
        <f>HYPERLINK("https://www.reddit.com/r/eyetriage/comments/ena59t/half_vision_loss_in_single_eye_update/")</f>
        <v/>
      </c>
      <c r="G1151" t="inlineStr">
        <is>
          <t>2020-01-11 09:17:55</t>
        </is>
      </c>
      <c r="H1151" t="inlineStr"/>
    </row>
    <row r="1152">
      <c r="A1152" t="inlineStr">
        <is>
          <t>enf1jd</t>
        </is>
      </c>
      <c r="B1152" t="inlineStr">
        <is>
          <t>Pink eye without redness, discharge, etc?</t>
        </is>
      </c>
      <c r="C1152" t="inlineStr">
        <is>
          <t>Last night I rubbed my right eye and noticed that there was a painful, kind of inflamed feeling under the eye (essentially the area where the eye bags are). Today the area was swollen with a redness, and felt painful, but my eye is not red and aside from a tiny bit of morning crust, no discharge. 
I visited the eye clinic where a doctor diagnosed "light conjunctivitis." He prescribed me antibiotic eye drops. Now I know that's where my post should stop.
But I am slightly concerned because of the swelling and pain and because I have no other pink eye symptoms like redness, itching, or discharge. I'm just worried it could be a more serious infection like periorbital cellulitis, and unsure when/if I should to go back to the doctor.</t>
        </is>
      </c>
      <c r="D1152" t="n">
        <v>1</v>
      </c>
      <c r="E1152" t="n">
        <v>1</v>
      </c>
      <c r="F1152">
        <f>HYPERLINK("https://www.reddit.com/r/eyetriage/comments/enf1jd/pink_eye_without_redness_discharge_etc/")</f>
        <v/>
      </c>
      <c r="G1152" t="inlineStr">
        <is>
          <t>2020-01-11 15:14:01</t>
        </is>
      </c>
      <c r="H1152" t="inlineStr"/>
    </row>
    <row r="1153">
      <c r="A1153" t="inlineStr">
        <is>
          <t>enn65s</t>
        </is>
      </c>
      <c r="B1153" t="inlineStr">
        <is>
          <t>Recurrent Cornea Erosion Nightmares.. Need serious advice for Superficial Keratectomy or PRK.. I'm super sensitive to anything touching my eye</t>
        </is>
      </c>
      <c r="C1153" t="inlineStr">
        <is>
          <t xml:space="preserve">My issues related to Recurrent Cornea Erosion have been continuous related to Map-Dot Fingerprint Dystrophy. :(
I never had any blunt trauma to either of my eyes. It seems to be genetic because there's no other explanation. I'm 39 years old. Early 2016, I started to wake up with that "sand in my eyes" or "something stuck in my eye" sensation. I didn't have any idea what it was. Fast forward a few months, and I woke up randomly with a 10 out of 10 on the pain scale in my left eye. Turns out it was a corneal abrasion. It healed after a week.
Six months later the same thing, just random, intense pain one morning in the middle of the night and when waking. It's been hell. Honestly, it has been some of the worst pain imaginable. I have to travel often because my kids are overseas, so I go back and forth. It's made planning for trips and logistics and nightmare. 
This has gone on like this for four years. As I type, I have a corneal abrasion in my left eye that caused massive 10 out of 10 pain on two occasions in just one week. In the mirror, the corneal abrasion is large, red, and has low-level pain throughout the day. I feel like I've reached my end.
However, I have a serious problem regarding treatment. I have used a few topical drops and gels daily, multiple times per day. The first are Hylo-Gel and Hylo-Care, the second is Solcoseryl which is a healing agent made from the blood plasma of sheep (prescribed in southeast Asia), and a few months back added regular DuraTears.
I want to do the superficial keratectomy procedure. Or the laser version of this procedure. However, I am beyond terrified. I have anxiety disorders, and so I am a nervous person in general. But I have always had a nervous reaction or maybe even a physical sensitivity to anything touching my eyes. A family member was a optometrist and he tried fitting me with contact lenses. He could never get it in my eye, even after an hour of trying. In my adult life, ophthalmologists wanted to fit me with contact lens bandages after my severe corneal abrasions, however, each time unsuccessful in getting in my eye. I'm blinking non-stop, I can't stop myself from resisting. I get beyond completely freaked out by anything touching my eye.. anything solid. So how can I ever do this procedure I need (the superficial keratectomy)? I feel really stuck here. I know I need to do it. But both psychologically and physically I can't imagine being able to successfully do it.
Can I please get some tips from how to go through with this procedure? I need tips on how to do this. I'm curious if anyone else has ever been in the same boat as me.
Then some other general questions on my mind.. I wonder is it better to do the superficial keratectomy or PRK laser treatment? The eye doctor I'm going to see again in Singapore, he is leaning toward the laser procedure, though my U.S doctor thought that it would be "too expensive" and "maybe harder for you to keep your eye open." But it seems like it might be easier to keep my eye open with the laser?
This has been such a nightmare. Please help me go through with this procedure with any tips or advice on how to do this for someone who is so sensitive with something touching my eye. My current doctor also does not agree about general anesthesia, he would only use local topical anesthesia.
Also, are the chances of recovering from Recurrent Cornea Erosions almost 100% with either of these procedures? Or is it really only 60 - 70% chance of success like I recently read in an ophthalmology article.
I'm also scared how long it would take to recover. Since just my worst corneal abrasion has taken over 10 days just with an abrasion. And this would be removing a big part of the cornea. I'm confused when a doctor in the past has (too optimistically) given a 3 - 4 day recovery time??
Thank you!  </t>
        </is>
      </c>
      <c r="D1153" t="n">
        <v>1</v>
      </c>
      <c r="E1153" t="n">
        <v>6</v>
      </c>
      <c r="F1153">
        <f>HYPERLINK("https://www.reddit.com/r/eyetriage/comments/enn65s/recurrent_cornea_erosion_nightmares_need_serious/")</f>
        <v/>
      </c>
      <c r="G1153" t="inlineStr">
        <is>
          <t>2020-01-12 04:59:58</t>
        </is>
      </c>
      <c r="H1153" t="inlineStr"/>
    </row>
    <row r="1154">
      <c r="A1154" t="inlineStr">
        <is>
          <t>enonij</t>
        </is>
      </c>
      <c r="B1154" t="inlineStr">
        <is>
          <t>Questions about antihistamine use/allergies and angle glaucoma etc</t>
        </is>
      </c>
      <c r="C1154" t="inlineStr">
        <is>
          <t>Hi
Can I post here about my eyes? Or does it need to go somewhere else?
I had the emergency kind of angles glaucoma thing, the kind where my eye suddenly went hazy and cloudy n all like a fuzzy television. When I got to hospital it was the emergency kind of close angles where my eye pressure had elevated really quickly and they had me on a drip with the medication to lower the pressure and I had to also take actual medication as it wasn't lowering. I'm not sure if that's the closed angle? Open angle ? Or what exactly? It was the emergency variety anyway which warranted a two night hospital stay.
The next day I had to have laser iridoctomy to create holes as the fluid wasn't draining because of the angles. 
However I want to ask about antihistamines use as I was using a lot just prior to all this happening and have been scared to use them ever since. I made the mistake of googling about it and it said in some individuals it can elevate eye pressure, e.g. me so I'm terrified . Was it the antihistamine use that caused all this? It's cetirizine that I was taking most days for a two week period leading up to all this happening.
I do have terrible anxiety as well but I'm still having trouble with skin allergies and reactions and there are times I need something.  I am partially sighted, with no vision in my left eye due to being born prematurely so it was super scary when all this happened to my good eye.
Would this be the case? Would it be dangerous for me to use antihistamines?  I obviously want to avoid this happening again of course, I'm very anxious about that. I will ask my eye consultant as well who I see in February 
If I need to post this elsewhere Please point me in the right direction
Thanks</t>
        </is>
      </c>
      <c r="D1154" t="n">
        <v>1</v>
      </c>
      <c r="E1154" t="n">
        <v>20</v>
      </c>
      <c r="F1154">
        <f>HYPERLINK("https://www.reddit.com/r/eyetriage/comments/enonij/questions_about_antihistamine_useallergies_and/")</f>
        <v/>
      </c>
      <c r="G1154" t="inlineStr">
        <is>
          <t>2020-01-12 07:21:01</t>
        </is>
      </c>
      <c r="H1154" t="inlineStr"/>
    </row>
    <row r="1155">
      <c r="A1155" t="inlineStr">
        <is>
          <t>eo8wim</t>
        </is>
      </c>
      <c r="B1155" t="inlineStr">
        <is>
          <t>Changes in Ocular Migraines - Concerning?</t>
        </is>
      </c>
      <c r="C1155" t="inlineStr">
        <is>
          <t>I’m a 40 yo female who has suffered from between 4-5 annual ocular migraines since the age of 21. They have always presented as a flashing moon that typically begins in the right-hand peripheral vision, and migrates to the left, progressively consuming more of my field of vision, until just kind of evaporating away. They have always followed this same pattern.
Tonight I had one that was much different. It began as a full oval that covered both the right and left sides of my vision with a small clearing in the middle. This shape flashed and expanded outward, taking over pretty much all of my outer perimeters of vision, until also evaporating from the edges.
I feel ok otherwise, but my eyes have a tired heavy feeling now that the visual disturbance has passed. Should I be concerned by this change in pattern?</t>
        </is>
      </c>
      <c r="D1155" t="n">
        <v>1</v>
      </c>
      <c r="E1155" t="n">
        <v>3</v>
      </c>
      <c r="F1155">
        <f>HYPERLINK("https://www.reddit.com/r/eyetriage/comments/eo8wim/changes_in_ocular_migraines_concerning/")</f>
        <v/>
      </c>
      <c r="G1155" t="inlineStr">
        <is>
          <t>2020-01-13 11:27:19</t>
        </is>
      </c>
      <c r="H1155" t="inlineStr"/>
    </row>
    <row r="1156">
      <c r="A1156" t="inlineStr">
        <is>
          <t>eo9iv6</t>
        </is>
      </c>
      <c r="B1156" t="inlineStr">
        <is>
          <t>MEWDS</t>
        </is>
      </c>
      <c r="C1156" t="inlineStr">
        <is>
          <t>I am a 36-year-old female who is rather nearsighted (-7.50 both eyes in contacts). In September, I woke up one day with a flickering/scintillating blob in my left eye. I could also see spots in my vision. Both of these combined reduced my vision somewhat. I saw my regular eye doctor, who was perplexed and sent me to a retina specialist. The retinal specialist noted optic nerve edema and lesions, and he diagnosed me with Multiple Evanescent White Dot Syndrome (MEWDS). I was told that it was self-limiting, and the prognosis for vision recovery was excellent. I had a follow up appointment in December, and everything seemed to be resolving.
Last week, I noticed that the flickering/scintillating blob was becoming more noticeable again. Saturday, I woke up, and I could see more spots in my vision. My vision is again reduced.
I have had no viral infections, to my knowledge, prior to either of these events. I know there isn’t much information on MEWDS. I’ve read the EyeWiki article several times (https://eyewiki.aao.org/Multiple_Evanescent_White_Dot_Syndrome), and it is noted that the odds of recurrence are 10%. I have another appointment with the retina specialist next week, but I suppose I’m just wondering if anything else is really known about the cause.</t>
        </is>
      </c>
      <c r="D1156" t="n">
        <v>1</v>
      </c>
      <c r="E1156" t="n">
        <v>4</v>
      </c>
      <c r="F1156">
        <f>HYPERLINK("https://www.reddit.com/r/eyetriage/comments/eo9iv6/mewds/")</f>
        <v/>
      </c>
      <c r="G1156" t="inlineStr">
        <is>
          <t>2020-01-13 12:11:32</t>
        </is>
      </c>
      <c r="H1156" t="inlineStr"/>
    </row>
    <row r="1157">
      <c r="A1157" t="inlineStr">
        <is>
          <t>eogbw7</t>
        </is>
      </c>
      <c r="B1157" t="inlineStr">
        <is>
          <t>In insurance-less limbo and I’m worried my retina is detaching again after being stable for 5 years. Please help.</t>
        </is>
      </c>
      <c r="C1157" t="inlineStr">
        <is>
          <t>In insurance-less limbo and I’m afraid my retina is detaching again after 5 quiet years. Please help.
I need to find out, on the cheap, if I’m okay or about to navigate a waking nightmare. 
Backstory: last month my spouse’s company made his entire department redundant, so Merry Christmas, you’ve been laid off. Insurance coverage ended on January 2nd and since then it’s been a struggle to get approved for the healthcare subsidy, without which we can’t afford to get on the insurance exchange, so we’re still waiting and hoping disaster doesn’t strike until we’re covered. 
However, a few days ago my left eye was playing up in a way I hoped it never would again: The scotoma in my lower left peripheral vision (left over from when my surgeon lasered the shit outta my retina to keep it tacked down) appeared more noticeable than usual. It doesn’t appear to have grown, but things in my eye suddenly seem more active — I’m not getting that wavy “sunlight filtering through a pool” refraction that I did when my retina detached 5 years ago, nor has there been a lightning strike in my vision. What there *has* been is what seems like a lava lamp in the edge of my vision — a relatively fast “bloop” of light that starts at the bottom my vision and goes up and over (so actually starting at the top of my eye and skirting down, following the line of my nose). That kind of activity seems to pick up whenever I’m laying on my side. It’s quiet when I lay on my back. 
Also — and this really set off my alarm bells — the other night I put down my phone to go to bed. The room was already dark, but when I closed my eyes it seemed like someone was shining a flashlight into my left eye. Not full-on, but like the bulb was in the outer corner of my eye. It scared the shit out of me. 
My field of vision doesn’t seem to be decreasing, but I just keep seeing that blind spot, and every “bloop” in my eye sends my blood pressure soaring. I don’t know why there’d be traction on the retina as I had a vitrectomy and there’s no posterior vitreous humor left (I interrogate my surgeon at every annual follow-up). I know it could be the stress of income loss and not knowing our next step that’s bringing an old issue to the forefront... but I am also cynical and anxious and wouldn’t be surprised if circumstances just fucked us over while we’re vulnerable. 
I can’t stand the watchful waiting, worried that something really is wrong and I won’t be able to do something about it until it become unavoidable and while it’s still unaffordable. I want to just stop into my optometrist’s office and have her dilate my eyes but we can’t swing the office visit. Optometrists/ophthalmologists: do you sometimes waive office visit fees in certain circumstances? Patients, have you ever gotten an office fee waived? If so, how do I go about doing that? What’s the follow through to make sure it gets coded properly? Is there a possible explanation for what’s going on in my eyeball that might *not* be my retina detaching again (like a little bit of vitreous humor the surgeon didn’t remove at the base just waving around in there)? Help?</t>
        </is>
      </c>
      <c r="D1157" t="n">
        <v>1</v>
      </c>
      <c r="E1157" t="n">
        <v>7</v>
      </c>
      <c r="F1157">
        <f>HYPERLINK("https://www.reddit.com/r/eyetriage/comments/eogbw7/in_insuranceless_limbo_and_im_worried_my_retina/")</f>
        <v/>
      </c>
      <c r="G1157" t="inlineStr">
        <is>
          <t>2020-01-13 20:34:08</t>
        </is>
      </c>
      <c r="H1157" t="inlineStr"/>
    </row>
    <row r="1158">
      <c r="A1158" t="inlineStr">
        <is>
          <t>eon1ou</t>
        </is>
      </c>
      <c r="B1158" t="inlineStr">
        <is>
          <t>Fuzzy vision unless I look DEAD STRAIGHT centre and tilt head :(!</t>
        </is>
      </c>
      <c r="C1158" t="inlineStr">
        <is>
          <t>I can't see clearly unless I look DEAD STRAIGHT through the centre of my glasses and slightly tilt my head down. This is not how I use my eyes naturally and the head tilting is giving me considerable neck and shoulder pain. It's becoming uncomfortable to study for long period of time.
Three weeks ago, I got new glasses, - 8.25 in my right eye and - 7.75 in my left eyes. The optician has made sure twice that the frames are sitting where they are supposed to be. I had a second eye test with the same optician to confirm my prescription and they checked that glasses were made correctly. However, I'm finding that things look fuzzy and out of focus in the distance. Writing/text is out of focus at an arms length away. And at night time, car lights etc are streaky (told I don't have astigmatism).   
Any explanations or advice is greatly appreciated!</t>
        </is>
      </c>
      <c r="D1158" t="n">
        <v>1</v>
      </c>
      <c r="E1158" t="n">
        <v>4</v>
      </c>
      <c r="F1158">
        <f>HYPERLINK("https://www.reddit.com/r/eyetriage/comments/eon1ou/fuzzy_vision_unless_i_look_dead_straight_centre/")</f>
        <v/>
      </c>
      <c r="G1158" t="inlineStr">
        <is>
          <t>2020-01-14 07:53:34</t>
        </is>
      </c>
      <c r="H1158" t="inlineStr"/>
    </row>
    <row r="1159">
      <c r="A1159" t="inlineStr">
        <is>
          <t>eondn4</t>
        </is>
      </c>
      <c r="B1159" t="inlineStr">
        <is>
          <t>Should I take contacts out and apply wetting drops to the back of it (part that touches the eye) or just normally?</t>
        </is>
      </c>
      <c r="C1159" t="inlineStr">
        <is>
          <t>Also what kind of drops are okay for contacts?  Are Systane Ultra? Retaine MGD?  Or do I specifically need contact wetting?</t>
        </is>
      </c>
      <c r="D1159" t="n">
        <v>1</v>
      </c>
      <c r="E1159" t="n">
        <v>1</v>
      </c>
      <c r="F1159">
        <f>HYPERLINK("https://www.reddit.com/r/eyetriage/comments/eondn4/should_i_take_contacts_out_and_apply_wetting/")</f>
        <v/>
      </c>
      <c r="G1159" t="inlineStr">
        <is>
          <t>2020-01-14 08:18:01</t>
        </is>
      </c>
      <c r="H1159" t="inlineStr"/>
    </row>
    <row r="1160">
      <c r="A1160" t="inlineStr">
        <is>
          <t>ep5t0n</t>
        </is>
      </c>
      <c r="B1160" t="inlineStr">
        <is>
          <t>Can one eyeball stick out more than the other?</t>
        </is>
      </c>
      <c r="C1160" t="inlineStr">
        <is>
          <t>When I close my eyes and touch my eyelids, my right eye seems a lot harder than my left eye. Almost like it sticks out more. Is this even a thing? I have an eye exam with the ophthalmologist for glasses soon but I kinda feel weird even bringing it up lol. For what it’s worth when I saw him a few months ago he never mentioned anything. 🤷‍♂️</t>
        </is>
      </c>
      <c r="D1160" t="n">
        <v>1</v>
      </c>
      <c r="E1160" t="n">
        <v>1</v>
      </c>
      <c r="F1160">
        <f>HYPERLINK("https://www.reddit.com/r/eyetriage/comments/ep5t0n/can_one_eyeball_stick_out_more_than_the_other/")</f>
        <v/>
      </c>
      <c r="G1160" t="inlineStr">
        <is>
          <t>2020-01-15 10:05:00</t>
        </is>
      </c>
      <c r="H1160" t="inlineStr"/>
    </row>
    <row r="1161">
      <c r="A1161" t="inlineStr">
        <is>
          <t>ep8afu</t>
        </is>
      </c>
      <c r="B1161" t="inlineStr">
        <is>
          <t>Recent Juvenile Glaucoma diagnosis with extremely high IOP. Are we missing any underlying issue?</t>
        </is>
      </c>
      <c r="C1161" t="inlineStr">
        <is>
          <t xml:space="preserve">  
In June of 2019, my 17 year old daughter had her normal eye exam at our optometrist. (She is myopic and wears contacts.) This optometrist was not dilating or checking pressures in juveniles we unfortunately learned later.
In July of 2019, my daughter complained of severe eye pain in her right eye as if something was in it, which subsided after a day. A week later, she noticed peripheral vision loss herself and we visited our Optometrist. He referred us to an Ophthalmologist, who measured 60mmHg in her right eye and 30 in her left, confirmed optic nerve damage, and immediately put her on Travatan each eye at night, and two drops a day of Combigan in her right eye. This Ophthalmologist did not have Juvenile experience, so he referred us to yet a new Ophthalmologist.
A week later and several other visits at the new Ophthalmologist, eye pressures dropped to 20, and then seemed to stabilize around 15-17 in both eyes for a couple months. Therefore, the next visit was scheduled 3 months out in March of 2020. The drug therapy remained the same throughout.
Two days ago, my daughter had an Anisocoria where her right pupil was dilated about twice the size of her left pupil. We visited the Ophthalmologist yesterday, and after a serious of potential Anisocoria related questions, he measured her right eye pressure at 56mmHg. He gave her an oral diuretic in the office, a drop of Combigan, and did not let her leave until he measured 42mmHg, confirming it was reducing. He discussed that surgery might be in her future sooner than later and sees her again this Thursday. She will continue on the diuretic until she sees him.
My concern is that these IOP's measurements are extremely high of course. From her first measurement, to this second high measurement (while this time on drugs) it is obviously spiking sporadically. She is increasingly noticing her vision handicaps, including reading issues lately. I am concerned this may be progressing quickly during these high IOP spikes. She's only had one vision field test with 65% loss in her eye, and I am dreading the results of her next one.
I am concerned there could be other things going on here causing the high IOP, a subsequent Glaucoma, and now a rush to reducing IOP likely with surgery. I can tell the Ophthalmologists seem "surprised" at these readings, and I'm just looking for wider feedback. JOAG is rare in an adolescent, but this pattern seems rarer yet. Is Anisocoria an expected symptom of high IOP/Glaucoma? Are we missing anything else that should be investigated before heading to surgery?  Any other underlying issues to consider?</t>
        </is>
      </c>
      <c r="D1161" t="n">
        <v>1</v>
      </c>
      <c r="E1161" t="n">
        <v>18</v>
      </c>
      <c r="F1161">
        <f>HYPERLINK("https://www.reddit.com/r/eyetriage/comments/ep8afu/recent_juvenile_glaucoma_diagnosis_with_extremely/")</f>
        <v/>
      </c>
      <c r="G1161" t="inlineStr">
        <is>
          <t>2020-01-15 12:55:24</t>
        </is>
      </c>
      <c r="H1161" t="inlineStr"/>
    </row>
    <row r="1162">
      <c r="A1162" t="inlineStr">
        <is>
          <t>epcx88</t>
        </is>
      </c>
      <c r="B1162" t="inlineStr">
        <is>
          <t>Optomap photos are normal but</t>
        </is>
      </c>
      <c r="C1162" t="inlineStr">
        <is>
          <t>So my eyes has been sore for a few days and I went to the optometrist to check it out. He took a look of them and nothing was wrong. He then took some optomap photos to look at the back of them and they are fine too. Later on that day, I’ve noticed a tiny blurry spot that would move around in one of my eye and it’s been there for 2 days. What would be causing this? Should I comeback? Thank you.</t>
        </is>
      </c>
      <c r="D1162" t="n">
        <v>1</v>
      </c>
      <c r="E1162" t="n">
        <v>5</v>
      </c>
      <c r="F1162">
        <f>HYPERLINK("https://www.reddit.com/r/eyetriage/comments/epcx88/optomap_photos_are_normal_but/")</f>
        <v/>
      </c>
      <c r="G1162" t="inlineStr">
        <is>
          <t>2020-01-15 18:39:59</t>
        </is>
      </c>
      <c r="H1162" t="inlineStr"/>
    </row>
    <row r="1163">
      <c r="A1163" t="inlineStr">
        <is>
          <t>epm23i</t>
        </is>
      </c>
      <c r="B1163" t="inlineStr">
        <is>
          <t>eye drops haven't helped my vision, does that mean it's something other than dry eyes?</t>
        </is>
      </c>
      <c r="C1163" t="inlineStr">
        <is>
          <t>I've used glasses since I was a kid due to myopia.This past summer my vision started getting really blurry, so I thought I would just get new glasses. But my optometrist couldn't give me a prescription as I couldn't see clearly with any lens. They later said I had dry eyes and prescribed me some eye drops. I used these for about 2 weeks, my vision cleared up a bit but not completely. Then they tried other eye drops and told me to also use artificial tears but nothing happened. My vision is much worse now than it was before, I can't see things even if they are in front of me, and for some reason I feel like I can see the same with and without my glasses now. Also I will be seeing an opthalmologist soon.</t>
        </is>
      </c>
      <c r="D1163" t="n">
        <v>1</v>
      </c>
      <c r="E1163" t="n">
        <v>10</v>
      </c>
      <c r="F1163">
        <f>HYPERLINK("https://www.reddit.com/r/eyetriage/comments/epm23i/eye_drops_havent_helped_my_vision_does_that_mean/")</f>
        <v/>
      </c>
      <c r="G1163" t="inlineStr">
        <is>
          <t>2020-01-16 08:59:51</t>
        </is>
      </c>
      <c r="H1163" t="inlineStr"/>
    </row>
    <row r="1164">
      <c r="A1164" t="inlineStr">
        <is>
          <t>epm8m1</t>
        </is>
      </c>
      <c r="B1164" t="inlineStr">
        <is>
          <t>Xylometazoline hydrochloride nasal drops as a cause of severe dry eye symtoms.</t>
        </is>
      </c>
      <c r="C1164" t="inlineStr">
        <is>
          <t>Hello reddit!
I (Male, 29yo) have been using (read: abusing) nasal decongestant spray containing xylometazoline hydrochloride for more than 2 years. I have become dependent on that spray, and I get a panic attack if I forget to take one of my many sprays with me.
Long story short, 2 months ago I developed a dry eye feeling, which is very extreem because I live in a very dry climate. Basically can’t drive, can’t work, can’t do shit. Artelac Complete is not helping. Yes I have been to doctor. (I work in ophthalmology field, so I visited several doctors in several countries even) All they say is artificial drops, humidifiers etc. (nothing helps) I was doing my frustrated reading and came upon several articles about xylometazoline hydrochloride causing dry eyes. Did anyone experience the same reason for developing dry eyes? How likely it being the reason to cause dry eye? I will try to stop using the spray but I have no idea how. Wish me luck!</t>
        </is>
      </c>
      <c r="D1164" t="n">
        <v>1</v>
      </c>
      <c r="E1164" t="n">
        <v>2</v>
      </c>
      <c r="F1164">
        <f>HYPERLINK("https://www.reddit.com/r/eyetriage/comments/epm8m1/xylometazoline_hydrochloride_nasal_drops_as_a/")</f>
        <v/>
      </c>
      <c r="G1164" t="inlineStr">
        <is>
          <t>2020-01-16 09:12:13</t>
        </is>
      </c>
      <c r="H1164" t="inlineStr"/>
    </row>
    <row r="1165">
      <c r="A1165" t="inlineStr">
        <is>
          <t>epr30m</t>
        </is>
      </c>
      <c r="B1165" t="inlineStr">
        <is>
          <t>What should I do after getting peppermint oil in my eye by accident?</t>
        </is>
      </c>
      <c r="C1165" t="inlineStr">
        <is>
          <t>Male, 20, 69 inches, 60 kg, United States. No related health issues non-smoker.
I put peppermint oil in my hair. I was in the car when i started to rub off the peppermint oil that i hadn't completely wiped off of my nose. Then I felt the peppermint oil get in contact with my eye. My eye was burning very badly and I noticed that the red veins around my pupil had become enlarged. I immediately applied eye drops and drove home. I then put water in my eye and tried to rinse off the peppermint oil. Afterwards I tried to rinse out my eye with milk in dixie cups. I am now going to apply a water and salt solution to my eye and afterwards eyedrops again.
Is the enlargement of the red veins around my eye permanent? Will it go away? What should I do?</t>
        </is>
      </c>
      <c r="D1165" t="n">
        <v>1</v>
      </c>
      <c r="E1165" t="n">
        <v>3</v>
      </c>
      <c r="F1165">
        <f>HYPERLINK("https://www.reddit.com/r/eyetriage/comments/epr30m/what_should_i_do_after_getting_peppermint_oil_in/")</f>
        <v/>
      </c>
      <c r="G1165" t="inlineStr">
        <is>
          <t>2020-01-16 14:48:20</t>
        </is>
      </c>
      <c r="H1165" t="inlineStr"/>
    </row>
    <row r="1166">
      <c r="A1166" t="inlineStr">
        <is>
          <t>epuvlj</t>
        </is>
      </c>
      <c r="B1166" t="inlineStr">
        <is>
          <t>A crowded/swollen optical nerve found last month has turned into a MRI</t>
        </is>
      </c>
      <c r="C1166" t="inlineStr">
        <is>
          <t>35 (M) - 190lbs - 5’ 8” - U.S.
Last month I went to a local (insurance recommended) optometrist to get my vision checked. This was my first time ever having my vision checked in my life. I had never had problems with vision or anything eye related. 
While there my doctor stated he saw a possible swollen optic nerve and wanted me to return in a few weeks for further testing and to compare the nerve at that time to the finding exam. He was hopeful to see Drusen and have his concern relieved. 
Fast forward I come in and he takes images, says it looks the same but he’d like for me to have it examined further by a specialist because “this can be the sign of something very bad, like a brain tumor” - whoa, what the...
Today, I visit the retina specialist and after an exam and ultrasound, the physician says he cannot for 100% certainty confirm Drusen is present and has put in orders for me to get a MRI. He stated “I really don’t expect there to be anything like that” - responding to the original “brain tumor” comment 
Is Drusen visible on a MRI? 
I have no typical symptoms of a brain tumor, but feel like this has really escalated quickly and wanted to gather thoughts on this timeline/process?</t>
        </is>
      </c>
      <c r="D1166" t="n">
        <v>1</v>
      </c>
      <c r="E1166" t="n">
        <v>3</v>
      </c>
      <c r="F1166">
        <f>HYPERLINK("https://www.reddit.com/r/eyetriage/comments/epuvlj/a_crowdedswollen_optical_nerve_found_last_month/")</f>
        <v/>
      </c>
      <c r="G1166" t="inlineStr">
        <is>
          <t>2020-01-16 19:42:49</t>
        </is>
      </c>
      <c r="H1166" t="inlineStr"/>
    </row>
    <row r="1167">
      <c r="A1167" t="inlineStr">
        <is>
          <t>epwl1e</t>
        </is>
      </c>
      <c r="B1167" t="inlineStr">
        <is>
          <t>Pupils constantly opening and closing????</t>
        </is>
      </c>
      <c r="C1167" t="inlineStr">
        <is>
          <t>Hi, my eyes have been hurting/feeling sore for about 3 days now. I’ve been sensitive to light and moving my eyes quickly hurts. Anyway, I was checking the mirror to see if my eyes were red since they were starting to hurt. I shined a light in it to see better and I noticed my pupils were opening, and closing, and opening again. Not constricting like normally. What’s wrong with me???</t>
        </is>
      </c>
      <c r="D1167" t="n">
        <v>1</v>
      </c>
      <c r="E1167" t="n">
        <v>3</v>
      </c>
      <c r="F1167">
        <f>HYPERLINK("https://www.reddit.com/r/eyetriage/comments/epwl1e/pupils_constantly_opening_and_closing/")</f>
        <v/>
      </c>
      <c r="G1167" t="inlineStr">
        <is>
          <t>2020-01-16 22:22:16</t>
        </is>
      </c>
      <c r="H1167" t="inlineStr"/>
    </row>
    <row r="1168">
      <c r="A1168" t="inlineStr">
        <is>
          <t>eq6b3s</t>
        </is>
      </c>
      <c r="B1168" t="inlineStr">
        <is>
          <t>Bright spot in peripheral vision</t>
        </is>
      </c>
      <c r="C1168" t="inlineStr">
        <is>
          <t>Male, 45.
Something like a dim pressure phosphene or afterimage, way up in the upper-outer corner of my peripheral vision, barely even perceptible unless I really think about it. Same place as you get a pressure phosphene if poking right in the inner corner of the eye as if to remove sleep crust.
I noticed this a few months, but it could have been there far longer. I can't tell if it's part of a set; I'm amblyopic and don't process vision very usefully in the other eye.
On a scale from everyone gets this to panic, how concerning is this?</t>
        </is>
      </c>
      <c r="D1168" t="n">
        <v>1</v>
      </c>
      <c r="E1168" t="n">
        <v>6</v>
      </c>
      <c r="F1168">
        <f>HYPERLINK("https://www.reddit.com/r/eyetriage/comments/eq6b3s/bright_spot_in_peripheral_vision/")</f>
        <v/>
      </c>
      <c r="G1168" t="inlineStr">
        <is>
          <t>2020-01-17 12:53:57</t>
        </is>
      </c>
      <c r="H1168" t="inlineStr"/>
    </row>
    <row r="1169">
      <c r="A1169" t="inlineStr">
        <is>
          <t>eqb6x0</t>
        </is>
      </c>
      <c r="B1169" t="inlineStr">
        <is>
          <t>22F, suddenly seeing circles in lights</t>
        </is>
      </c>
      <c r="C1169" t="inlineStr">
        <is>
          <t>22F, 163cm, 52kg, Chinese.
Last night, after taking off my right eye daily contact lens and rubbing my eye a bit, I saw circles (rings) around lights. I've never had this problem and my left eye does not see the circles. My eye was rather swollen and red, but no pain, just discomfort and a bit of feeling as though something was in my eye. It got a bit itchy as well but my eyes are usually itchy due to allergies. Also, I wore the contact lens in only my right eye for two hours because one dropped out and I wasn't in a place where I could remove the other cleanly.
Here are how the rings look like: fuzzy outside, but the inside is a sharp circle. [https://imgur.com/jAYBR2R](https://imgur.com/jAYBR2R)
No drink/smoke/drugs.</t>
        </is>
      </c>
      <c r="D1169" t="n">
        <v>1</v>
      </c>
      <c r="E1169" t="n">
        <v>1</v>
      </c>
      <c r="F1169">
        <f>HYPERLINK("https://www.reddit.com/r/eyetriage/comments/eqb6x0/22f_suddenly_seeing_circles_in_lights/")</f>
        <v/>
      </c>
      <c r="G1169" t="inlineStr">
        <is>
          <t>2020-01-17 19:27:43</t>
        </is>
      </c>
      <c r="H1169" t="inlineStr"/>
    </row>
    <row r="1170">
      <c r="A1170" t="inlineStr">
        <is>
          <t>eqmk7d</t>
        </is>
      </c>
      <c r="B1170" t="inlineStr">
        <is>
          <t>Got dog hair in eye?</t>
        </is>
      </c>
      <c r="C1170" t="inlineStr">
        <is>
          <t>I was shaking a rug outside and some dog hair flew up in the air. 
Now I feel slight discomfort in my eye, like there’s hair stuck in it. 
I cleaned my hands and gently lifted my eyelid, but I can’t find any hair. 
I’ve had two cases of preseptal cellulitis in the past where I needed oral antibiotics...could this potential hair in my eye cause another infection? Or are those unrelated. 
And any advice on how to get whatever’s in my eye out or resolve the feeling that there’s something in there.</t>
        </is>
      </c>
      <c r="D1170" t="n">
        <v>1</v>
      </c>
      <c r="E1170" t="n">
        <v>4</v>
      </c>
      <c r="F1170">
        <f>HYPERLINK("https://www.reddit.com/r/eyetriage/comments/eqmk7d/got_dog_hair_in_eye/")</f>
        <v/>
      </c>
      <c r="G1170" t="inlineStr">
        <is>
          <t>2020-01-18 13:22:30</t>
        </is>
      </c>
      <c r="H1170" t="inlineStr"/>
    </row>
    <row r="1171">
      <c r="A1171" t="inlineStr">
        <is>
          <t>eqpsgs</t>
        </is>
      </c>
      <c r="B1171" t="inlineStr">
        <is>
          <t>Posterior capsule opacification</t>
        </is>
      </c>
      <c r="C1171" t="inlineStr">
        <is>
          <t>So I have been told I need to have yag done.  I just had cataract surgery this past fall with just the regular lense. I do have vision insurance but with it being the first of the year my out of pocket started over.   I can’t afford tho have this procedure done. What can be done to help me see distance better? Will glasses help?</t>
        </is>
      </c>
      <c r="D1171" t="n">
        <v>1</v>
      </c>
      <c r="E1171" t="n">
        <v>6</v>
      </c>
      <c r="F1171">
        <f>HYPERLINK("https://www.reddit.com/r/eyetriage/comments/eqpsgs/posterior_capsule_opacification/")</f>
        <v/>
      </c>
      <c r="G1171" t="inlineStr">
        <is>
          <t>2020-01-18 17:27:56</t>
        </is>
      </c>
      <c r="H1171" t="inlineStr"/>
    </row>
    <row r="1172">
      <c r="A1172" t="inlineStr">
        <is>
          <t>erakgx</t>
        </is>
      </c>
      <c r="B1172" t="inlineStr">
        <is>
          <t>Should I Go For Another Eye Test Or Will This Get Better On It's Own?</t>
        </is>
      </c>
      <c r="C1172" t="inlineStr">
        <is>
          <t>Hi,
My History:
I'm a 20 year old guy from Chennai. When I was 11 (in 2011), I used to apply strong pressure to my eyes with my fingers when praying. In 2013, I started getting slightly dim vision and had trouble reading from far away, so I went for an eye test and they had a dilated eye exam and said everything was ok but I was weak in distinguishing colors in the Ishihara test. I was able to read upto 6 letters in the Snellen Eye Chart. I assume that's 20/30 vision.
Since then, I've had mental issues like OCD and anxiety. I dropped out of school and stay at home most of the time, using my laptop for the whole day (sometimes more than 24 hours at a stretch though I've cut it down a little now to around 10 hours a day). 
Fast-forward to now, I still have slightly dim vision and trouble reading far away but ignored this until November 2019 when I went for another eye test but I'm not confident about this place (Udhi Eye Clinic) as they have some bad reviews online which I saw only after going there. This time, I was only able to read upto 4 letters in the Snellen Eye Chart and even my color blindness seems to have become worse. This time, the doctor said I have high power and prescribed me full-time eyeglasses. I wore it on and off for about a month and decided to go for yet another test because when I was wearing glasses, I used to have slightly cloudy vision which became clear again when I took off the glasses. 
This time I went to another eye doctor but the same place (Udhi Eye Clinic) somewhere in December 2019. This time, they didn't dilate my eyes, but they performed some tests and told me that I now have keratoconus. And they didn't tell me anything about dim vision, which was why I went for the test after all. 
My Current Symptoms:
1. Dim vision that gets worse with screen time (especially at night)
2. Trouble reading from a distance
3. Light imprints after staring at a light for some time
4. Pain sometimes when looking at bright lights
5. Some things appear before my eyes when in dark places
6. Eyes get watery and burn for some time after looking at screens for a long time (I assume this is just eye strain).
So what should I do? I'm not wearing any glasses or contacts as of now.
Can this get better on its own?
 Should I wait for some time before going for another eye test and rest my eyes a little? or should I go ASAP? 
Also, does this have any connection to my mental issues?</t>
        </is>
      </c>
      <c r="D1172" t="n">
        <v>1</v>
      </c>
      <c r="E1172" t="n">
        <v>3</v>
      </c>
      <c r="F1172">
        <f>HYPERLINK("https://www.reddit.com/r/eyetriage/comments/erakgx/should_i_go_for_another_eye_test_or_will_this_get/")</f>
        <v/>
      </c>
      <c r="G1172" t="inlineStr">
        <is>
          <t>2020-01-20 00:33:27</t>
        </is>
      </c>
      <c r="H1172" t="inlineStr"/>
    </row>
    <row r="1173">
      <c r="A1173" t="inlineStr">
        <is>
          <t>erhbk0</t>
        </is>
      </c>
      <c r="B1173" t="inlineStr">
        <is>
          <t>What is peripapillar atrophy and should I worry?</t>
        </is>
      </c>
      <c r="C1173" t="inlineStr">
        <is>
          <t>So 29 year old male, had lasik in 2010 at age 19. 
&amp;amp;#x200B;
So I went to an optometrist and an opthalmologist due to worsening vision, 10 years out from lasik.
I was told everything was fine, by both of them with no signs of ectasia.
&amp;amp;#x200B;
However reading the optometrists note, he commented that I have "peripapillar atrophy". He never brought this up during our appointment. He said my eyes are healthy.
&amp;amp;#x200B;
What does this mean? Does it put me at risk for anything? 
&amp;amp;#x200B;
Also side question. Apparently I didnt do too great at the sterovision test. They rated me at   
"  
Fly: +
Animals: 2/3
Circles: 2/9  
"
&amp;amp;#x200B;
So apparently I missed some stuff. Does that mean anything?
&amp;amp;#x200B;
Thanks.</t>
        </is>
      </c>
      <c r="D1173" t="n">
        <v>1</v>
      </c>
      <c r="E1173" t="n">
        <v>4</v>
      </c>
      <c r="F1173">
        <f>HYPERLINK("https://www.reddit.com/r/eyetriage/comments/erhbk0/what_is_peripapillar_atrophy_and_should_i_worry/")</f>
        <v/>
      </c>
      <c r="G1173" t="inlineStr">
        <is>
          <t>2020-01-20 10:30:53</t>
        </is>
      </c>
      <c r="H1173" t="inlineStr"/>
    </row>
    <row r="1174">
      <c r="A1174" t="inlineStr">
        <is>
          <t>erk7yt</t>
        </is>
      </c>
      <c r="B1174" t="inlineStr">
        <is>
          <t>Hyperopia and blurried near vision with glasses</t>
        </is>
      </c>
      <c r="C1174" t="inlineStr">
        <is>
          <t>Hello everyone,
So I could really get your opinion on what exactly is my problem, because it's really hard for me to find some answers, even with professionals when I bring it up during eye exams, maybe I just explain myself poorly.
So I'm currently 24 years old, with hyperopia and astigmatism.  
My eye correction is +4.25 (0 -0.75) and +4.50 (170 -1.25)  
This correction has been given to me through a cycloplegic test.    
I wear my glasses all the time.
I've had an eye surgery for a strabismus on my right eye when I was 7 or something.
So here's the thing, even when I wear my glasses, I cannot see clearly with my near vision, it is just blurry if I loose my eyes muscles.  
So I have to force myself to see clearly, all the time.   
It's been like that for years, I don't even know when it started to be honest, it felt like it was always like that.  
It's really hard to work like that, having a computer screen in front of me most of the time.   
Well, I can manage, but it might be the reason why I feel tired quite often when I get home, and need to rest my eyes.
I've always tried to bring it up with professionals, but they always said that it was normal, but honestly doesn't make sense to me.  
Why would it be normal, given that I wear glasses that are supposed to correct my vision?
Here's how I see exactly:  
\- Without glasses: everything is blurry. I can force my eyes and see clearly, with quite a moderate effort, my right eye is obviously back to its former position.   
\- With glasses:  
   \- long distance: clear vision, no problem. Although sometimes it feels like an eye is more efficient than the other.  
   \- near distance: blurry vision, need to use a light effort to see clearly. My right eye doesn't seem to move.  
I get diplopia when I look at small objects that are quite close. If I stare at someone within 5 centimeters, it might happen too with their head.  
I need a moderate effort to get rid of it and see clearly. 
So that's pretty much my question, what is it that I have exactly, is it some sort of presbyopia?   
It would sound really odd given that it's happened to me for years. But why not eh.
And what can I do, except bearing with it?  
Progressive lenses?   
LASIK or something similar? Wouldn't it just correct my vision just like my glasses? So I would basically need reading glasses after anyway? But at least, "half" of the problem would be solved let's say.
Thank you very much if you can help me with it!</t>
        </is>
      </c>
      <c r="D1174" t="n">
        <v>1</v>
      </c>
      <c r="E1174" t="n">
        <v>8</v>
      </c>
      <c r="F1174">
        <f>HYPERLINK("https://www.reddit.com/r/eyetriage/comments/erk7yt/hyperopia_and_blurried_near_vision_with_glasses/")</f>
        <v/>
      </c>
      <c r="G1174" t="inlineStr">
        <is>
          <t>2020-01-20 13:43:10</t>
        </is>
      </c>
      <c r="H1174" t="inlineStr"/>
    </row>
    <row r="1175">
      <c r="A1175" t="inlineStr">
        <is>
          <t>ern7al</t>
        </is>
      </c>
      <c r="B1175" t="inlineStr">
        <is>
          <t>Unexplained blind spots in vision.</t>
        </is>
      </c>
      <c r="C1175" t="inlineStr">
        <is>
          <t>Hi, so I've been having an issue with my vision for a couple of years now. I have two blindspots in my left eye both close to the center of my vision. One of them appears to be on the location of the natural blindspot however it's bigger and way easier to spot than the one in my right eye. The other one is small and closer to the center of my vision. 
Both of them have an inconsistent appearance. If the depending on the background they tend to be a bit darker until I get used to having my right eye closed. Then they turn into the background colour. Both have never changed position or have done anything out of the ordinary.
Other visual disturbances I have:
I tend to get after images easily and for quite long periods.
Visual snow.
If I am tired and had my eyes closed for a while my vision flickers a little bit after opening my eyes. (in the dark)
What I have done:
I've been to an eye doctor who made scans of my retina and tested some others things which I can't quite recall since it's been a while. All physical tests came back clear and the blindspots weren't big enough to show up on visual field tests.
I have also been to a neurologist who got me a MRI scan which also came back clear.
Male 
19
173cm
69kg
No other medical issues.
TL:DR:
I have two blindspots in one eye and I am not sure if they have always been there. Doctors have no clue.</t>
        </is>
      </c>
      <c r="D1175" t="n">
        <v>1</v>
      </c>
      <c r="E1175" t="n">
        <v>7</v>
      </c>
      <c r="F1175">
        <f>HYPERLINK("https://www.reddit.com/r/eyetriage/comments/ern7al/unexplained_blind_spots_in_vision/")</f>
        <v/>
      </c>
      <c r="G1175" t="inlineStr">
        <is>
          <t>2020-01-20 17:20:42</t>
        </is>
      </c>
      <c r="H1175" t="inlineStr"/>
    </row>
    <row r="1176">
      <c r="A1176" t="inlineStr">
        <is>
          <t>ern95q</t>
        </is>
      </c>
      <c r="B1176" t="inlineStr">
        <is>
          <t>Question about VitA-POS (vitamin A eye ointment) for dry eyes?</t>
        </is>
      </c>
      <c r="C1176" t="inlineStr">
        <is>
          <t>Hello!
Does anyone have experience with vitamin A ointments? I was recommended to try an OTC med (VitA-POS, w/ 250 I.U. retinol palmitate/vitamin A) that also contains liquid paraffin.
It is supposed to help with chronic dry, red eyes that haven't been responsive to regular lubricant drops, but I was hoping to see if anyone has experience with its safety and/or efficacy. It would be great if this treatment is effective and I can avoid stronger prescription meds like cyclosporine drops. Thank you!</t>
        </is>
      </c>
      <c r="D1176" t="n">
        <v>1</v>
      </c>
      <c r="E1176" t="n">
        <v>3</v>
      </c>
      <c r="F1176">
        <f>HYPERLINK("https://www.reddit.com/r/eyetriage/comments/ern95q/question_about_vitapos_vitamin_a_eye_ointment_for/")</f>
        <v/>
      </c>
      <c r="G1176" t="inlineStr">
        <is>
          <t>2020-01-20 17:24:49</t>
        </is>
      </c>
      <c r="H1176" t="inlineStr"/>
    </row>
    <row r="1177">
      <c r="A1177" t="inlineStr">
        <is>
          <t>ernlyz</t>
        </is>
      </c>
      <c r="B1177" t="inlineStr">
        <is>
          <t>Questions About Dealing with Light Sensitivity from an Iris Sphincter Tear</t>
        </is>
      </c>
      <c r="C1177" t="inlineStr">
        <is>
          <t>About a year ago I snapped an exercise band into my eye and suffered a hyphema. Everything healed well except I was left with an iris sphincter tear that left my pupil unable to constrict all the way. I'm fine at night, on a cloudy day, or in the twilight hours but if the sun is out and if I'm near any windows or go outside without complete-facial-coverage sunglasses on its fairly intolerable.
&amp;amp;#x200B;
I'm wondering a few things:
* I've been told this is irreversible damage. Is there any research going on right now that might give me hope that at some time in the future this damage could be reversed?
* Does anyone have recommendations on just psychologically dealing with light sensitivity or permanent injuries like this to one's vision? Some days I only think about it a few times during the day and other days it just eats me up that I'm going to have to see like this for the rest of my life. On those days it is torture that I would not wish on anyone.
* I tried pilocarpine drops once and they gave me a bad headache. They did successfully constrict the pupil but they did it so much that it was actually too dark. I'm considering asking for a lighter dose and trying to push through the headaches until they maybe go away. Are the risk of side effects, particularly with pressure, worth it for long term, daily usage?
* Would it be a good idea to just force myself to go outside without sunglasses? Is there a chance I'd get used to the light more that way or would I just do damage to my eye? I do get headaches sometimes when I forget my sunglasses at home and it causes my eye to ache a bit.
* I now have a compulsive habit where I close one eye and then the other to see the difference in the light of how I see the world vs. how I'm supposed to see the world. It really is just torture and a constant reminder of my injury, but I can't seem to kick the habit. Any suggestions on how to stop noticing the difference so much and to stop obsessing over it and doing this little habit?
* I find it strangely comforting that a couple of celebrities share the same injury as me - [David Duchovny](https://www.thethings.com/15-things-you-didnt-know-about-david-duchovny/) and [Melissa Benoist](https://www.aceshowbiz.com/news/view/00145113.html) (unfortunately hers from tragic domestic violence). Having some sort of community to commiserate over this sort of injury and share coping strategies for it would probably be helpful, but I haven't been able to find any. Is anyone aware of this sort of thing?
&amp;amp;#x200B;
Thank you for taking the time to read my post and for any feedback or advice you can give.</t>
        </is>
      </c>
      <c r="D1177" t="n">
        <v>1</v>
      </c>
      <c r="E1177" t="n">
        <v>10</v>
      </c>
      <c r="F1177">
        <f>HYPERLINK("https://www.reddit.com/r/eyetriage/comments/ernlyz/questions_about_dealing_with_light_sensitivity/")</f>
        <v/>
      </c>
      <c r="G1177" t="inlineStr">
        <is>
          <t>2020-01-20 17:53:41</t>
        </is>
      </c>
      <c r="H1177" t="inlineStr"/>
    </row>
    <row r="1178">
      <c r="A1178" t="inlineStr">
        <is>
          <t>erq4rr</t>
        </is>
      </c>
      <c r="B1178" t="inlineStr">
        <is>
          <t>Is this a Scotoma?</t>
        </is>
      </c>
      <c r="C1178" t="inlineStr">
        <is>
          <t>I am a 26 year old female from Can3. In my left eye I have a circular/oval shape spot that flickers between black and white. It has clear, defined borders and is always in the same spot and size. It shows up maybe 1-10 times a day, usually when going from dark to bright lighting situations. It also will show up occasionally when I close my eye hard then open it, or when I blink. 
I have a history of uveitis btw. Also, I used to have this same thing happen in my right eye last year when the uveitis started, but that went away after steroids. However then it was much larger and more frequent. 
What causes this symptom and is it serious?</t>
        </is>
      </c>
      <c r="D1178" t="n">
        <v>1</v>
      </c>
      <c r="E1178" t="n">
        <v>5</v>
      </c>
      <c r="F1178">
        <f>HYPERLINK("https://www.reddit.com/r/eyetriage/comments/erq4rr/is_this_a_scotoma/")</f>
        <v/>
      </c>
      <c r="G1178" t="inlineStr">
        <is>
          <t>2020-01-20 21:31:13</t>
        </is>
      </c>
      <c r="H1178" t="inlineStr"/>
    </row>
    <row r="1179">
      <c r="A1179" t="inlineStr">
        <is>
          <t>ertuk5</t>
        </is>
      </c>
      <c r="B1179" t="inlineStr">
        <is>
          <t>questions regarding weak eye muscles, rainbows around lights and floaters</t>
        </is>
      </c>
      <c r="C1179" t="inlineStr">
        <is>
          <t>I'm 14M, Asian,170cm, 70kg and dont drink, smoke or use recreational drugs. I am mildly myopic and i recently received a laser retinal hole surgery a month ago .I've started to notice very faint rainbows around lights that are close to me. would this be a sign of a serious eye disease or is it just a side effect from my surgery? Also, i tend to see a lot more floaters when i squint or look at distant objects above the rim of my glasses. Is this normal? and finally, from my recent eye test, my optometrist said that i had very weak eye muscles which would increase the likelihood of eye diseases like glaucoma. Is there a way to strengthen my eye muscles or precautions i should take to preserve my eyesight? ps. i spend many hours a day on screens.</t>
        </is>
      </c>
      <c r="D1179" t="n">
        <v>1</v>
      </c>
      <c r="E1179" t="n">
        <v>0</v>
      </c>
      <c r="F1179">
        <f>HYPERLINK("https://www.reddit.com/r/eyetriage/comments/ertuk5/questions_regarding_weak_eye_muscles_rainbows/")</f>
        <v/>
      </c>
      <c r="G1179" t="inlineStr">
        <is>
          <t>2020-01-21 04:15:34</t>
        </is>
      </c>
      <c r="H1179" t="inlineStr"/>
    </row>
    <row r="1180">
      <c r="A1180" t="inlineStr">
        <is>
          <t>erve9f</t>
        </is>
      </c>
      <c r="B1180" t="inlineStr">
        <is>
          <t>Weird thing that happened this morning, wondering if there's any cause for concern</t>
        </is>
      </c>
      <c r="C1180" t="inlineStr">
        <is>
          <t>Background: 18m, myopic, astigmatic
Hey everyone. I woke up super early this morning, decided to go make myself some tea and go back to sleep, while I was waiting for my water to heat up I kinda spaced out and stared at the counter and sink, when I sorta unfocused and spaced out I saw my vision sorta "flicker" just barley enough to notice, it was very subtle. about a second apart, and saw a small spot in my peripheral that lit up and sort of flickered as well. (it was blueish like some sort of Entoptic phenomena) anyways, I'm assuming this could simply be from me being tired, waking up, and standing up too fast. But I can't help but wonder if it's something specific that may be serious? I've seen the small spot of light that flickers maybe once before, also in the morning after I woke up.  Obviously not asking for diagnosis, but was wondering if anyone here did know of anything weird it could be, and what you think it may be (obviously if there's any major red flags I'd see a doc)
Also, if it helps, I saw a retinal opthalmologist (and my OD twice) recently and my eyes looked perfectly fine according to him. My blood pressure has been high for a while though due to crazy stress
Edit: in hindsight.. I realize that the light over my sink is flourescent. Dunno if that changes anything</t>
        </is>
      </c>
      <c r="D1180" t="n">
        <v>1</v>
      </c>
      <c r="E1180" t="n">
        <v>0</v>
      </c>
      <c r="F1180">
        <f>HYPERLINK("https://www.reddit.com/r/eyetriage/comments/erve9f/weird_thing_that_happened_this_morning_wondering/")</f>
        <v/>
      </c>
      <c r="G1180" t="inlineStr">
        <is>
          <t>2020-01-21 06:29:58</t>
        </is>
      </c>
      <c r="H1180" t="inlineStr"/>
    </row>
    <row r="1181">
      <c r="A1181" t="inlineStr">
        <is>
          <t>es2l18</t>
        </is>
      </c>
      <c r="B1181" t="inlineStr">
        <is>
          <t>Trouble focusing after laser retinal procedure</t>
        </is>
      </c>
      <c r="C1181" t="inlineStr">
        <is>
          <t>Hello,
I am 31F.  I had a retinal laser barrier photocoagulation procedure on my right eye 6 days ago. I was fine for the first few days, but since then I have been having trouble focusing and I am developing headaches that resemble sinus-type pressure in my forehead area, but I dont have a sinus infection and I'm not stuffed up.
When I do try to focus on text in front of me, I can do it, but is uncomfortable. At the end of the day, I feel an odd pressure in my forehead like I have a sinus infection or a cold.
Is this normal after laser retinal surgery?</t>
        </is>
      </c>
      <c r="D1181" t="n">
        <v>1</v>
      </c>
      <c r="E1181" t="n">
        <v>10</v>
      </c>
      <c r="F1181">
        <f>HYPERLINK("https://www.reddit.com/r/eyetriage/comments/es2l18/trouble_focusing_after_laser_retinal_procedure/")</f>
        <v/>
      </c>
      <c r="G1181" t="inlineStr">
        <is>
          <t>2020-01-21 14:51:00</t>
        </is>
      </c>
      <c r="H1181" t="inlineStr"/>
    </row>
    <row r="1182">
      <c r="A1182" t="inlineStr">
        <is>
          <t>es2rfd</t>
        </is>
      </c>
      <c r="B1182" t="inlineStr">
        <is>
          <t>I've noticed that if you're looking at a light source and tilt your head up, at a certain angle, the light will stretch in long streaks. Everyone I've asked to do this has noticed it too, so I don't think it's just me. What is that?</t>
        </is>
      </c>
      <c r="C1182" t="inlineStr">
        <is>
          <t>I also notice the streaking/stretching if I look down at my phone if it's down near my stomach. It's sort of annoying now that I've noticed it. It's most noticeable if it is dark and the source is bright. I actually mentioned to my ophthalmologist (literally) the other day that I've noticed some stretching/streaking and ghosting when white/bright text/images are on a dark background and that when I googled it keratoconus (and a thousand other things) came up.
Anyway, he told me that my corneas are completely fine and my eye health is fine and that all that is wrong with me is that my eyes are dry (either due to reduced tear production or low oil production) so the cornea doesn't always focus properly and that I dont have keratoconus. He didn't do a corneal topography or anything though. My prescription hasn't changed since a year or two ago and is at 20/20 or better (it hasn't changed much in years). 
Since I've 'discovered' the light stretching thing, I've noticed it more often. He didn't really say anything about the stretching and I didn't push it since i'm known to be sort of a hypochondriac. Is this 'normal'? Do I have something wrong with me or am I just noticing it more? I am 50/50 because other people notice it too so idk.
Thanks. :)</t>
        </is>
      </c>
      <c r="D1182" t="n">
        <v>1</v>
      </c>
      <c r="E1182" t="n">
        <v>0</v>
      </c>
      <c r="F1182">
        <f>HYPERLINK("https://www.reddit.com/r/eyetriage/comments/es2rfd/ive_noticed_that_if_youre_looking_at_a_light/")</f>
        <v/>
      </c>
      <c r="G1182" t="inlineStr">
        <is>
          <t>2020-01-21 15:02:47</t>
        </is>
      </c>
      <c r="H1182" t="inlineStr"/>
    </row>
    <row r="1183">
      <c r="A1183" t="inlineStr">
        <is>
          <t>es5v2m</t>
        </is>
      </c>
      <c r="B1183" t="inlineStr">
        <is>
          <t>Please help me describe my symptoms- possible double vision?</t>
        </is>
      </c>
      <c r="C1183" t="inlineStr">
        <is>
          <t>So, ever since about Christmas or so, I've had what I think is double vision. I think it might also be called "ghosting"? At first, I thought it was just blurry vision. It's most noticeable against shiny objects or where there's noticeable contrast, like black text on a white background.  Everything is sort of shifted, sometimes downwards, sometimes to the side. It's not usually a complete copy of the image, moreso like an overlapping? Seems to happen in both eyes, and I haven't really noticed it happening more during one point of the day over others. I don't really have dry eyes, though I am on Claritin daily for allergies. I used to wear contacts daily but haven't really worn them that much over the past couple weeks.
I saw an optometrist back in the beginning of January.  He said my eyes worsened a bit (-1.5 and -1.00 I think) and that I have a very slight astigmastism, but not enough that would be causing the double vision- does this sound right? He couldn't find a reason for the vision problems. I'm not exactly sure which tests he did? (It was at an America's Best, so I'm sure it was the basic tests plus the one for I think glaucoma that you pay extra for...). He sent me to a PCP who ordered an MRI to rule out MS- thankfully, the MRI was negative. My basic lab work also came back normal except for mildly elevated fasting glucose (thanks PCOS). The PCP wants me to see a neurologist anyway since I have a slight hand tremor (that I've had for like 10+ years). My appt is tomorrow morning, so I want to be able to describe my symptoms as accurately as possible. I'm assuming she's just going to refer me to a neuro-ophthalmologist anyway.
My new glasses don't really help with the double vision, just the blurriness. I've used glasses for a long time now, so wouldn't they have noticed any significant astigmatism before now? Since the MRI was negative, it makes me feel like it's some sort of physical defect vs a neurological problem, but I would think the optometrist would've been able to see something?</t>
        </is>
      </c>
      <c r="D1183" t="n">
        <v>1</v>
      </c>
      <c r="E1183" t="n">
        <v>2</v>
      </c>
      <c r="F1183">
        <f>HYPERLINK("https://www.reddit.com/r/eyetriage/comments/es5v2m/please_help_me_describe_my_symptoms_possible/")</f>
        <v/>
      </c>
      <c r="G1183" t="inlineStr">
        <is>
          <t>2020-01-21 19:05:26</t>
        </is>
      </c>
      <c r="H1183" t="inlineStr"/>
    </row>
    <row r="1184">
      <c r="A1184" t="inlineStr">
        <is>
          <t>es7b3p</t>
        </is>
      </c>
      <c r="B1184" t="inlineStr">
        <is>
          <t>How common is it for someone to develop myopia in their mid-late twenties?</t>
        </is>
      </c>
      <c r="C1184" t="inlineStr">
        <is>
          <t>I’ve had perfect vision my whole life. Over the past 2 years, my distance vision has progressively gotten worse. At age 27, I just got my first pair of glasses (that I just need to use when driving at night). Is this normal? From what I’ve read, myopia usually develops in childhood.</t>
        </is>
      </c>
      <c r="D1184" t="n">
        <v>1</v>
      </c>
      <c r="E1184" t="n">
        <v>7</v>
      </c>
      <c r="F1184">
        <f>HYPERLINK("https://www.reddit.com/r/eyetriage/comments/es7b3p/how_common_is_it_for_someone_to_develop_myopia_in/")</f>
        <v/>
      </c>
      <c r="G1184" t="inlineStr">
        <is>
          <t>2020-01-21 21:13:19</t>
        </is>
      </c>
      <c r="H1184" t="inlineStr"/>
    </row>
    <row r="1185">
      <c r="A1185" t="inlineStr">
        <is>
          <t>es7v2p</t>
        </is>
      </c>
      <c r="B1185" t="inlineStr">
        <is>
          <t>Short radiating lines from center of Vision</t>
        </is>
      </c>
      <c r="C1185" t="inlineStr">
        <is>
          <t>I've had this phenomenon that started a few years ago, I'm a mid-30s guy. If you make a pinhole with your fingers, look at a bright light, and wiggle you can see the shadow of your veins on your retina. I have horizontal features that were not there before, they don't appear to be veins but they do cast a shadow and are perfectly centered on my macular, but do not cover the pit. They come and go but they are more prominent in the evening when I am more tired and affect both eyes, the left moreso. http://imgur.com/a/MVTo5vM</t>
        </is>
      </c>
      <c r="D1185" t="n">
        <v>1</v>
      </c>
      <c r="E1185" t="n">
        <v>0</v>
      </c>
      <c r="F1185">
        <f>HYPERLINK("https://www.reddit.com/r/eyetriage/comments/es7v2p/short_radiating_lines_from_center_of_vision/")</f>
        <v/>
      </c>
      <c r="G1185" t="inlineStr">
        <is>
          <t>2020-01-21 22:06:28</t>
        </is>
      </c>
      <c r="H1185" t="inlineStr"/>
    </row>
    <row r="1186">
      <c r="A1186" t="inlineStr">
        <is>
          <t>esaig3</t>
        </is>
      </c>
      <c r="B1186" t="inlineStr">
        <is>
          <t>Dry eye, Computer use and floaters</t>
        </is>
      </c>
      <c r="C1186" t="inlineStr">
        <is>
          <t>I started working as a software develor which required me to sit infront of the computer 9am-6pm. Around 6 months later, I began to experience twitching on my left eyes. So i got it checked and they told me that  had dry eyes. the prescribed me some eye drops. It provided some relief tempoararily. But soon few months later the problems seems to appear again. So got checked again, dry eyes, eye drops and a pair of ARC + blue ray filter glass. This also worked for few months and I began to experience the more severe problems again. This time  i began to have floaters, tailing effect on lights, double vision of white objects on dark backgrounds(for exmple moon, subtitles). The dont appear double exactly but a faded image stacks upon the original. Similarly the distant lights and stars at night appears as if they have a tail( like a meteor). So t consulted some opthalmologists again. This time they said it was due to my eye muscle fatigues and convergence deficiency. So i did cat card execersie, albee's 3 dots exercise and synaptophore exerciese. Some months later, I was told that my convergence ability restored back to normal but i was stiil having thos problems though not as strong as it was before.
Since then, I quit my job hoping my eyes will recover. I went  to another  opthalmologist few months later. He did cyclo refraction and the result was as folowing(I dont understabd this):
CTC (+0.75) DS on both eyes</t>
        </is>
      </c>
      <c r="D1186" t="n">
        <v>1</v>
      </c>
      <c r="E1186" t="n">
        <v>16</v>
      </c>
      <c r="F1186">
        <f>HYPERLINK("https://www.reddit.com/r/eyetriage/comments/esaig3/dry_eye_computer_use_and_floaters/")</f>
        <v/>
      </c>
      <c r="G1186" t="inlineStr">
        <is>
          <t>2020-01-22 03:11:12</t>
        </is>
      </c>
      <c r="H1186" t="inlineStr"/>
    </row>
    <row r="1187">
      <c r="A1187" t="inlineStr">
        <is>
          <t>ese4gh</t>
        </is>
      </c>
      <c r="B1187" t="inlineStr">
        <is>
          <t>Vision was suddenly blurry one eye when I woke up this morning</t>
        </is>
      </c>
      <c r="C1187" t="inlineStr">
        <is>
          <t>I have very dry eyes, I know that and religiously use drops but this has never happened. I woke up, put my glasses on and started reading my phone when I realized I couldn’t see very well. Started rubbing my left eye and it felt heavy, like a film was over it, but the problem wouldn’t go away. I started closing my right eye, and noticed vision was blurry in the left only. 
Freaked out, put drops in and waited a bit but no change. I started flipping out and then finally it went away. I have a headache now and feel kind of weird, and I’m scared. This has never happened before</t>
        </is>
      </c>
      <c r="D1187" t="n">
        <v>1</v>
      </c>
      <c r="E1187" t="n">
        <v>0</v>
      </c>
      <c r="F1187">
        <f>HYPERLINK("https://www.reddit.com/r/eyetriage/comments/ese4gh/vision_was_suddenly_blurry_one_eye_when_i_woke_up/")</f>
        <v/>
      </c>
      <c r="G1187" t="inlineStr">
        <is>
          <t>2020-01-22 08:10:54</t>
        </is>
      </c>
      <c r="H1187" t="inlineStr"/>
    </row>
    <row r="1188">
      <c r="A1188" t="inlineStr">
        <is>
          <t>esf3oy</t>
        </is>
      </c>
      <c r="B1188" t="inlineStr">
        <is>
          <t>Need some advice concerning my eyes</t>
        </is>
      </c>
      <c r="C1188" t="inlineStr">
        <is>
          <t>I have some unresolved eye problems and need some advice on what to do next. It began 1 year ago when i had trouble watching bright screens in dimly lit rooms. My vision wasnt really blurry, it just felt uncomfortable to look at them. I later became sensitive to light. My eye will immediately squint when some light shines on them. It goes away after a while though. I would also feel really short sharp pain around my eyes not so often anymore.
Recently my night vision got worse too. It's like seeing an invisible veil at night. It also takes me up to 5 min until I can see some thing at night when I switch the lights off. My biggest problem are the floaters. I get them everytime i look at something bright white. Weirdly enough i dont get them when i look at light sources. They mostly come when I'm looking at big bright screens or on my white paper when enough light shines on them. I would also get them when looking at the sky. They are accompied with an uncomfortable sore pain.
In the afternoon my face frowns when looking at bright light. Sometimes strong enough to close my eyes. My eyelids dont twitch but my eyebrows would go up and down by themselves. It mostly happens when I use my eyes too much.
Some other problems I have are tinnitus and being sensitive to loud noises. I can also hear my blood vessels near my ear pushing against my pillow when I sleep. I feel some uncomfortable pain behind my eye in the morning and they are always red. The pain gets stronger when I lay on the side. All those problem above happened quite recently though, like 4-5 months ago.
Already went to the ophthalmologist and my eyes she said that my eyes were fine. Also did some bloodtests and everything looked fine. My CT and MRI also showed that everything was ok, only my sinuses were really slightly swelled. Currently seeing my ENT for my ear problems and some smelling problems. Already had a cortison therapy and it didn't help much.
Need some advice on where to go next. Thank yoi for reading my wall of text.</t>
        </is>
      </c>
      <c r="D1188" t="n">
        <v>1</v>
      </c>
      <c r="E1188" t="n">
        <v>4</v>
      </c>
      <c r="F1188">
        <f>HYPERLINK("https://www.reddit.com/r/eyetriage/comments/esf3oy/need_some_advice_concerning_my_eyes/")</f>
        <v/>
      </c>
      <c r="G1188" t="inlineStr">
        <is>
          <t>2020-01-22 09:23:02</t>
        </is>
      </c>
      <c r="H1188" t="inlineStr"/>
    </row>
    <row r="1189">
      <c r="A1189" t="inlineStr">
        <is>
          <t>esi0bw</t>
        </is>
      </c>
      <c r="B1189" t="inlineStr">
        <is>
          <t>Help me define this eye problem, please</t>
        </is>
      </c>
      <c r="C1189" t="inlineStr">
        <is>
          <t>I have always hade 20:20 vision but up until about 10 years ago, I had double vision. Nobody ever told me that you were supposed to be able to relax your eyes and see one image. I thought everyone had to force the two images together. 2 eyes=2 images, right?
So when the eye doctor figured out that I was seeing double of everything she did a test where I would close one eye and look at an object in the center of my site. Then, without moving my head, I would switch open eyes. Every time I had to move my second eye quite a bit to center the image.
This is not a big deal, but even when she corrected for the horizontal and vertical difference between my eyes, one image was rotated slightly. I was literally 45 years old before I saw a real stereo image. 
Since then I have been to two other eye doctors and nobody seems willing to take a stab at which eye is messed up. Both have tried slight rotations using prisms and nothing has worked as well as the apparatus my first doctor used. I literally cried the first time I could relax my eyes and see normally.
I need to know what it is called to have one rotated image. It is also slightly color diminished for red colors. 
More specifically, I would like to know if there is a surgery that could be done to fix this and/or if I could qualify for laceck (sp?) surgery and if they could just shave my cornea to fix it.
Any help would be greatly appreciated. Thanks in advance.</t>
        </is>
      </c>
      <c r="D1189" t="n">
        <v>1</v>
      </c>
      <c r="E1189" t="n">
        <v>3</v>
      </c>
      <c r="F1189">
        <f>HYPERLINK("https://www.reddit.com/r/eyetriage/comments/esi0bw/help_me_define_this_eye_problem_please/")</f>
        <v/>
      </c>
      <c r="G1189" t="inlineStr">
        <is>
          <t>2020-01-22 12:52:54</t>
        </is>
      </c>
      <c r="H1189" t="inlineStr"/>
    </row>
    <row r="1190">
      <c r="A1190" t="inlineStr">
        <is>
          <t>eskd5t</t>
        </is>
      </c>
      <c r="B1190" t="inlineStr">
        <is>
          <t>Blepharitis dx? Or more?</t>
        </is>
      </c>
      <c r="C1190" t="inlineStr">
        <is>
          <t>Backstory: 40yo caucasian woman with no health issues and 20/20 vision. 
I recently was a patient at an eye doctor with a complaint of photosensitivity and just an overall strange feeling within my eyeballs. While the doctor did say one of my pupils was .5 larger than the other, she said this was not the cause. She tested my eye pressure and then dilated my pupils. Concluding she said I had healthy eyes, but had a case of viral conjunctivitis in my right eye. Also she noted blepharitis on the outside of my eyelashes. She sent me on my way with Refresh eye drops and OcuSoft lid scrubbing pads. But a week later I am still feeling uncomfortable. While the conjunctivitis has seem to cleared, I’m not sure about the blepharitis. I still feel a little photosensitive, dry eyed, and some eye discomfort. It’s not a stinging or a burning, but more like an ache in my eyes. Could this still be the ongoing blepharitis, or should I go back and get another exam. Anxiety is kicking in and I fear I’m going to lose my sight. It’s terrifying. Please help me! And thank you so much!</t>
        </is>
      </c>
      <c r="D1190" t="n">
        <v>1</v>
      </c>
      <c r="E1190" t="n">
        <v>2</v>
      </c>
      <c r="F1190">
        <f>HYPERLINK("https://www.reddit.com/r/eyetriage/comments/eskd5t/blepharitis_dx_or_more/")</f>
        <v/>
      </c>
      <c r="G1190" t="inlineStr">
        <is>
          <t>2020-01-22 15:39:29</t>
        </is>
      </c>
      <c r="H1190" t="inlineStr"/>
    </row>
    <row r="1191">
      <c r="A1191" t="inlineStr">
        <is>
          <t>eski4r</t>
        </is>
      </c>
      <c r="B1191" t="inlineStr">
        <is>
          <t>Seeing afterimages and glowing around lights</t>
        </is>
      </c>
      <c r="C1191" t="inlineStr">
        <is>
          <t>My eyes have been feeling achey and a bit painful since last Monday. I’ve noticed since then that I see glowing around lights, noticeably my phone since I’m using it right now. Like around the light is a cloud of light, if I cover the light source the cloud goes away. Also I’ve noticed I’m getting afterimages for everything. I can be looking at the title of a magazine for about 2-3 seconds, look at the blank wall ahead of me and still see the title of the magazine on the wall. It takes about 10-30 seconds to fade away and flashes whenever I blink. What’s going on??? I went to an optometrist and they told me I ha he dry spots, told me to get artificial tears. Then I went to the ophthalmologist, he looked at my eyes for about 30 seconds then prescribed me flourometholone. Also something to note is I’ve been experiencing this ever since I opened an oven and felt intense heat radiating into my face/eyes. None of the doctors I saw seemed to be concerned about this at all. Any help?</t>
        </is>
      </c>
      <c r="D1191" t="n">
        <v>1</v>
      </c>
      <c r="E1191" t="n">
        <v>3</v>
      </c>
      <c r="F1191">
        <f>HYPERLINK("https://www.reddit.com/r/eyetriage/comments/eski4r/seeing_afterimages_and_glowing_around_lights/")</f>
        <v/>
      </c>
      <c r="G1191" t="inlineStr">
        <is>
          <t>2020-01-22 15:49:34</t>
        </is>
      </c>
      <c r="H1191" t="inlineStr"/>
    </row>
    <row r="1192">
      <c r="A1192" t="inlineStr">
        <is>
          <t>eskptw</t>
        </is>
      </c>
      <c r="B1192" t="inlineStr">
        <is>
          <t>Is it possible for both eyes to have exactly the same rx?</t>
        </is>
      </c>
      <c r="C1192" t="inlineStr">
        <is>
          <t>My ex from 2 years ago, both eyes were different, with my right stronger. Now this dr has written an rx for them the same??</t>
        </is>
      </c>
      <c r="D1192" t="n">
        <v>1</v>
      </c>
      <c r="E1192" t="n">
        <v>6</v>
      </c>
      <c r="F1192">
        <f>HYPERLINK("https://www.reddit.com/r/eyetriage/comments/eskptw/is_it_possible_for_both_eyes_to_have_exactly_the/")</f>
        <v/>
      </c>
      <c r="G1192" t="inlineStr">
        <is>
          <t>2020-01-22 16:05:24</t>
        </is>
      </c>
      <c r="H1192" t="inlineStr"/>
    </row>
    <row r="1193">
      <c r="A1193" t="inlineStr">
        <is>
          <t>esl63l</t>
        </is>
      </c>
      <c r="B1193" t="inlineStr">
        <is>
          <t>Vertical heterophoria?</t>
        </is>
      </c>
      <c r="C1193" t="inlineStr">
        <is>
          <t>Vertical heterophoria (?)
I have been basically struggling to find right glasses for more than a year - tried 4 pairs and a similar number of doctors.
In short, I have small value astigmatism in both eyes - correcting that alone still didn’t do anything for me. 
When I insisted that I be tested for convergence issues, surprise - both vertical and horizontal misalignments. 
My question is what is normal in terms of such deviations? I only did the Maddox rod rest: on the vertical plane, there was a slight misalignment and on the horizontal one, there was a much greater one. 
I also have unilateral vestibular hypofunction - this is now fully compensated. However, I still experience noticeable imbalance, difficulty with crowds and open spaces. If you add this to my constant trapezius stiffness and my slight head tilt (noticeable in photos), am I crazy to think this is VH? And that this visual prob is also contributing to my dizziness? 
Any advice/info would be appreciated thanksss</t>
        </is>
      </c>
      <c r="D1193" t="n">
        <v>1</v>
      </c>
      <c r="E1193" t="n">
        <v>2</v>
      </c>
      <c r="F1193">
        <f>HYPERLINK("https://www.reddit.com/r/eyetriage/comments/esl63l/vertical_heterophoria/")</f>
        <v/>
      </c>
      <c r="G1193" t="inlineStr">
        <is>
          <t>2020-01-22 16:39:20</t>
        </is>
      </c>
      <c r="H1193" t="inlineStr"/>
    </row>
    <row r="1194">
      <c r="A1194" t="inlineStr">
        <is>
          <t>et60fj</t>
        </is>
      </c>
      <c r="B1194" t="inlineStr">
        <is>
          <t>Did I just give myself ocular melanoma?</t>
        </is>
      </c>
      <c r="C1194" t="inlineStr">
        <is>
          <t>Age: 18  
Male  
About a month ago, I applied this castor-oil based ointment on my eyelashes for 3 nights because I wanted to make them grow. This is the mistake on my part: I ignored the cautionary 'keep out of eyes warning' on the label. On the third day, I woke up to see a blue spot on my right eye slightly above my iris (see pic). Naturally, I panicked, and after consulting Dr. Google (this is where I get introduced to ocular melanoma), I went to see an optometrist. I have been to both an optometrist and ophthalmologist; both have conducted a dilation exam and found nothing of concern in the back of my eye. However, in the following days, I have experienced the following symptoms :  
\- increase in eye floaters  
\- starburst/halo effect around lights at night (lenticular astigmatism?)  
\- dry feeling  
[Bluish pigment above iris on right eye](https://preview.redd.it/mqnm2edbync41.jpg?width=367&amp;amp;format=pjpg&amp;amp;auto=webp&amp;amp;s=16781acbab60201b70915683bc0e8846373fa803)
I now have fears of a tumor growing in the anterior segment in the eye (possibly in the ciliary body) that is causing these symptoms; tumors in the anterior segment of the eye can be hard to spot via dilation and the symptoms of a ciliary body melanoma match the symptoms that I am experiencing now (floaters, lenticular astigmatism). Obviously this is only my own assumptions and I am not a medical expert by any means, but I have not undertaken any tests that check the anterior segment of the eye. I for sure damaged my eyes using that ointment, and I don't have any other explanation for my symptoms. Does anyone know what is going on? What are the chances that these symptoms are caused by a tumor growing in my eye from the ointment I used? I know I sound like a hypochondriac, and I realize that I have no one to blame but myself for what I am experiencing.  
Ingredients of the ointment (Isoplus Castor Oil: Hair &amp;amp; Scalp Conditioner): Petrolatum, Isopropyl Myristate, Ricinus Communis (Castor) Oil, Cocos Nucifera (Coconut) Oil, Fragrance, Citronellol, Alpha Isomethyl Ionone, Coumarin, Citral, Geraniol</t>
        </is>
      </c>
      <c r="D1194" t="n">
        <v>1</v>
      </c>
      <c r="E1194" t="n">
        <v>12</v>
      </c>
      <c r="F1194">
        <f>HYPERLINK("https://www.reddit.com/r/eyetriage/comments/et60fj/did_i_just_give_myself_ocular_melanoma/")</f>
        <v/>
      </c>
      <c r="G1194" t="inlineStr">
        <is>
          <t>2020-01-23 21:37:38</t>
        </is>
      </c>
      <c r="H1194" t="inlineStr"/>
    </row>
    <row r="1195">
      <c r="A1195" t="inlineStr">
        <is>
          <t>et7yhj</t>
        </is>
      </c>
      <c r="B1195" t="inlineStr">
        <is>
          <t>Frequent Eye Flashes - should I worry?</t>
        </is>
      </c>
      <c r="C1195" t="inlineStr">
        <is>
          <t>43, Male, Patient, Myopic
(Posting from r/Ophthalmology \- was asked to post here)
Background: I am a patient.
I went for a routine checkup last Friday with an ophthalmologist and while he was examining my eyes, he asked if I saw **floaters**. I told him that I used to notice some a few years back but not any longer. Upon the completion of the checkup, he told me that my eyes were healthy.
Strangely, after the I started noticing *more* floaters, and to make things worse, when I tried to sleep, I started seeing **flashes** in both of my eyes. Panicking, I called the clinic and went there for another checkup (on Tuesday).
This time, the nurse put some eye drops to dilate my pupils and the ophthalmologist did another examination (during which he stuck a device into my eyes which looked like a hand-held microscope).
He told me that my eyes were healthy, and the floaters were just "impurities" and not a result of retinal tear.
I asked him about the flashes, and he told me that I shouldn't be worrying about it unless I see them more frequently (a couple of times an hour).
Well, guess what?
***I now start seeing more frequent flashes - a few times an hour!***
I am not sure if the floaters and flashes were always there (and it was just me not noticing it), or I am just alarmed over nothing. After all, the ophthalmologist said there was nothing to worry about.
Should I worry and get a second opinion?
People with eye flashes: do you see them multiple times per hour?
Do eye flashes go away eventually?
Thank you. I am a worried wreck right now.</t>
        </is>
      </c>
      <c r="D1195" t="n">
        <v>1</v>
      </c>
      <c r="E1195" t="n">
        <v>6</v>
      </c>
      <c r="F1195">
        <f>HYPERLINK("https://www.reddit.com/r/eyetriage/comments/et7yhj/frequent_eye_flashes_should_i_worry/")</f>
        <v/>
      </c>
      <c r="G1195" t="inlineStr">
        <is>
          <t>2020-01-24 01:11:29</t>
        </is>
      </c>
      <c r="H1195" t="inlineStr"/>
    </row>
    <row r="1196">
      <c r="A1196" t="inlineStr">
        <is>
          <t>etdz95</t>
        </is>
      </c>
      <c r="B1196" t="inlineStr">
        <is>
          <t>Pain behind one eye</t>
        </is>
      </c>
      <c r="C1196" t="inlineStr">
        <is>
          <t>For the past 6-12 months, I've been experiencing some mild pain in my left eye. It feels like something is pressing against the back or top of the eye. I've never experienced this in my right eye. I usually feel it for about 30-60 minutes at a time before it goes away, and this usually happens 3-5 times a week. These are all very rough guesses - the pain is very mild, so it's not very notable when it happens.
I last visited an eye doctor about 11 months ago, and they said I have a freckle on the back of that eye. I also wear contacts for 10-12 hours a day about 6 days a week, and usually spend 8-12 hours a day looking at a computer screen. I haven't experienced any changes in my vision.
Does anyone know what this could be?</t>
        </is>
      </c>
      <c r="D1196" t="n">
        <v>1</v>
      </c>
      <c r="E1196" t="n">
        <v>0</v>
      </c>
      <c r="F1196">
        <f>HYPERLINK("https://www.reddit.com/r/eyetriage/comments/etdz95/pain_behind_one_eye/")</f>
        <v/>
      </c>
      <c r="G1196" t="inlineStr">
        <is>
          <t>2020-01-24 09:59:32</t>
        </is>
      </c>
      <c r="H1196" t="inlineStr"/>
    </row>
    <row r="1197">
      <c r="A1197" t="inlineStr">
        <is>
          <t>etepsc</t>
        </is>
      </c>
      <c r="B1197" t="inlineStr">
        <is>
          <t>I've been noticing some ghosting up and down and to the sides. I went to my ophthalmologist and he told me that my eyes are fine, my vision is better than 20/20 (with glasses), my corneas are perfectly fine and I don't have keratoconus. Is it anything to be worried about?</t>
        </is>
      </c>
      <c r="C1197" t="inlineStr">
        <is>
          <t>Here are a couple examples: [one](https://external-preview.redd.it/tguSQ31WqpWP20G9Ki3rPg6W2_lCEflw_HkAXbvX5qw.jpg?auto=webp&amp;amp;s=05bb32a074991ef0247da8464d2a24653976cf2a) and [two](https://pbs.twimg.com/media/C9PMW3CVoAE29rk.jpg).
He told me that my eyes are just dry, either due to a not enough oil production or tears, so the cornea doesn't focus totally properly. My right eye seems to shift/ghost bright objects/text on a dark background to the left and up a little, and my left eye seems to shift/ghost bright objects/text on a dark background to the right and down a little. When I wear my old glasses, my left eye is a little better, but my right is worse, so I'm not sure if it's something related to glasses. My eyes have been pretty dry for the last year or two. 
Truthfully, its not a huge deal. I barely notice it with both eyes open. It's mostly only noticeable at night. He did **not** do a corneal topography or anything like that. I've googled around and seen people who have been diagnosed with a 'high order aberration' with similar complaints. As long as its not something that's going to screw my eyes up, I'll deal with it.
Should I get a second opinion or just forget about it and keep using drops and stuff?</t>
        </is>
      </c>
      <c r="D1197" t="n">
        <v>1</v>
      </c>
      <c r="E1197" t="n">
        <v>10</v>
      </c>
      <c r="F1197">
        <f>HYPERLINK("https://www.reddit.com/r/eyetriage/comments/etepsc/ive_been_noticing_some_ghosting_up_and_down_and/")</f>
        <v/>
      </c>
      <c r="G1197" t="inlineStr">
        <is>
          <t>2020-01-24 10:51:23</t>
        </is>
      </c>
      <c r="H1197" t="inlineStr"/>
    </row>
    <row r="1198">
      <c r="A1198" t="inlineStr">
        <is>
          <t>etfn62</t>
        </is>
      </c>
      <c r="B1198" t="inlineStr">
        <is>
          <t>Tear Duct Stent in Adults</t>
        </is>
      </c>
      <c r="C1198" t="inlineStr">
        <is>
          <t>I have a clogged tear duct in my left eye. After my eye doctor prescribing eye drops to clear it, trying to irrigate it, and trying to stick a probe in there which were all unsuccessful, he has decided I possibly need a stent put in. 
I have an appointment with a surgeon coming up to potentially have a stent put in (unless it turns out to be dacryocystorhinostomy and needs surgery).
Everything on the internet is about this procedure being done on children/infants. Does anyone have any experiences/stories having this done as an adult they would like to share? Trying to get more insight on what to expect outside of just the doctor’s perspective.</t>
        </is>
      </c>
      <c r="D1198" t="n">
        <v>1</v>
      </c>
      <c r="E1198" t="n">
        <v>0</v>
      </c>
      <c r="F1198">
        <f>HYPERLINK("https://www.reddit.com/r/eyetriage/comments/etfn62/tear_duct_stent_in_adults/")</f>
        <v/>
      </c>
      <c r="G1198" t="inlineStr">
        <is>
          <t>2020-01-24 11:56:46</t>
        </is>
      </c>
      <c r="H1198" t="inlineStr"/>
    </row>
    <row r="1199">
      <c r="A1199" t="inlineStr">
        <is>
          <t>etfurc</t>
        </is>
      </c>
      <c r="B1199" t="inlineStr">
        <is>
          <t>Wondering if someone can help</t>
        </is>
      </c>
      <c r="C1199" t="inlineStr">
        <is>
          <t>Hi everyone, 
Basically the beginning of December I was diagnosed with papillary conjunctivitis, worse in the right eye. I was cleared to go back to lenses however at the end of December after I was cleared I was told I still had it but it had got better. Aslong as I switched to daily’s I should be fine. Anyhow I’ve noticed the daily’s I was given are great in the left eye, however in my right eye not so good. I feel like it doesn’t quite latch onto my eye properly (hoping someone can relate to that) it does stay in the full day but something doesn’t feel right, not sure if it tends to move about or not as my vision someone goes blurry in that eye. It doesn’t feel like it’s sitting right on my eye, unsure what this could be as the left eye is perfect, I don’t feel a thing in that eye. I understand on here you can’t give me a diagnosis considering you’re unable to examine the eye but I’m wondering if anyone had any ideas on why this is happening to me? 
Thanks in advance</t>
        </is>
      </c>
      <c r="D1199" t="n">
        <v>1</v>
      </c>
      <c r="E1199" t="n">
        <v>0</v>
      </c>
      <c r="F1199">
        <f>HYPERLINK("https://www.reddit.com/r/eyetriage/comments/etfurc/wondering_if_someone_can_help/")</f>
        <v/>
      </c>
      <c r="G1199" t="inlineStr">
        <is>
          <t>2020-01-24 12:11:30</t>
        </is>
      </c>
      <c r="H1199" t="inlineStr"/>
    </row>
    <row r="1200">
      <c r="A1200" t="inlineStr">
        <is>
          <t>etluk5</t>
        </is>
      </c>
      <c r="B1200" t="inlineStr">
        <is>
          <t>Couldn't Find Anything</t>
        </is>
      </c>
      <c r="C1200" t="inlineStr">
        <is>
          <t>I tried to search up what I saw on Google. Earlier I was looking between our TV (big flatscreen) and our bookcase at the wall. 
There was this black spot on the ceiling that look like it could have been five inches flat across, fluttered in layers and when I looked back at it, it vanished.
I'm a paranormal believer, but perhaps it's something up with my eyes?</t>
        </is>
      </c>
      <c r="D1200" t="n">
        <v>1</v>
      </c>
      <c r="E1200" t="n">
        <v>1</v>
      </c>
      <c r="F1200">
        <f>HYPERLINK("https://www.reddit.com/r/eyetriage/comments/etluk5/couldnt_find_anything/")</f>
        <v/>
      </c>
      <c r="G1200" t="inlineStr">
        <is>
          <t>2020-01-24 20:03:06</t>
        </is>
      </c>
      <c r="H1200" t="inlineStr"/>
    </row>
    <row r="1201">
      <c r="A1201" t="inlineStr">
        <is>
          <t>etrrsd</t>
        </is>
      </c>
      <c r="B1201" t="inlineStr">
        <is>
          <t>Swollen eyelid, upper corner. Bruise-like pain.</t>
        </is>
      </c>
      <c r="C1201" t="inlineStr">
        <is>
          <t>Hi, I (28f) woke up yesterday morning with the inner corner of my left eye lid swollen. The outer corner of my eye lid feels sore, like a bruise to the touch.
I’ve done some research into what it could be but it has no bump like the chalazon (cyst) thing, no crust or discharge like blepharitis, and it seems that all I can find on blocked ducts are lower lid?
My left eye is my “weak eye”. It’s vision is much worse than my right and when I get migraines it’s the eye that I feel it in. I’ve gone to the optometrist multiple times to make sure it’s not something more serious and they say everything looks good. 
I have poor sinuses, especially on the left side, but I’ve never had this swollen lid happen before. There’s no redness or itchiness in the actual eye, but I’m just wearing glasses for now - no contacts.
I haven’t changed anything in my skincare routine either. 
Any guidance would be appreciated.</t>
        </is>
      </c>
      <c r="D1201" t="n">
        <v>1</v>
      </c>
      <c r="E1201" t="n">
        <v>0</v>
      </c>
      <c r="F1201">
        <f>HYPERLINK("https://www.reddit.com/r/eyetriage/comments/etrrsd/swollen_eyelid_upper_corner_bruiselike_pain/")</f>
        <v/>
      </c>
      <c r="G1201" t="inlineStr">
        <is>
          <t>2020-01-25 07:02:12</t>
        </is>
      </c>
      <c r="H1201" t="inlineStr"/>
    </row>
    <row r="1202">
      <c r="A1202" t="inlineStr">
        <is>
          <t>etuu0w</t>
        </is>
      </c>
      <c r="B1202" t="inlineStr">
        <is>
          <t>Contact lens bandage. Help?</t>
        </is>
      </c>
      <c r="C1202" t="inlineStr">
        <is>
          <t xml:space="preserve">
Hello! I have had a horrible case of pink eye for about two weeks. I rubbed my eye so much the first week and a half that I got a small scratch on my eyeball that resulted in excruciating pain for about 24 hours and then I decided to go to the Ophthalmologist. He gave me a prescription for erythromycin ointment to use once at night and a contact lens bandage to wear until my next appointment. 
It’s been 3 days and my eye feels fine, the scratch was really small and I want to take out the contact. It is driving me crazy and I cannot see. My doctor said that if it “fell out” before I go back to see him on Monday then to use the ointment 3 times a day instead of only once at night. 
Is it normal to not be able to see when you have a bandage contact in? And is it going to be worse or better for me to remove the contact since it doesn’t look like the scratch is there anymore/doesn’t really hurt?</t>
        </is>
      </c>
      <c r="D1202" t="n">
        <v>1</v>
      </c>
      <c r="E1202" t="n">
        <v>4</v>
      </c>
      <c r="F1202">
        <f>HYPERLINK("https://www.reddit.com/r/eyetriage/comments/etuu0w/contact_lens_bandage_help/")</f>
        <v/>
      </c>
      <c r="G1202" t="inlineStr">
        <is>
          <t>2020-01-25 10:55:53</t>
        </is>
      </c>
      <c r="H1202" t="inlineStr"/>
    </row>
    <row r="1203">
      <c r="A1203" t="inlineStr">
        <is>
          <t>ety7e5</t>
        </is>
      </c>
      <c r="B1203" t="inlineStr">
        <is>
          <t>Does anyone else see the afterimages of trees when against a bright, contrasting background? (I.e the sky)</t>
        </is>
      </c>
      <c r="C1203" t="inlineStr">
        <is>
          <t>Hey all, basically what the title says. If I look at a treeline against a particularly bright sky, and look away real quick, I can see a sort of negative afterimage. I am astigmatic and have a moderate level of myopia, I've seen a retinal specialist and my OD recently and everything looks good. I think this may just be a normal thing I notice now since I've had a spell of crazy hypochondria, as well as some general anxiety and stress. I actually asked a buddy about it assuming it was normal, and he said he saw it too. Though others I've asked say otherwise. So I'm sorta split here, you guys have been helpful in the past so I figure I'd ask here too. Thanks!</t>
        </is>
      </c>
      <c r="D1203" t="n">
        <v>1</v>
      </c>
      <c r="E1203" t="n">
        <v>3</v>
      </c>
      <c r="F1203">
        <f>HYPERLINK("https://www.reddit.com/r/eyetriage/comments/ety7e5/does_anyone_else_see_the_afterimages_of_trees/")</f>
        <v/>
      </c>
      <c r="G1203" t="inlineStr">
        <is>
          <t>2020-01-25 15:04:40</t>
        </is>
      </c>
      <c r="H1203" t="inlineStr"/>
    </row>
    <row r="1204">
      <c r="A1204" t="inlineStr">
        <is>
          <t>etzu73</t>
        </is>
      </c>
      <c r="B1204" t="inlineStr">
        <is>
          <t>Is it normal to see slight fogginess around bright lights in a dark background?</t>
        </is>
      </c>
      <c r="C1204" t="inlineStr">
        <is>
          <t>For example, I see some fogginess around bright street lights at night.</t>
        </is>
      </c>
      <c r="D1204" t="n">
        <v>1</v>
      </c>
      <c r="E1204" t="n">
        <v>0</v>
      </c>
      <c r="F1204">
        <f>HYPERLINK("https://www.reddit.com/r/eyetriage/comments/etzu73/is_it_normal_to_see_slight_fogginess_around/")</f>
        <v/>
      </c>
      <c r="G1204" t="inlineStr">
        <is>
          <t>2020-01-25 17:14:15</t>
        </is>
      </c>
      <c r="H1204" t="inlineStr"/>
    </row>
    <row r="1205">
      <c r="A1205" t="inlineStr">
        <is>
          <t>eu0a67</t>
        </is>
      </c>
      <c r="B1205" t="inlineStr">
        <is>
          <t>Ocular Rosacea</t>
        </is>
      </c>
      <c r="C1205" t="inlineStr">
        <is>
          <t>Hi there,
After seeing 4 doctors, I was just diagnosed with ocular rosacea. Is there anything I can do besides antibiotic eyes drops (when I beg for them) and warm compresses to help with this issue? All my doctors seem to be super clueless.
My recent optometrist suggested Stye Lancing surgery, but I’m having the hardest time finding an Ophthalmologist in Los Angeles that does this - seems to only be cataract surgery or LASIK only. 
Any guidance would be greatly appreciated 😊</t>
        </is>
      </c>
      <c r="D1205" t="n">
        <v>1</v>
      </c>
      <c r="E1205" t="n">
        <v>9</v>
      </c>
      <c r="F1205">
        <f>HYPERLINK("https://www.reddit.com/r/eyetriage/comments/eu0a67/ocular_rosacea/")</f>
        <v/>
      </c>
      <c r="G1205" t="inlineStr">
        <is>
          <t>2020-01-25 17:50:59</t>
        </is>
      </c>
      <c r="H1205" t="inlineStr"/>
    </row>
    <row r="1206">
      <c r="A1206" t="inlineStr">
        <is>
          <t>euaug4</t>
        </is>
      </c>
      <c r="B1206" t="inlineStr">
        <is>
          <t>Choroidal Rupture</t>
        </is>
      </c>
      <c r="C1206" t="inlineStr">
        <is>
          <t>I’ve read a little about Choroidal Ruptures and I was wondering are these something that a doctor would be able to see immediately/4 weeks after trauma during a dilated fundus examination? 
So after trauma is a Choroidal Rupture visible?</t>
        </is>
      </c>
      <c r="D1206" t="n">
        <v>1</v>
      </c>
      <c r="E1206" t="n">
        <v>1</v>
      </c>
      <c r="F1206">
        <f>HYPERLINK("https://www.reddit.com/r/eyetriage/comments/euaug4/choroidal_rupture/")</f>
        <v/>
      </c>
      <c r="G1206" t="inlineStr">
        <is>
          <t>2020-01-26 10:50:38</t>
        </is>
      </c>
      <c r="H1206" t="inlineStr"/>
    </row>
    <row r="1207">
      <c r="A1207" t="inlineStr">
        <is>
          <t>eueyf0</t>
        </is>
      </c>
      <c r="B1207" t="inlineStr">
        <is>
          <t>If you have ghosting and double vision from dry eyes, and you put drops in, should the visual issues resolve, at least for a few seconds?</t>
        </is>
      </c>
      <c r="C1207" t="inlineStr">
        <is>
          <t>Having those issues which the doc claims is from dry eye, but putting drops in elicits no change in vision whatsoever. So was wondering if that’s possible. Thank you.</t>
        </is>
      </c>
      <c r="D1207" t="n">
        <v>1</v>
      </c>
      <c r="E1207" t="n">
        <v>2</v>
      </c>
      <c r="F1207">
        <f>HYPERLINK("https://www.reddit.com/r/eyetriage/comments/eueyf0/if_you_have_ghosting_and_double_vision_from_dry/")</f>
        <v/>
      </c>
      <c r="G1207" t="inlineStr">
        <is>
          <t>2020-01-26 15:23:06</t>
        </is>
      </c>
      <c r="H1207" t="inlineStr"/>
    </row>
    <row r="1208">
      <c r="A1208" t="inlineStr">
        <is>
          <t>eujqeh</t>
        </is>
      </c>
      <c r="B1208" t="inlineStr">
        <is>
          <t>This is it.. possibly going for PTK surgery this week for RCE / map-dot-fingerprint-dystrophy that I've had for four years.. Need advice</t>
        </is>
      </c>
      <c r="C1208" t="inlineStr">
        <is>
          <t>I'm so sorry this post is long \*sigh\* but this is it.. Thinking to possibly go for the PTK surgery THIS WEEK. Four years suffering from recurrent cornea erosions.
Hi everyone, I posted a few weeks ago about wanting to do the PTK surgery to help with my RCE caused by map-dot-fingerprint-dystrophy. I have it in both eyes. It started spontaneously in early 2016, with a full blown erosion in August, 2016 where I was a 10/10 on the pain scale for 5 - 6 days, and couldn't open my eyes for a week, and blurry for weeks and months after that. That was after the warning signs of "something in my eye" and slight pain in my eye proceeding the first erosion. In the past four years, I have had about 8 other "major" erosions" in the left eye. Then about 1.5 years ago erosions started in my right eye too, but only one "major" erosion in my right eye. So though both eyes suffer from this, but I am mainly thinking to focus on solving it in the left eye since it seems to be much worse -- with more frequent and more severe erosions than the right eye.
I posted a few weeks ago to this group about how my main concern about the PTK surgery is that I have an extreme anxiety / jerking reaction to anything touching my eyes. My whole life I've never been able to the "air puff" / air pressure routine test at the eye doctor's office. My head jerks away rapidly every time. I have had eye doctors try multiple times to fit me with contact lens. When I was a teenager, I wanted contacts so badly, but after trying a few times gave up when the doctor couldn't get a practice lens in my eye. It even took me months to put eye drops in my eyes. Even now I can't just keep my eye open and wait for the drop, it's still far easier to put the drop on the outside of my eye, and then blink rapidly to get it inside.
I posted a few weeks ago about how scared I am how this is torture and I've been suffering for four years, like the rest of you all. I WANT to the surgery. The will is there. But I am deeply concerned how I can't handle the "air puff" at the doctor's office and I've never successfully found a doctor who could put a contact lens in my eye, and therefore, practically speaking, I am wondering how.. how can I do this PTK surgery?
But I am back in Singapore now. I have a 90 day visitor stay. Which means if I am going to do the PTK surgery, then I need to do it ASAP to allow for as much time as possible to recover. I am seeing a cornea specialist here, who doesn't specialize in RCE cases.. but he is a cornea specialist who even does cornea transplants on a routine basis. His "bedside manner" is better than another other eye doctor I have ever worked with. He seems genuinely friendly, caring, and takes time to answer questions. So I am at the point where I generally feels comfortable.
I just want to ask you guys and discuss some more about the actual PTK procedure. Needless to say, I am terrified to death, and I still doubt myself completely that I can handle it or manage my way through it due to my extreme super-sensitives and anxieties that have been there since my birth regarding anything touching my eye. :'(
I know the doctor will give a very strong local anesthesia, and the drops will sting a lot but then the eye should be mostly numb. We practiced this in his office with a weakened version of the drop. That's the good news. I was also uncertain whether there would be any way to insert the speculum tool into my eye. After a few attempts we did it in a practice session a few days ago! That's the really good news. So if you can get the speculum in your eye.. would you guys who have done PTK surgery before.. are you half-way there?
What I fear most is how to handle a polished metal tool "scrapping" my eye.. and you cannot blink even if you try. But I worry that I will resist.. and everything could go wrong. How to not resist a metal tool scrapping one's eye? How did you get through it? What does it really feel like? I read that with the numbing drops that it feels like "tickling".. hmm what does that feel like on the eye? Is it really terrifying for someone who is afraid of anything touching their eye? Do you just see a metal tool take up your whole field of vision?
Starring at the laser sounds like the easy part for me personally without ever having tried it before. It will be my first time ever doing any kind of surgery or laser surgery. I can stare at a light NO PROBLEM.. it's just things touching my eye.. that's the problem. 😢 The doctor also says it's only like 15 - 20 seconds. I can handle that (I think!)?!? But my understanding is that the nurse will continuously put drops in your eye while it's being forced open by the speculum to prevent dryness. So the nurse said it can be really hard to focus and "stare past" where you see the laser beam. The nurse advised me to just keep staring and try very hard not to take your eye off it and try to "stare past" it. Any other advice to keep focus even though you've just had the outer layer of your cornea scrapped off? 😢
Then the contact bandage lens is supposed to be the last step. I wonder since no doctor has ever successfully put a contact on my eye before... will the doctor be able to place the CBL on my eye with the speculum still holding my eye open? Or would he need to take the speculum out of the eye first before trying to do the CBL? I'm just worried what if he can't get it in or my eye is so sore or I'm still terrified and / or I'm still jerking away and involuntarily resisting his attempts to put it in.
I hope it's all worth it. I've tried so many drops, eyes, gels, humidifiers over the years.
Only thing I haven't tried yet.. and I have picked this idea up from reading posts in this group over the last few weeks. I will buy a pair of goggles.. so I can try wearing eye goggles to bed at night after the eye surgery is done hopefully. Could you wear the goggles over the contact bandage lens? Or must wait until it's removed from your eye first?
I am also looking at two brand new eye gels that I haven't tried. Which wouldn't arrive to Singapore for a few weeks after the surgery.. the first is Thealoz Duo GEL [https://www.thea-pharmaceuticals.co.uk/assets/products/documents/PILs/thealoz-duo-gel-30ud-pil.pdf](https://www.thea-pharmaceuticals.co.uk/assets/products/documents/PILs/thealoz-duo-gel-30ud-pil.pdf)
which seems like a good pervative-free one. Also I'm gonna try Vitapos which is made by the same people who make Hylo-Gel (which is the one I use for lubbrication throughout the day and night).
Finally, I know this post is very, very long. It might be hard for some people to follow all the words. But I'm just trying to put all the discussion into one post.. but I'm concerned about the post-op pain and recovery. In western countries lik the U.S and Australia they would prescribe a narcotic.. but here in Singapore (the country where I am visiting for three months).. narcotics for the most part are NOT AVAILABLE. I asked the cornea specialist about it.. he said he has to prescribe Naproxen, Ibuprofen, etc. after the surgery. Yikes. I'm scared. He said if those aren't enough he can prescribe a Codeine mixture (which is very weak.. I know from past experience). Will I be able to handle this especially the first 2 - 3 days. Is this major surgery where they slice off the outer layer of the cornea and blast you with a laser, really no worse than a bad erosion? Usually with a bad erosion 90% of the time.. it lasts for a few hours.. only 10% of the time especially in the beginning did the pain from the erosion last for several years continuously.
There are misc. things I'm uncertain about too. What about potential complications? What if the first surgery doesn't heal properly and need to do it a second or third time? I'm just trying to figure out how to get through it a first time. What are the chances that it will make the RCE better and not worse?</t>
        </is>
      </c>
      <c r="D1208" t="n">
        <v>1</v>
      </c>
      <c r="E1208" t="n">
        <v>0</v>
      </c>
      <c r="F1208">
        <f>HYPERLINK("https://www.reddit.com/r/eyetriage/comments/eujqeh/this_is_it_possibly_going_for_ptk_surgery_this/")</f>
        <v/>
      </c>
      <c r="G1208" t="inlineStr">
        <is>
          <t>2020-01-26 21:53:24</t>
        </is>
      </c>
      <c r="H1208" t="inlineStr"/>
    </row>
    <row r="1209">
      <c r="A1209" t="inlineStr">
        <is>
          <t>euss10</t>
        </is>
      </c>
      <c r="B1209" t="inlineStr">
        <is>
          <t>Iris Sphincter Tear</t>
        </is>
      </c>
      <c r="C1209" t="inlineStr">
        <is>
          <t>Hi, how is an Iris Sphincter Tear diagnosed? Would a optician or ophthalmologist usually be able to see them during an eye exam dilated or un dilated?</t>
        </is>
      </c>
      <c r="D1209" t="n">
        <v>1</v>
      </c>
      <c r="E1209" t="n">
        <v>7</v>
      </c>
      <c r="F1209">
        <f>HYPERLINK("https://www.reddit.com/r/eyetriage/comments/euss10/iris_sphincter_tear/")</f>
        <v/>
      </c>
      <c r="G1209" t="inlineStr">
        <is>
          <t>2020-01-27 11:17:51</t>
        </is>
      </c>
      <c r="H1209" t="inlineStr"/>
    </row>
    <row r="1210">
      <c r="A1210" t="inlineStr">
        <is>
          <t>euuxti</t>
        </is>
      </c>
      <c r="B1210" t="inlineStr">
        <is>
          <t>Sun passing through eyelid</t>
        </is>
      </c>
      <c r="C1210" t="inlineStr">
        <is>
          <t>If you shut one eye while wearing sunglasses to avoid the sun, will enough light still pass through the eyelid to damage the retina? If the sun isn’t directly hitting the open side, will it still damage that eye?</t>
        </is>
      </c>
      <c r="D1210" t="n">
        <v>1</v>
      </c>
      <c r="E1210" t="n">
        <v>3</v>
      </c>
      <c r="F1210">
        <f>HYPERLINK("https://www.reddit.com/r/eyetriage/comments/euuxti/sun_passing_through_eyelid/")</f>
        <v/>
      </c>
      <c r="G1210" t="inlineStr">
        <is>
          <t>2020-01-27 13:40:07</t>
        </is>
      </c>
      <c r="H1210" t="inlineStr"/>
    </row>
    <row r="1211">
      <c r="A1211" t="inlineStr">
        <is>
          <t>ev1vvx</t>
        </is>
      </c>
      <c r="B1211" t="inlineStr">
        <is>
          <t>My ophthalmologist prescribed me pred forte steroid drops to take for one full month after conjuctival nevus removal surgery... I read online that you should not use pred forte for more than 10 days..I'm now on day 13, should I just stop it ?</t>
        </is>
      </c>
      <c r="C1211" t="inlineStr">
        <is>
          <t>Hi all,
My doctor checked my eye and told me I'm healing nicely after conjuctival nevus removal surgery. he told me to continue the pred forte and antibiotic drops for the remainder of the 1 month period, should I just stop ??</t>
        </is>
      </c>
      <c r="D1211" t="n">
        <v>1</v>
      </c>
      <c r="E1211" t="n">
        <v>0</v>
      </c>
      <c r="F1211">
        <f>HYPERLINK("https://www.reddit.com/r/eyetriage/comments/ev1vvx/my_ophthalmologist_prescribed_me_pred_forte/")</f>
        <v/>
      </c>
      <c r="G1211" t="inlineStr">
        <is>
          <t>2020-01-27 22:38:17</t>
        </is>
      </c>
      <c r="H1211" t="inlineStr"/>
    </row>
    <row r="1212">
      <c r="A1212" t="inlineStr">
        <is>
          <t>ev7yoj</t>
        </is>
      </c>
      <c r="B1212" t="inlineStr">
        <is>
          <t>Keeping eye drops in fridge vs at room temperature?</t>
        </is>
      </c>
      <c r="C1212" t="inlineStr">
        <is>
          <t>Is there any evidence showing that keeping eye drops (e.g. steroid drops, Lumify) in the fridge can prolong their shelf life? Or are they actually meant to be kept at room temperature?
Thank you for the advice!</t>
        </is>
      </c>
      <c r="D1212" t="n">
        <v>1</v>
      </c>
      <c r="E1212" t="n">
        <v>7</v>
      </c>
      <c r="F1212">
        <f>HYPERLINK("https://www.reddit.com/r/eyetriage/comments/ev7yoj/keeping_eye_drops_in_fridge_vs_at_room_temperature/")</f>
        <v/>
      </c>
      <c r="G1212" t="inlineStr">
        <is>
          <t>2020-01-28 08:49:39</t>
        </is>
      </c>
      <c r="H1212" t="inlineStr"/>
    </row>
    <row r="1213">
      <c r="A1213" t="inlineStr">
        <is>
          <t>evegdn</t>
        </is>
      </c>
      <c r="B1213" t="inlineStr">
        <is>
          <t>My left eye has been kinda pressured, and my left ear has been feeling a lot of pressure also</t>
        </is>
      </c>
      <c r="C1213" t="inlineStr">
        <is>
          <t>My eyes are sensitive to light, I don’t wear glasses and my sight is fine, just eye pain. What signs should I look for and be worried about?</t>
        </is>
      </c>
      <c r="D1213" t="n">
        <v>1</v>
      </c>
      <c r="E1213" t="n">
        <v>6</v>
      </c>
      <c r="F1213">
        <f>HYPERLINK("https://www.reddit.com/r/eyetriage/comments/evegdn/my_left_eye_has_been_kinda_pressured_and_my_left/")</f>
        <v/>
      </c>
      <c r="G1213" t="inlineStr">
        <is>
          <t>2020-01-28 16:13:08</t>
        </is>
      </c>
      <c r="H1213" t="inlineStr"/>
    </row>
    <row r="1214">
      <c r="A1214" t="inlineStr">
        <is>
          <t>evgozz</t>
        </is>
      </c>
      <c r="B1214" t="inlineStr">
        <is>
          <t>Having SLT next week: 2 questions</t>
        </is>
      </c>
      <c r="C1214" t="inlineStr">
        <is>
          <t>Hi! I’ve been told that I don’t have glaucoma but that my pressure is too high and that I need to have SLT. They will be doing my left eye on Tuesday of next week.
My ophthalmologist is outstanding but is also very busy so I did not get a chance to ask him questions.
What happens if I accidentally blink or move my eye?
Is it possible that too much fluid will come out through the little holes at the laser makes?
History, if you need it, I have macular puckering in the right eye that occurred after my pressure dropped to about 14 I think 10 years ago as I was being treated for intracranial hypertension. I lost the very center of my vision in my right eye as a result. It just looks like I’m looking through a cracked glass. Other than myopia I have no other issues with my eyes.</t>
        </is>
      </c>
      <c r="D1214" t="n">
        <v>0</v>
      </c>
      <c r="E1214" t="n">
        <v>10</v>
      </c>
      <c r="F1214">
        <f>HYPERLINK("https://www.reddit.com/r/eyetriage/comments/evgozz/having_slt_next_week_2_questions/")</f>
        <v/>
      </c>
      <c r="G1214" t="inlineStr">
        <is>
          <t>2020-01-28 18:58:49</t>
        </is>
      </c>
      <c r="H1214" t="inlineStr"/>
    </row>
    <row r="1215">
      <c r="A1215" t="inlineStr">
        <is>
          <t>evnump</t>
        </is>
      </c>
      <c r="B1215" t="inlineStr">
        <is>
          <t>Having Photocoagulation - What to expect?</t>
        </is>
      </c>
      <c r="C1215" t="inlineStr">
        <is>
          <t>Some people in a few other eye related subreddits might already have seen this, if it's not ok to cross-post here I'll remove it and I apologize if that is the case.  This just has me a bit anxious.
Please know I'm not asking for medical advice, I have my regular eye doctor and a retina specialist I am seeing and am not using this as a substitute, just trying to find out more information since I can't keep bugging them for information, and only asking for personal advice from anyone with experience on this as a patient or medical practitioner to supplement what information I have and fill in my personal gaps on the medical advice I am receiving from my doctors to try to understand better and feel more at ease since this is a rather stress inducing role for me to be in.
I'm in my mid/late 30s, and for at least a few years now, since early 30s if not more, whenever I go for my yearly eye exams the doctors have told me to go to the ER or call an emergency number if I see floaters, lights, etc. I finally asked why this time and was told my retina on one eye looks like it has a 'thin spot', and was referred to a retina specialist.
After I saw the retina specialist I was told the thin spot was on both eyes, but no signs of retinal tears or detachments. However that this surgery was commonly used to create scar tissue that will help prevent retinal tears and detachments.
That being said, I've looked online and can't find much about this being used pre-retinal tear or pre-retinal detachment, other than the mention that sometimes it is. I'm just wondering what to expect, risks, how long before I should be able to return to work safely (my current job involves a lot of walking, lifting, and bending over), if anyone has heard of possible alternatives, etc?
I've seen mentioned that after photocoagulation for retinal detachment or tear that someone should avoid all exercise and physical work for a period of weeks (3 is mentioned on some, 6 on others). In other places I've seen that the head needs to be in a certain position to keep an air bubble in place for a few weeks. I'm not sure how much of this applies when this is used as preventative, but does anyone have any thoughts on this? Am I likely to be unable to return to work or the gym for 3-6 weeks? Will I possibly need to sleep in a particular way or not lay down in a particular way?
I've also read that it can cause loss of central and peripheral vision, as well as decreased night vision. Is this common? To what extent is most common and to what extent is possible, not including outlying cases where complete blindness due to something going wrong, just in regular cases?
If you were the patient would you see this as a reasonable solution/risk mitigation at my age compared to not doing it (your personal opinion just based on what I've provided)? Are there alternatives?
Also, are there possible long term side effects or precautions I'll need to take? I enjoy martial arts, particularly Judo and Jiujitsu and these involve some rather hard falls at times, is this something that might be dangerous after this is fully healed?
Thanks!</t>
        </is>
      </c>
      <c r="D1215" t="n">
        <v>1</v>
      </c>
      <c r="E1215" t="n">
        <v>6</v>
      </c>
      <c r="F1215">
        <f>HYPERLINK("https://www.reddit.com/r/eyetriage/comments/evnump/having_photocoagulation_what_to_expect/")</f>
        <v/>
      </c>
      <c r="G1215" t="inlineStr">
        <is>
          <t>2020-01-29 06:51:03</t>
        </is>
      </c>
      <c r="H1215" t="inlineStr"/>
    </row>
    <row r="1216">
      <c r="A1216" t="inlineStr">
        <is>
          <t>evrwdu</t>
        </is>
      </c>
      <c r="B1216" t="inlineStr">
        <is>
          <t>Potential remedy for eye redness</t>
        </is>
      </c>
      <c r="C1216" t="inlineStr">
        <is>
          <t>So, I've had chronic redness in my right eye for around the last fifteen years. My vision, eye pressure and tear film are fine, the issue is solely cosmetic. Every doctor, optician and optometrist has told me that there's no clear pathology - some have hinted at ocular rosacea and sun damage - but all have said I will have to live with it, and just recommend things like eye wipes and hot/cold compress. 
I'm by no means the worst off (vision is still intact) but it's not the easiest thing to live with. Throughout high school and university, it was frequently brought up and served to regularly knock my confidence. Currently, I work as a teacher and pupils have accused me of taking drugs and getting high before class; it's deeply humiliating. As you might expect, continually being judged as or even directly told you look 'high', 'drunk' or 'tired' takes its toll on your mental health and self-esteem. 
I have tried every drop imaginable, from steroids and artificial tears to hypromellose and allegery drops, nothing has worked.
In 2018 when I discovered a new drop claiming to conceal eye redness whilst minimising the rebound redness and tachyphylaxis, I was cautiously optimistic. It was the first serious jump forward in tackling this problem. The drops were labelled as Lumify and contained the active ingredient brimonidine tartrate.
Upon using it, I can attest to the claim: it worked. The drops gave me several hours of feeling normal, not being constantly self-conscious of my redness. It was bliss. 
I began using them as frequently as I felt necessary, sometimes up to 4x a day (the maximum recommended amount). However, eventually issues arose. 
The drops contain BAK, a preservative that I've found difficult to tolerate in the past. Eventually, taking lumify regularly became an impracticality. The preservative in the drops were causing me too much irritation for regular use. 
Since then I've continued to seek out another remedy. I have purchased online a bottle of alphagan p 0.1 brimonidine tartrate. Again, it works at taking the redness out and the purite causes me no irritation whatsoever. 
The ingredients are as follows:
Brimonidine Tartarate 1 mg (0.1% w/v)
Stabilized Oxychloro Complex (Purite™) 0.05 mg (0.005% w/v)
Purified Water IP q.s.
I'm aware that this is quite a lot of brimonidine tartare to be using 5-6 days a week, I think at least? (correct me if I'm wrong, but I think I'd build up tolerance quite quickly on a dose this high).
So I was thinking of buying a larger dropper bottle and pipette along with some purified water online. Then squirting the drops into the bottle and distilling it down with the purified water. Would probably distil it down to something around 0.05-0.025% w/v or less. 
My question to the eye specialists of reddit are: is this safe? Is there anything I should take into account when doing this? Will it be okay to use normal purified water purchased online? Do you think this could work long-term? 
I understand that this may seem like a big effort just to whiten the eye but this is something I've struggled with my whole life, I'm desperate to at least mitigate this condition, especially for work (at the very least).</t>
        </is>
      </c>
      <c r="D1216" t="n">
        <v>1</v>
      </c>
      <c r="E1216" t="n">
        <v>2</v>
      </c>
      <c r="F1216">
        <f>HYPERLINK("https://www.reddit.com/r/eyetriage/comments/evrwdu/potential_remedy_for_eye_redness/")</f>
        <v/>
      </c>
      <c r="G1216" t="inlineStr">
        <is>
          <t>2020-01-29 11:39:35</t>
        </is>
      </c>
      <c r="H1216" t="inlineStr"/>
    </row>
    <row r="1217">
      <c r="A1217" t="inlineStr">
        <is>
          <t>evtcnk</t>
        </is>
      </c>
      <c r="B1217" t="inlineStr">
        <is>
          <t>Vogt–Koyanagi–Harada disease (VKH)- what are the best treatment options?</t>
        </is>
      </c>
      <c r="C1217" t="inlineStr">
        <is>
          <t>Eye exam report:
Is anterior uveitis with cells
Post uveitis with one synechae and papilitis bilateral
Edema of the optic nerve on MRI
Currently minimal improvements with 1 week of high dose steroid</t>
        </is>
      </c>
      <c r="D1217" t="n">
        <v>1</v>
      </c>
      <c r="E1217" t="n">
        <v>1</v>
      </c>
      <c r="F1217">
        <f>HYPERLINK("https://www.reddit.com/r/eyetriage/comments/evtcnk/vogtkoyanagiharada_disease_vkh_what_are_the_best/")</f>
        <v/>
      </c>
      <c r="G1217" t="inlineStr">
        <is>
          <t>2020-01-29 13:10:45</t>
        </is>
      </c>
      <c r="H1217" t="inlineStr"/>
    </row>
    <row r="1218">
      <c r="A1218" t="inlineStr">
        <is>
          <t>evtueo</t>
        </is>
      </c>
      <c r="B1218" t="inlineStr">
        <is>
          <t>7 weeks post Trans PRK and intermittent pain.</t>
        </is>
      </c>
      <c r="C1218" t="inlineStr">
        <is>
          <t>I underwent trans-Prk seven weeks ago (Dec 12). My right eye has healed without a problem. But my left eye has been bothersome.  At three weeks post op (around new years eve week), I suffered what I think were three corneal erosions in my left eye (extreme pain caused by opening and closing my eyelids at night). I was seen by my optometrist who put a yellow stain in my eye and noted that I had some dry spots in my eye and noted that due to pattern I may not be closing my eyes fully at night. She told me to use preservative free drops every hour and to put systane night ointment at night if I could not find Muro 128. When I had my third episode, I texted my surgeon who  told me to put preservative free drops in my eye every 30 mins and Muro 128 at night for two weeks. I did as instructed and also started Omega 3 Supplements and putting a gel bead eye mask on my eyes two times a day for ten minutes. At night I resorted to taping my eyelids with paper tape just so I felt calm enough to sleep. But I continue to experience daily intermittent pain (pulsating/pulling sensation with a nasal congestion like headache) on my left eye that ranges from 2/10 (aware of it only when I pay attention to it) to 4/10 (I am aware of it but can continue with activities). I get the 4/10 pain at least once a day for 10 mins but today it lasted 1hr to 1.5 hrs.  But yesterday, my best day I only experienced pain once (4/10) for 10 to 20 mins before falling asleep. My surgeon told me last week to use  Muro 128 for one month this time and continue drops every 30 mins. Also I now have floaters but they don't bother me as much anymore  (they dilated my eyes and said no retinal detachment). I am worried that I have  corneal neuropathic disease, corneal neuralgia, which I think needs to be addressed promptly to avoid complications. I don't know if I am being overly concerned or if I should be a strong advocate about my symptoms. My next post op is in three weeks (my last post op was 2.5 weeks ago), will I be ok to wait? Should I ask them to assess me right away? Should I ask my optometrist to refer me to get a second opinion?  I look forward to some  insight. Thanks,</t>
        </is>
      </c>
      <c r="D1218" t="n">
        <v>1</v>
      </c>
      <c r="E1218" t="n">
        <v>8</v>
      </c>
      <c r="F1218">
        <f>HYPERLINK("https://www.reddit.com/r/eyetriage/comments/evtueo/7_weeks_post_trans_prk_and_intermittent_pain/")</f>
        <v/>
      </c>
      <c r="G1218" t="inlineStr">
        <is>
          <t>2020-01-29 13:42:34</t>
        </is>
      </c>
      <c r="H1218" t="inlineStr"/>
    </row>
    <row r="1219">
      <c r="A1219" t="inlineStr">
        <is>
          <t>ew4lww</t>
        </is>
      </c>
      <c r="B1219" t="inlineStr">
        <is>
          <t>Cross-eye when I wear glasses</t>
        </is>
      </c>
      <c r="C1219" t="inlineStr">
        <is>
          <t xml:space="preserve">
Hello Reddit!
I am 20 years old male who wears glasses due to my short-sightedness (-6 in both eyes) since I was around 12. 
Since my childhood I suffer from cross-eye as well, which usually appears when I am wearing glasses, rarely without them.  It’s especially apparent when I remove the glasses-I can literally see my cross-eye getting back into normal position. 
Recently it started to really bother me so I decided to ask your opinion on this issue. Should I be worried about this condition? Or are there any exercises or (worse case) surgical method that can help me?
Thank you!!</t>
        </is>
      </c>
      <c r="D1219" t="n">
        <v>1</v>
      </c>
      <c r="E1219" t="n">
        <v>2</v>
      </c>
      <c r="F1219">
        <f>HYPERLINK("https://www.reddit.com/r/eyetriage/comments/ew4lww/crosseye_when_i_wear_glasses/")</f>
        <v/>
      </c>
      <c r="G1219" t="inlineStr">
        <is>
          <t>2020-01-30 04:21:46</t>
        </is>
      </c>
      <c r="H1219" t="inlineStr"/>
    </row>
    <row r="1220">
      <c r="A1220" t="inlineStr">
        <is>
          <t>ew8z0x</t>
        </is>
      </c>
      <c r="B1220" t="inlineStr">
        <is>
          <t>How to cope with floaters?</t>
        </is>
      </c>
      <c r="C1220" t="inlineStr">
        <is>
          <t>I want to share my experience, in the last weeks I have seen in my eyes increasing floaters and I am a little worried about that.  I went with a private ophthalmologist and everything was fine.  
  He did an eye exam that I had time without doing (2012) and I stay like this
 Myopia:
 Right eye: -1.50 (sphere)
 Left eye: -1.50 (sphere)
 Astigmatism:
 Right eye: -0.25
 Left eye: -0.75
 Axis:
 Right eye: 140
 Left eye: 24
 In 2012 I had:
 Right eye: -1.50 (sphere)
 Left eye: -1.25 (sphere)
 After that he did a retinal exam and put me a few drops to dilate the pupils and sent me to call for 15 to 20 minutes.
  I check my eye with a few lights and he told me that everything is in order and I already explained already sitting in his office that it is a gel that we have and so on, and that from the age of 30 it starts to become more common to see that and  which is called vitreous detachment, and the truth is that it is uncomfortable and already googled and says that a visectromy can be done to remove that gel, but the people who do that can have cataracts in the future, then the matter is worse.
 So you have to live with it?</t>
        </is>
      </c>
      <c r="D1220" t="n">
        <v>1</v>
      </c>
      <c r="E1220" t="n">
        <v>6</v>
      </c>
      <c r="F1220">
        <f>HYPERLINK("https://www.reddit.com/r/eyetriage/comments/ew8z0x/how_to_cope_with_floaters/")</f>
        <v/>
      </c>
      <c r="G1220" t="inlineStr">
        <is>
          <t>2020-01-30 09:29:44</t>
        </is>
      </c>
      <c r="H1220" t="inlineStr"/>
    </row>
    <row r="1221">
      <c r="A1221" t="inlineStr">
        <is>
          <t>ew9eip</t>
        </is>
      </c>
      <c r="B1221" t="inlineStr">
        <is>
          <t>Atrophy and Adhesion</t>
        </is>
      </c>
      <c r="C1221" t="inlineStr">
        <is>
          <t>Hi whats the difference between atrophy and adhesion in regards to retinal tears?</t>
        </is>
      </c>
      <c r="D1221" t="n">
        <v>1</v>
      </c>
      <c r="E1221" t="n">
        <v>0</v>
      </c>
      <c r="F1221">
        <f>HYPERLINK("https://www.reddit.com/r/eyetriage/comments/ew9eip/atrophy_and_adhesion/")</f>
        <v/>
      </c>
      <c r="G1221" t="inlineStr">
        <is>
          <t>2020-01-30 09:56:46</t>
        </is>
      </c>
      <c r="H1221" t="inlineStr"/>
    </row>
    <row r="1222">
      <c r="A1222" t="inlineStr">
        <is>
          <t>ewfk4h</t>
        </is>
      </c>
      <c r="B1222" t="inlineStr">
        <is>
          <t>Trouble tolerating bright light</t>
        </is>
      </c>
      <c r="C1222" t="inlineStr">
        <is>
          <t>Over the last few months I’ve become intolerant of bright light - being outdoors in daylight or in a big grocery store, for example, is uncomfortable and somewhat disorienting.  Also developed floaters and presbyopia over the last year or two.  No eye pain, no headaches, eye exams are normal.  I’m 47.  I work from my home office, large dual monitors, 8+ hours/day in front of them, wondering if that is a contributing factor.  Any ideas or suggestions would be welcome as it is becoming a real challenge.</t>
        </is>
      </c>
      <c r="D1222" t="n">
        <v>1</v>
      </c>
      <c r="E1222" t="n">
        <v>1</v>
      </c>
      <c r="F1222">
        <f>HYPERLINK("https://www.reddit.com/r/eyetriage/comments/ewfk4h/trouble_tolerating_bright_light/")</f>
        <v/>
      </c>
      <c r="G1222" t="inlineStr">
        <is>
          <t>2020-01-30 16:31:56</t>
        </is>
      </c>
      <c r="H1222" t="inlineStr"/>
    </row>
    <row r="1223">
      <c r="A1223" t="inlineStr">
        <is>
          <t>ewgv54</t>
        </is>
      </c>
      <c r="B1223" t="inlineStr">
        <is>
          <t>Manuka honey</t>
        </is>
      </c>
      <c r="C1223" t="inlineStr">
        <is>
          <t>TL;DR First time trying it for dry eyes, inflammation and blepharitis. Feels great so far. Here's hoping it's the be all/end all cure. 
[Study](https://www.ncbi.nlm.nih.gov/pmc/articles/PMC5721633/)
[Study
](https://www.ncbi.nlm.nih.gov/pmc/articles/PMC5721638/)
[Study](https://www.ncbi.nlm.nih.gov/m/pubmed/28585260/)
[Study](https://onlinelibrary.wiley.com/doi/full/10.1111/cxo.12524)
[Article](https://www.venturacountylasik.com/manuka-honey-can-improve-dry-eye-symptoms/)
After 6 months of dry eyes (my first and worst time ever suffering from this) and inflammation, countless bottles of eye drops and gels, countless visits to opticians and an eye hospital, and a hell of a lot of warm (sometimes boiling) compresses, my situation got worse.
I found out a couple of weeks ago that I also suffer from mild blepharitis in one eye. I went to a normal opticians appointment hoping and praying that this bs would end only to find out that it got worse.
After much research I came across a manuka honey method which I've never heard of or tried before. I always assumed manuka honey was just another fad so never paid it any attention until now. I read about people putting honey on/in their eyes and thought it was absolutely crazy until I started reading countless (and I mean a shitload amount) posts on various websites about how this cured blepharitis and aided dry eyes. I still didn't fully believe it until I saw the numerous studies performed using the honey for various eye conditions - namely blepharitis and dry eyes.
I gave in and finally bought some today. I freaked out at the price until I realised I'm happily (yet still hesitantly) spending £8 on a 10ml bottle of eye drops/gel every other month which doesn't even work. £35 on nearly 20 times that amount (it's a 250g jar which I think is around 200ml) seems justifiable considering the jar will last a LONG time because you barely need 1/2 of the amount of eye drops you use. And it was on sale for 1/2 price as well so I figured it's now or never.
After trying it the first time I can honestly say my vision has cleared up quite a bit. My eyes have been feeling horrible and dry all day, like there's a grey film over them. As previous reports have said, it did burn for a couple of minutes, but after that and the tearing stopped, my eyes felt absolutely amazing. They haven't felt this clear in a very long time.
If you're willing to try it, definitely give it a go! I can't wait to see how this works in the longer term.</t>
        </is>
      </c>
      <c r="D1223" t="n">
        <v>1</v>
      </c>
      <c r="E1223" t="n">
        <v>0</v>
      </c>
      <c r="F1223">
        <f>HYPERLINK("https://www.reddit.com/r/eyetriage/comments/ewgv54/manuka_honey/")</f>
        <v/>
      </c>
      <c r="G1223" t="inlineStr">
        <is>
          <t>2020-01-30 18:03:09</t>
        </is>
      </c>
      <c r="H1223" t="inlineStr"/>
    </row>
    <row r="1224">
      <c r="A1224" t="inlineStr">
        <is>
          <t>ewh31e</t>
        </is>
      </c>
      <c r="B1224" t="inlineStr">
        <is>
          <t>Dry eyes, blepharitis &amp;amp; manuka honey. Opinions?</t>
        </is>
      </c>
      <c r="C1224" t="inlineStr">
        <is>
          <t>TL;DR First time trying it for dry eyes, inflammation and blepharitis. Feels great so far. Here's hoping it's the be all/end all cure. 
[Study](https://www.ncbi.nlm.nih.gov/pmc/articles/PMC5721633/)
[Study
](https://www.ncbi.nlm.nih.gov/pmc/articles/PMC5721638/)
[Study](https://www.ncbi.nlm.nih.gov/m/pubmed/28585260/)
[Study](https://onlinelibrary.wiley.com/doi/full/10.1111/cxo.12524)
[Article](https://www.venturacountylasik.com/manuka-honey-can-improve-dry-eye-symptoms/)
After 6 months of dry eyes (my first and worst time suffering from this) and inflammation, countless bottles of eye drops and gels, countless visits to opticians and an eye hospital, and a hell of a lot of warm compresses, my situation got worse.
I recently found out that I also suffer from mild blepharitis in one eye. I went to a normal opticians appointment praying that this bs would end only to find out that it got worse.
After much research I came across a manuka honey method which I've never tried before as I assumed it was just another fad. I read about people putting honey on/in their eyes and thought it was absolutely crazy until I read countless posts on various websites about how this cured blepharitis and aided dry eyes. I still didn't fully believe it until I saw the numerous studies using the honey for eye conditions.
I gave in and finally bought some today. I freaked out at the price until I realised I'm happily (yet still hesitantly) spending £8 on a 10ml bottle of eye drops/gel every other month which doesn't work. £35 on nearly 20 times that amount (it's a 250g jar which I think is around 200ml) seems justifiable considering the jar will last a LONG time because you barely need 1/2 of the amount of eye drops you use. And it was on sale for 1/2 price as well so I figured it's now or never.
After trying it the first time I can honestly say my vision has cleared up quite a bit. My eyes have been feeling horrible and dry all day, like there's a grey film over them. As previous reports have said, it did burn for a couple of minutes, but after that and the tearing stopped, my eyes felt absolutely amazing. They haven't felt this clear in a very long time.
If you're willing to try it, definitely give it a go! I can't wait to see how this works in the longer term.</t>
        </is>
      </c>
      <c r="D1224" t="n">
        <v>1</v>
      </c>
      <c r="E1224" t="n">
        <v>5</v>
      </c>
      <c r="F1224">
        <f>HYPERLINK("https://www.reddit.com/r/eyetriage/comments/ewh31e/dry_eyes_blepharitis_manuka_honey_opinions/")</f>
        <v/>
      </c>
      <c r="G1224" t="inlineStr">
        <is>
          <t>2020-01-30 18:18:50</t>
        </is>
      </c>
      <c r="H1224" t="inlineStr"/>
    </row>
    <row r="1225">
      <c r="A1225" t="inlineStr">
        <is>
          <t>ewjk7p</t>
        </is>
      </c>
      <c r="B1225" t="inlineStr">
        <is>
          <t>Eye white is red around the corner</t>
        </is>
      </c>
      <c r="C1225" t="inlineStr">
        <is>
          <t>My white part of my eyes turn sometimes. I don't know the cause. I thought it was due to bad sleep at first. But even when i had some very good sleep they still appear sometimes. It looks like a red layer or mucous(I don't know), stays like this for about two days and disappears on its own leaving behind a very light brown color. 
I have had these on both of my eyes. I usually appears around the corner(near to the nose) of the eye.
 Is it pterygium? How much should i be worried? I will be seeing  doctor next week
https://preview.redd.it/n740wu1sv1e41.jpg?width=1773&amp;amp;format=pjpg&amp;amp;auto=webp&amp;amp;s=829a9e9ed28fcdae5e12824689b25aa07a1c25f9
https://preview.redd.it/5kb30b2sv1e41.jpg?width=2448&amp;amp;format=pjpg&amp;amp;auto=webp&amp;amp;s=629e96c7e652133cb4f3ee34ad97600babf94f6d
https://preview.redd.it/gx3dsw1sv1e41.jpg?width=1413&amp;amp;format=pjpg&amp;amp;auto=webp&amp;amp;s=60618c74ee5040bc13e47a685e314571db2ce68d
https://preview.redd.it/4463f22sv1e41.jpg?width=1413&amp;amp;format=pjpg&amp;amp;auto=webp&amp;amp;s=387f4202af48e635183a741faedb1c6920d74b8e</t>
        </is>
      </c>
      <c r="D1225" t="n">
        <v>1</v>
      </c>
      <c r="E1225" t="n">
        <v>0</v>
      </c>
      <c r="F1225">
        <f>HYPERLINK("https://www.reddit.com/r/eyetriage/comments/ewjk7p/eye_white_is_red_around_the_corner/")</f>
        <v/>
      </c>
      <c r="G1225" t="inlineStr">
        <is>
          <t>2020-01-30 21:31:24</t>
        </is>
      </c>
      <c r="H1225" t="inlineStr"/>
    </row>
    <row r="1226">
      <c r="A1226" t="inlineStr">
        <is>
          <t>ewjlmz</t>
        </is>
      </c>
      <c r="B1226" t="inlineStr">
        <is>
          <t>Eye white is red around the corner</t>
        </is>
      </c>
      <c r="C1226" t="inlineStr">
        <is>
          <t xml:space="preserve"> My white part of my eyes turn sometimes. I don't know the cause. I thought it was due to bad sleep at first. But even when i had some very good sleep they still appear sometimes. It looks like a red layer or mucous(I don't know) plus swollen blood vessels, stays like this for about two days and disappears on its own leaving behind a very light brown color.
https://preview.redd.it/7swrsr2hw1e41.jpg?width=1773&amp;amp;format=pjpg&amp;amp;auto=webp&amp;amp;s=8fc99fe8b50131af4bf6448da7e08a8a2e1b133d
https://preview.redd.it/xhurb20hw1e41.jpg?width=2448&amp;amp;format=pjpg&amp;amp;auto=webp&amp;amp;s=7be8ca3769a5d57f33a890be9af8d7192b3f9a7c
https://preview.redd.it/a6gt8fzgw1e41.jpg?width=1413&amp;amp;format=pjpg&amp;amp;auto=webp&amp;amp;s=af11998273ba7a30bf234bc9cdce8022be912b03
https://preview.redd.it/ttaqiv6hw1e41.jpg?width=1413&amp;amp;format=pjpg&amp;amp;auto=webp&amp;amp;s=d18f2ff5f04b087078cdfb04b1d612a14b10b906
I have had these on both of my eyes. I usually appears around the corner(near to the nose) of the eye.
Is it pterygium or just swollen blood vessels? What causes the blood vessels to swell up? How much should i be worried? I will be seeing doctor next week</t>
        </is>
      </c>
      <c r="D1226" t="n">
        <v>1</v>
      </c>
      <c r="E1226" t="n">
        <v>0</v>
      </c>
      <c r="F1226">
        <f>HYPERLINK("https://www.reddit.com/r/eyetriage/comments/ewjlmz/eye_white_is_red_around_the_corner/")</f>
        <v/>
      </c>
      <c r="G1226" t="inlineStr">
        <is>
          <t>2020-01-30 21:35:04</t>
        </is>
      </c>
      <c r="H1226" t="inlineStr"/>
    </row>
    <row r="1227">
      <c r="A1227" t="inlineStr">
        <is>
          <t>ewkz0u</t>
        </is>
      </c>
      <c r="B1227" t="inlineStr">
        <is>
          <t>Potential remedy for eye redness?</t>
        </is>
      </c>
      <c r="C1227" t="inlineStr">
        <is>
          <t>So, I've had chronic redness in my right eye for around the last fifteen years. My vision, eye pressure and tear film are fine, the issue is solely cosmetic. Every doctor, optician and optometrist has told me that there's no clear pathology - some have hinted at ocular rosacea and sun damage - but all have said I will have to live with it, and just recommend things like eye wipes and hot/cold compress. 
I'm by no means the worst off (vision is still intact) but it's not the easiest thing to live with. Throughout high school and university, it was frequently brought up and served to regularly knock my confidence. Currently, I work as a teacher and pupils have accused me of taking drugs and getting high before class; it's deeply humiliating. As you might expect, continually being judged as or even directly told you look 'high', 'drunk' or 'tired' takes its toll on your mental health and self-esteem. 
I have tried every drop imaginable, from steroids and artificial tears to hypromellose and allegery drops, nothing has worked.
In 2018 when I discovered a new drop claiming to conceal eye redness whilst minimising the rebound redness and tachyphylaxis, I was cautiously optimistic. It was the first serious jump forward in tackling this problem. The drops were labelled as Lumify and contained the active ingredient brimonidine tartrate.
Upon using it, I can attest to the claim: it worked. The drops gave me several hours of feeling normal, not being constantly self-conscious of my redness. It was bliss. 
I began using them as frequently as I felt necessary, sometimes up to 4x a day (the maximum recommended amount). However, eventually issues arose. 
The drops contain BAK, a preservative that I've found difficult to tolerate in the past. Eventually, taking lumify regularly became an impracticality. The preservative in the drops were causing me too much irritation for regular use. 
Since then I've continued to seek out another remedy. I have purchased online a bottle of alphagan p 0.1 brimonidine tartrate. Again, it works at taking the redness out and the purite causes me no irritation whatsoever. 
The ingredients are as follows:
Brimonidine Tartarate 1 mg (0.1% w/v)
Stabilized Oxychloro Complex (Purite™) 0.05 mg (0.005% w/v)
Purified Water IP q.s.
I'm aware that this is quite a lot of brimonidine tartare to be using 5-6 days a week, I think at least? (correct me if I'm wrong, but I think I'd build up tolerance quite quickly on a dose this high).
So I was thinking of buying a larger dropper bottle and pipette along with some purified water online. Then squirting the drops into the bottle and distilling it down with the purified water. Would probably distil it down to something around 0.05-0.025% w/v or less. 
My question to the eye specialists of reddit are: is this safe? Is there anything I should take into account when doing this? Will it be okay to use normal purified water purchased online? Do you think this could work long-term? 
I understand that this may seem like a big effort just to whiten the eye but this is something I've struggled with my whole life, I'm desperate to at least mitigate this condition, especially for work (at the very least).</t>
        </is>
      </c>
      <c r="D1227" t="n">
        <v>1</v>
      </c>
      <c r="E1227" t="n">
        <v>3</v>
      </c>
      <c r="F1227">
        <f>HYPERLINK("https://www.reddit.com/r/eyetriage/comments/ewkz0u/potential_remedy_for_eye_redness/")</f>
        <v/>
      </c>
      <c r="G1227" t="inlineStr">
        <is>
          <t>2020-01-30 23:44:50</t>
        </is>
      </c>
      <c r="H1227" t="inlineStr"/>
    </row>
    <row r="1228">
      <c r="A1228" t="inlineStr">
        <is>
          <t>ewlhuh</t>
        </is>
      </c>
      <c r="B1228" t="inlineStr">
        <is>
          <t>q: 30/m Glaucoma suspect, eye pressure, headaches, treatment</t>
        </is>
      </c>
      <c r="C1228" t="inlineStr">
        <is>
          <t>hey guys
&amp;amp;#x200B;
tldr I know I know, talk to your doctor
&amp;amp;#x200B;
I just moved to a new state, and I don't have any rapport with my new opthamologist besides him basically prescribing me lumigan and sending me on my way. 
&amp;amp;#x200B;
1/ I've been a "suspect" for the last 10 years before being upgraded by my last doc as having glaucoma.  Likely damaged right eye via VFT. the VFT on my right eye has always been borderline ever since I tested for high IOP in high school on a random eye puff test which got the wheels rolling for treatment and ophthalmologist. I think I hit 28-32 or so untreated. treated with xalatan, lumigan, travapost ive been hitting 16-20 consistently on the IOP. 
&amp;amp;#x200B;
2/ I just realized, over the past 1-2 years (maybe longer?), that once or twice a month I get headaches and feel some eye pressure in my eyes. I get nauseous. I only now linked this to my eye pressure and Nausea after some quick googling and its the reason why im here. Is this normal for my condition??
3/ my new GP and psych wanted to put me on adderall. I told them no, because ive long known that adderall can be a drug interaction with my eyedrops. but she prescribed them to me anyway and told me to talk to my ophthalmologist about it. 
the Opth said I could take it and was not concerned at all, he spent less than 10s on it. So far, I have the script and its been sitting in my drawer because im too scared to take it, now that I just connected the occasional headache and nausea I get from the feeling of eye pressure, Im here looking for help before my next appt with my ophthalmologist (or new ophthalmologist likely).</t>
        </is>
      </c>
      <c r="D1228" t="n">
        <v>1</v>
      </c>
      <c r="E1228" t="n">
        <v>2</v>
      </c>
      <c r="F1228">
        <f>HYPERLINK("https://www.reddit.com/r/eyetriage/comments/ewlhuh/q_30m_glaucoma_suspect_eye_pressure_headaches/")</f>
        <v/>
      </c>
      <c r="G1228" t="inlineStr">
        <is>
          <t>2020-01-31 00:43:06</t>
        </is>
      </c>
      <c r="H1228" t="inlineStr"/>
    </row>
    <row r="1229">
      <c r="A1229" t="inlineStr">
        <is>
          <t>ewmhql</t>
        </is>
      </c>
      <c r="B1229" t="inlineStr">
        <is>
          <t>Eye (or neurological) issue causing blind spots</t>
        </is>
      </c>
      <c r="C1229" t="inlineStr">
        <is>
          <t xml:space="preserve"> 
My girlfriend is suffering from a strange eye (or neurological) condition that we can't seem to get a good diagnosis from any doctor. Background on her:
23F, doesn't take any medications, 170cm, 62kg, non-smoker, no drug use, Caucasian, no existing medical issues besides polycystic ovaries, . Was on the pill when this started but has gone off it to see if this would help, it didn't
She has a history of ocular migraines. One morning around six months ago she woke up after being ill with the flu, during the night she said she had woken up with the worst head ache of her life. That morning when she woke up she had a small shimmering like scotoma in her left eye. No flashing lights or any other symptoms. We went to an optometrist and they couldn't see anything wrong with her eye, we then went to the hospital and they couldn't find any signs of stroke or anything similar and referred her to a neurologist.
She went to the neuro about a month later, she still had the same shimmering scotoma in her left eye and he diagnosed it as persistent migraine aura. We took that at face value and carried on. The problem started to subside but didn't completely go away. About 3 months ago it started to get a little bit worse and she had some more small spots pop up in her left eye. We went to an ophthalmologist and they examined her extensively for any of the white dot syndromes, tests done were (slit lamp examiniation/autofluorescent FAF/multimodal imaging/OCT/Humphrey Visual Fields. They could not find anything wrong with the left eye at all. They said her retina is extremely healthy. The visual fields test didn't show up any blind spots as they are too small to show up on that test. They told us they don't believe it can be an eye issue as something would have popped up on all the tests they did which we believe as well. We have researched white dot syndromes/AZOOR extensively and from all the research we did we believe something would have showed up as a red flag on one of those tests at least and the doctors agreed. Everything showed her eye was completely fine. They also said it must be persistent migraine aura.
Does this make sense though? As it's only in the one eye it seems unlikely it could be as retinal migraines do not persist for this amount of time.
It is starting to cause her a level of anxiety and distress. We are scheduled in to see a neuro ophthalmologist but that is not for another 3 months. Could this perhaps be due to some nutritional imbalance, or an underlying disease such as Lyme disease? She recently had a blood test and we are awaiting results. Does anyone know what this might be?</t>
        </is>
      </c>
      <c r="D1229" t="n">
        <v>1</v>
      </c>
      <c r="E1229" t="n">
        <v>2</v>
      </c>
      <c r="F1229">
        <f>HYPERLINK("https://www.reddit.com/r/eyetriage/comments/ewmhql/eye_or_neurological_issue_causing_blind_spots/")</f>
        <v/>
      </c>
      <c r="G1229" t="inlineStr">
        <is>
          <t>2020-01-31 02:24:18</t>
        </is>
      </c>
      <c r="H1229" t="inlineStr"/>
    </row>
    <row r="1230">
      <c r="A1230" t="inlineStr">
        <is>
          <t>ewtdl1</t>
        </is>
      </c>
      <c r="B1230" t="inlineStr">
        <is>
          <t>Horners syndrome with no cause, severe back pain &amp;amp; throat swelling</t>
        </is>
      </c>
      <c r="C1230" t="inlineStr">
        <is>
          <t>Hi there, Roughly 3 weeks ago I was at work feeling generally tired when my coworker looked at me and said " Whats wrong with your eye?" I looked in the mirror to find very noticeable dropping of my upper right eyelid and my pupils being different sizes. I called my aunt thats a nurse and she urged me to go to the ER as its a symptom of a stroke or aneurysm. I went to the hospital, I had a brain MRI and everything was normal. that evening I began having excruciating back pain.
I was referred to an ophthalmologist where he diagnosed me with horners syndrome He told me about carotid tears and all that, chalked it up to that being the cause and sent me on my way. However, My MRIs did not show a carotid tear so i don't think he even really looked at my chart which is frustrating. The following week my back pain was so severe I returned to the hospital. This time I had chest X-rays and a cervical MRI. Everything was normal for the most part, I had slight cervical lordosis and some swelling in my throat.
I then went to a neurologist who said that he believes my horners was caused by a viral infection that im recovering from that somehow disrupted my nerves. I have a scheduled CT for a week from now to check on the that swelling and I have a follow up with an ENT later in the month.
My symptoms aren't improving at all and i'm worried about how this could all be related. I have no relief from my pain and no idea how to proceed. especially when my doctors don't seem to be on the same page about what could be a cause. Has anyone experienced anything like this? Could the swelling be a sign of something that could cause this problem?</t>
        </is>
      </c>
      <c r="D1230" t="n">
        <v>1</v>
      </c>
      <c r="E1230" t="n">
        <v>2</v>
      </c>
      <c r="F1230">
        <f>HYPERLINK("https://www.reddit.com/r/eyetriage/comments/ewtdl1/horners_syndrome_with_no_cause_severe_back_pain/")</f>
        <v/>
      </c>
      <c r="G1230" t="inlineStr">
        <is>
          <t>2020-01-31 11:18:44</t>
        </is>
      </c>
      <c r="H1230" t="inlineStr"/>
    </row>
    <row r="1231">
      <c r="A1231" t="inlineStr">
        <is>
          <t>ewx5dt</t>
        </is>
      </c>
      <c r="B1231" t="inlineStr">
        <is>
          <t>Sudden blurred vision?</t>
        </is>
      </c>
      <c r="C1231" t="inlineStr">
        <is>
          <t>I was going back and forth between my phone screen (better pixel density) and my computer screen (decent pixel density) and all of a sudden my computer looked blurry. 
Looking at other objects was no issue and looked clear, but it took about 20 minutes for my computer screen to look “crisp” again. 
Why did it look blurry for a while? I could read stuff, but it just wasn’t a sharp and crisp as it normally is. 
I have 20/20 vision, so when stuff like this happens I get worried about stroking out or something. Any ideas why my computer screen went blurry (even though it wasn’t and took a while to look normal again?</t>
        </is>
      </c>
      <c r="D1231" t="n">
        <v>1</v>
      </c>
      <c r="E1231" t="n">
        <v>1</v>
      </c>
      <c r="F1231">
        <f>HYPERLINK("https://www.reddit.com/r/eyetriage/comments/ewx5dt/sudden_blurred_vision/")</f>
        <v/>
      </c>
      <c r="G1231" t="inlineStr">
        <is>
          <t>2020-01-31 15:37:00</t>
        </is>
      </c>
      <c r="H1231" t="inlineStr"/>
    </row>
    <row r="1232">
      <c r="A1232" t="inlineStr">
        <is>
          <t>ewzjtq</t>
        </is>
      </c>
      <c r="B1232" t="inlineStr">
        <is>
          <t>Redness in eyes for years.</t>
        </is>
      </c>
      <c r="C1232" t="inlineStr">
        <is>
          <t>I have dealt with redness in the eyes ever since I was 18. I am now 36. I used to see it in both eyes, but the last few years I have only had it in my right eye. It's only on the exposed cornea on the inside corner of my eye, but sometimes it'll be red on the outside. It does seem like that eye is dryer than the other, but I only have very mild discomfort and it doesn't itch. I normally wouldn't post on here, but I have literally seen countless eye doctors over the years. Every visit turns out the same. They do a thorough exam and find no signs of infection or any issues whatsoever. So each one gives up and prescribes something like Zylet or Alrex. I usually use it for a few days only and symptoms disappear for months then eventually come back. Most doctors assume it's some allergy. I've tried changing soaps, detergents, everything. Being outside seems to make it better some. Lubricant drops help for a few minutes but no more. I've tried fish oil, multiple diet changes, and anything I could think of. It definitely seems worse the less sleep I get. If I can get a ridiculous amount of sleep, like 10 hours, it almost completely goes away, but that's near impossible to get that much sleep. Any suggestions would be greatly appreciated. Thank you for your time.</t>
        </is>
      </c>
      <c r="D1232" t="n">
        <v>1</v>
      </c>
      <c r="E1232" t="n">
        <v>0</v>
      </c>
      <c r="F1232">
        <f>HYPERLINK("https://www.reddit.com/r/eyetriage/comments/ewzjtq/redness_in_eyes_for_years/")</f>
        <v/>
      </c>
      <c r="G1232" t="inlineStr">
        <is>
          <t>2020-01-31 18:42:49</t>
        </is>
      </c>
      <c r="H1232" t="inlineStr"/>
    </row>
    <row r="1233">
      <c r="A1233" t="inlineStr">
        <is>
          <t>ex25iv</t>
        </is>
      </c>
      <c r="B1233" t="inlineStr">
        <is>
          <t>Eye feels like it’s stretching</t>
        </is>
      </c>
      <c r="C1233" t="inlineStr">
        <is>
          <t>The past few days when I look out of the corner of my eye or roll my eyes, just my right eye feels like the back of it is stretching. Is this a cause for concern?</t>
        </is>
      </c>
      <c r="D1233" t="n">
        <v>1</v>
      </c>
      <c r="E1233" t="n">
        <v>1</v>
      </c>
      <c r="F1233">
        <f>HYPERLINK("https://www.reddit.com/r/eyetriage/comments/ex25iv/eye_feels_like_its_stretching/")</f>
        <v/>
      </c>
      <c r="G1233" t="inlineStr">
        <is>
          <t>2020-01-31 22:38:43</t>
        </is>
      </c>
      <c r="H1233" t="inlineStr"/>
    </row>
    <row r="1234">
      <c r="A1234" t="inlineStr">
        <is>
          <t>exj403</t>
        </is>
      </c>
      <c r="B1234" t="inlineStr">
        <is>
          <t>Red Lacrimal caruncle and Plica semilunaris</t>
        </is>
      </c>
      <c r="C1234" t="inlineStr">
        <is>
          <t>Hi there! It's been about 3 months since I have been experiencing  irritation and inflammation in my right eye. I was prescribed steroid drops (FML and Flarex) which didn't seem to make much of a difference. I ended up getting some concretions removed in an attempt to reduce inflammation. This only made a slight improvement. I am still experiencing some foregin body sensation in the corner of my eye and both the lacrimal caruncle and plica semilunaris appear to be red. 
If anyone knows a little more about what this or could leave some advice I would really appreciate your input. Thanks heaps!</t>
        </is>
      </c>
      <c r="D1234" t="n">
        <v>1</v>
      </c>
      <c r="E1234" t="n">
        <v>2</v>
      </c>
      <c r="F1234">
        <f>HYPERLINK("https://www.reddit.com/r/eyetriage/comments/exj403/red_lacrimal_caruncle_and_plica_semilunaris/")</f>
        <v/>
      </c>
      <c r="G1234" t="inlineStr">
        <is>
          <t>2020-02-01 20:43:19</t>
        </is>
      </c>
      <c r="H1234" t="inlineStr"/>
    </row>
    <row r="1235">
      <c r="A1235" t="inlineStr">
        <is>
          <t>extu0m</t>
        </is>
      </c>
      <c r="B1235" t="inlineStr">
        <is>
          <t>Can someone read this prescription for me?</t>
        </is>
      </c>
      <c r="C1235" t="inlineStr">
        <is>
          <t>I used a new doctor, and this is is the first time I cannot read my prescription.  What is the sphere, cylinder, axis for the right eye and left eye?
I know the top is right and bottom is left, but the right doesn't look like it's got a cylinder and I don't think that's right.
Also, what's the + 150 on the bottom?
[https://imgur.com/kjfl9RW](https://imgur.com/kjfl9RW)
TIA</t>
        </is>
      </c>
      <c r="D1235" t="n">
        <v>1</v>
      </c>
      <c r="E1235" t="n">
        <v>1</v>
      </c>
      <c r="F1235">
        <f>HYPERLINK("https://www.reddit.com/r/eyetriage/comments/extu0m/can_someone_read_this_prescription_for_me/")</f>
        <v/>
      </c>
      <c r="G1235" t="inlineStr">
        <is>
          <t>2020-02-02 11:40:39</t>
        </is>
      </c>
      <c r="H1235" t="inlineStr"/>
    </row>
    <row r="1236">
      <c r="A1236" t="inlineStr">
        <is>
          <t>ey343v</t>
        </is>
      </c>
      <c r="B1236" t="inlineStr">
        <is>
          <t>questions about CENDO TIMOL 0,5% eye drops</t>
        </is>
      </c>
      <c r="C1236" t="inlineStr">
        <is>
          <t>hey!
so i've been diagnosed with early glaucoma and my doctor presribed me Timol,
my question is, is it safe to consume alcohol after 7 hours after?</t>
        </is>
      </c>
      <c r="D1236" t="n">
        <v>1</v>
      </c>
      <c r="E1236" t="n">
        <v>3</v>
      </c>
      <c r="F1236">
        <f>HYPERLINK("https://www.reddit.com/r/eyetriage/comments/ey343v/questions_about_cendo_timol_05_eye_drops/")</f>
        <v/>
      </c>
      <c r="G1236" t="inlineStr">
        <is>
          <t>2020-02-02 22:58:17</t>
        </is>
      </c>
      <c r="H1236" t="inlineStr"/>
    </row>
    <row r="1237">
      <c r="A1237" t="inlineStr">
        <is>
          <t>ey5t7o</t>
        </is>
      </c>
      <c r="B1237" t="inlineStr">
        <is>
          <t>Solar retinal damage?</t>
        </is>
      </c>
      <c r="C1237" t="inlineStr">
        <is>
          <t>So the issue started when it was extremely sunny where I live and everywhere I go the sun is bouncing off cars, buildings, glass etc to the point that there is sun glare nearly everywhere you look outside. I started to become really aware of how the glare and where the sun was that I would keep trying to avoid looking in those directions, often looking down a lot of the time which is strange because I've never done so before. When I'm in the car and driving down the road I notice the sun in my peripheral vision and it bugs me because I didn't used to see it or notice it before and I worry about damaging my eyes. The reason why I've been so concerned is because my vision has been worsening, I was at a -3.75 in both eyes but I can tell my vision has become blurrier and when I went to the opticians they upped my prescriptions (twice at two appointments 2 months apart), they said my retina looks healthy but they didn't do a dilated exam or anything.
So am I just being paranoid about looking at sun glare and seeing the sun in my peripheral? Or is this some weird bad habit I've developed where I keep noticing and looking at glare/the sun?</t>
        </is>
      </c>
      <c r="D1237" t="n">
        <v>1</v>
      </c>
      <c r="E1237" t="n">
        <v>5</v>
      </c>
      <c r="F1237">
        <f>HYPERLINK("https://www.reddit.com/r/eyetriage/comments/ey5t7o/solar_retinal_damage/")</f>
        <v/>
      </c>
      <c r="G1237" t="inlineStr">
        <is>
          <t>2020-02-03 03:29:15</t>
        </is>
      </c>
      <c r="H1237" t="inlineStr"/>
    </row>
    <row r="1238">
      <c r="A1238" t="inlineStr">
        <is>
          <t>eyclg8</t>
        </is>
      </c>
      <c r="B1238" t="inlineStr">
        <is>
          <t>Medically induced hyperthyroid, strabismus surgery. Sorry, back story is kind of long.</t>
        </is>
      </c>
      <c r="C1238" t="inlineStr">
        <is>
          <t>I'm a 59 year old female with hypothyroidism, had cataract surgery in 2017 and have been kept hyperthyroid with meds for the last few (3-4) years.  I think they kept me hyper hoping I'd lose weight.  My endo said as long as I wasn't having heart problems he'd keep me there.
For the last year to year and a half, I've been having double vision (distance only) and have had trouble moving my eyes; for example it's difficult for me to look around a store without moving my body -- can't just move my eyes -- my eyes feel stiff.  Both were getting progressively worse.
I've been seeing an optometrist and have tried prisms -- didn't work and then I was moved to a ophthalmologist who wants to do eye muscle surgery.
I had labs done for my endo at the end of December and saw that I was still hyperthyroid and decided to do some research to determine if the hyperthyroid could cause my eye problems and it looked like it could, so I reduced my thyroid medication on 12.29.2019 with the approval of my endo.  My vision is improving, I still have some distance double vision and it's hard for me to look straight ahead at times, especially if it's bright.  The eye stiffness has made a drastic improvement. 
I know I'm improving, but the ophthalmologist said (through his nurse) the thyroid eye problem has nothing to do with the eye muscle surgery and he wants to go ahead with the surgery.  I've pushed it off for a month.
I've read I should not have eye muscle surgery until the swelling in my eyes is gone.  How will I know when that happens?  I wonder if this is as good as my eyes will get -- did I cause damage by continuing hyperthyroid for so long and should I just go ahead and have the eye muscle surgery?
One other thing, it seems my double vision is worse after wearing my bi-focals or reading glasses.  Just seems like it takes my eyes a while to adjust.  Do you think that will go away once my eyes return to normal?
Thank you for any insights you may have.</t>
        </is>
      </c>
      <c r="D1238" t="n">
        <v>1</v>
      </c>
      <c r="E1238" t="n">
        <v>4</v>
      </c>
      <c r="F1238">
        <f>HYPERLINK("https://www.reddit.com/r/eyetriage/comments/eyclg8/medically_induced_hyperthyroid_strabismus_surgery/")</f>
        <v/>
      </c>
      <c r="G1238" t="inlineStr">
        <is>
          <t>2020-02-03 11:43:47</t>
        </is>
      </c>
      <c r="H1238" t="inlineStr"/>
    </row>
    <row r="1239">
      <c r="A1239" t="inlineStr">
        <is>
          <t>eyducw</t>
        </is>
      </c>
      <c r="B1239" t="inlineStr">
        <is>
          <t>Oral Bay</t>
        </is>
      </c>
      <c r="C1239" t="inlineStr">
        <is>
          <t>Does anybody know what the term oral bay is in relation to ophthalmology?</t>
        </is>
      </c>
      <c r="D1239" t="n">
        <v>1</v>
      </c>
      <c r="E1239" t="n">
        <v>15</v>
      </c>
      <c r="F1239">
        <f>HYPERLINK("https://www.reddit.com/r/eyetriage/comments/eyducw/oral_bay/")</f>
        <v/>
      </c>
      <c r="G1239" t="inlineStr">
        <is>
          <t>2020-02-03 12:59:34</t>
        </is>
      </c>
      <c r="H1239" t="inlineStr"/>
    </row>
    <row r="1240">
      <c r="A1240" t="inlineStr">
        <is>
          <t>eyea9g</t>
        </is>
      </c>
      <c r="B1240" t="inlineStr">
        <is>
          <t>Blurry vision remains after exam</t>
        </is>
      </c>
      <c r="C1240" t="inlineStr">
        <is>
          <t xml:space="preserve"> Hi! 62 yo male, left eye issue started with a floater and what appeared to be a hair I had to brush away during day in peripheral vision, this "hair" became a occasional bright flash in low light conditions, vision fine otherwise, do not wear glasses. Assumed vitreous detachment. Ophthalmologist put in numbing drops and dilating drops, dilated 2x more so it was close to an hour before getting in the chair. Exam was painful, typically not. Typical blurred vision after dilation, which never went away, now my near vision is gone, significant blur at "top right corner" near nose, gradually less blurred as it comes down to lower left. Went back and he said it is indicative of early glaucoma but can't explain why it occurred during exam. Pressures were 22. Went to retina specialist recommended by Ophtho, who called him, and no joy. Offered no explanation. I guess I do not even care what happened at this point, just want to know if there is a resolution. Absolutely happened during the exam.</t>
        </is>
      </c>
      <c r="D1240" t="n">
        <v>1</v>
      </c>
      <c r="E1240" t="n">
        <v>2</v>
      </c>
      <c r="F1240">
        <f>HYPERLINK("https://www.reddit.com/r/eyetriage/comments/eyea9g/blurry_vision_remains_after_exam/")</f>
        <v/>
      </c>
      <c r="G1240" t="inlineStr">
        <is>
          <t>2020-02-03 13:26:07</t>
        </is>
      </c>
      <c r="H1240" t="inlineStr"/>
    </row>
    <row r="1241">
      <c r="A1241" t="inlineStr">
        <is>
          <t>eyk5r3</t>
        </is>
      </c>
      <c r="B1241" t="inlineStr">
        <is>
          <t>Sudden eye ache and constant after images</t>
        </is>
      </c>
      <c r="C1241" t="inlineStr">
        <is>
          <t>I haven’t been able to get a solid answer anywhere. I’ve seen an ophthalmologist and an optometrist who looked at my eyes and saw nothing wrong at all with them. About 3 Monday’s ago, my eyes started to suddenly ache all the time, and I also started to notice that I saw afterimages of almost everything. I know what normal afterimages are, I used to get them only with very bright lights. But now I seem to get them with everything if that makes sense? They’re most visible the brighter the object and the longer I look at it, but there’re definitely not just normal afterimages as I used to get. These can persist in my vision anywhere from 10 seconds to 5 minutes, depending on the brightness. And the brighter they are the more prominent they appear in my vision. For example, if I look at the car’s rear view mirrors in front of me for about 10 seconds, I can look up to the sky and still see them. Even if I close my eyes they’re still there, very vivid and clear. I also noticed, if the object is bright enough the afterimage is positive, if it isn’t that bright they’re negative. I couldn’t seem to explain this well enough to any of the doctors I saw, none of them really knew what I was talking about. Can someone help me???!</t>
        </is>
      </c>
      <c r="D1241" t="n">
        <v>1</v>
      </c>
      <c r="E1241" t="n">
        <v>0</v>
      </c>
      <c r="F1241">
        <f>HYPERLINK("https://www.reddit.com/r/eyetriage/comments/eyk5r3/sudden_eye_ache_and_constant_after_images/")</f>
        <v/>
      </c>
      <c r="G1241" t="inlineStr">
        <is>
          <t>2020-02-03 20:11:11</t>
        </is>
      </c>
      <c r="H1241" t="inlineStr"/>
    </row>
    <row r="1242">
      <c r="A1242" t="inlineStr">
        <is>
          <t>eypzbw</t>
        </is>
      </c>
      <c r="B1242" t="inlineStr">
        <is>
          <t>Slight difference in size of pupils after eye Injury should I be worried?</t>
        </is>
      </c>
      <c r="C1242" t="inlineStr">
        <is>
          <t>I got hit in the face with a purse. I had a black eye and swelling. I went to the er and was discharged. Recently I have noticed my pupils are different sizes. It's not dramatic but I do not remember having it before my eye Injury. The pupil of the left eye that was injured is the one that is slightly bigger. They both dilate but they are never the same size. I don't know if I'm being paranoid but when I try to cross my eyes the left eye (injured eye) will look towards my nose and slowly slide back, while the right does not move. What should I do ? I went to the er and they put drops in my eyes to dilate them and then looked at my eyes with a blue light. They also touched my eyes with some kind of tool. They reassured me not to be worried but I am still. I have a history of concussions and I don't know if that is revelant. Any input would help thank you.</t>
        </is>
      </c>
      <c r="D1242" t="n">
        <v>1</v>
      </c>
      <c r="E1242" t="n">
        <v>8</v>
      </c>
      <c r="F1242">
        <f>HYPERLINK("https://www.reddit.com/r/eyetriage/comments/eypzbw/slight_difference_in_size_of_pupils_after_eye/")</f>
        <v/>
      </c>
      <c r="G1242" t="inlineStr">
        <is>
          <t>2020-02-04 05:23:58</t>
        </is>
      </c>
      <c r="H1242" t="inlineStr"/>
    </row>
    <row r="1243">
      <c r="A1243" t="inlineStr">
        <is>
          <t>eysdr8</t>
        </is>
      </c>
      <c r="B1243" t="inlineStr">
        <is>
          <t>UPDATE: Ophthalmologist is still stumped</t>
        </is>
      </c>
      <c r="C1243" t="inlineStr">
        <is>
          <t>Update to https://www.reddit.com/r/eyetriage/comments/e5mbpp/ophthalmologist_is_stumped/
Since my last post, I haven't developed any new symptoms, but I'm still getting the occasional spot in my vision, usually lasting for about 20 seconds. I see one of these every week or two. I may have also had some that went away much faster than 20 seconds, but with something that short, it can be hard to notice before it's gone.
I had a carotid doppler, and it came back negative. I saw a retina specialist a couple of times, and she performed a fluorescein angiography on me, which was also negative. With nothing physically wrong with my eyes, she scheduled me for an MRI. I just got the results from that in, and it was also negative.
I still need to have a follow up with my retina specialist, but from our last meeting, it sounds like with anything physical ruled out, she was going to label my visual distortions as "ocular migraines" and stop looking for a cause. I was thinking about asking for a follow up with a neuro-ophthalmologist, but I'm not sure that's necessary - both my ophthalmologist and retina specialist seem to think what's going on probably isn't dangerous, so maybe I should just let it be at this point?</t>
        </is>
      </c>
      <c r="D1243" t="n">
        <v>1</v>
      </c>
      <c r="E1243" t="n">
        <v>4</v>
      </c>
      <c r="F1243">
        <f>HYPERLINK("https://www.reddit.com/r/eyetriage/comments/eysdr8/update_ophthalmologist_is_still_stumped/")</f>
        <v/>
      </c>
      <c r="G1243" t="inlineStr">
        <is>
          <t>2020-02-04 08:15:41</t>
        </is>
      </c>
      <c r="H1243" t="inlineStr"/>
    </row>
    <row r="1244">
      <c r="A1244" t="inlineStr">
        <is>
          <t>eyt80t</t>
        </is>
      </c>
      <c r="B1244" t="inlineStr">
        <is>
          <t>Blunt trauma on Right Eye , Close Globe injury..</t>
        </is>
      </c>
      <c r="C1244" t="inlineStr">
        <is>
          <t>Hi. I recently (26th January 2020) had an accident while playing Badminton. My partner blew racket which directly hit me on the eye ball. My eyelids were possibly closed since I have scratches on eye lid.
I was taken to ER where they flushed my eye and did facial CT scan snd ruled out optic nerve injury or orbital fracture. They released me after IV painkillers and asked to follow up with an Optometrist. 
I followed up with with the Optometrist the next day. He performed slit lamp test and noted blood inside my eye. To check if the the retina is not detached he performed ultrasound and found retina was intact. Further the diagnosis included
1) hyphema  (around grade 1)
2) vitreous Hemorrhage 
3) suspectible Berlins Edema
4) Spinchter Tear ( Traumatic Mydriasis)
I was put on Oral Steroid ( Wysolone 60 mg/day) and Prednisolone Eye Drops 6 times a day along with anitbiotic drops and Homatropine drops.
Im also sleeping elevated as much as possible.
It has been 10 days and my vision is still extremely blurry and hazy. (6/60 as per the test). The doctor says the blurriness is due to blood and trauma.
Im 25, healthy, non-diabetic male without any other health issues. I'm extremely tensed for my vision. Ive been through many online research papers and cases online and it tells me patience is the best healer.  I think I'll be able to cope up with someone helps me with these questions
1) is the blurry vision ( feels like looking through a frosted magnifying glass) due to the blood inside vitreous, anterior chamber?
2) are there any risk of retinal detachment in performing daliy activities ( a bit of walk, moving around )?
3) For how long should I expect my vision to return?
Any input will help me fight this. TIA.</t>
        </is>
      </c>
      <c r="D1244" t="n">
        <v>1</v>
      </c>
      <c r="E1244" t="n">
        <v>12</v>
      </c>
      <c r="F1244">
        <f>HYPERLINK("https://www.reddit.com/r/eyetriage/comments/eyt80t/blunt_trauma_on_right_eye_close_globe_injury/")</f>
        <v/>
      </c>
      <c r="G1244" t="inlineStr">
        <is>
          <t>2020-02-04 09:08:48</t>
        </is>
      </c>
      <c r="H1244" t="inlineStr"/>
    </row>
    <row r="1245">
      <c r="A1245" t="inlineStr">
        <is>
          <t>eyuhg3</t>
        </is>
      </c>
      <c r="B1245" t="inlineStr">
        <is>
          <t>Eye Lid Wash Recommendations</t>
        </is>
      </c>
      <c r="C1245" t="inlineStr">
        <is>
          <t>Hiya! I’ve recently learned these are a thing because I didn’t like using the baby soap suggested by a doctor.
I’m currently using Zocular, which was a recommendation from a girl who does eyelash extensions.
What other washes would you suggest?</t>
        </is>
      </c>
      <c r="D1245" t="n">
        <v>1</v>
      </c>
      <c r="E1245" t="n">
        <v>5</v>
      </c>
      <c r="F1245">
        <f>HYPERLINK("https://www.reddit.com/r/eyetriage/comments/eyuhg3/eye_lid_wash_recommendations/")</f>
        <v/>
      </c>
      <c r="G1245" t="inlineStr">
        <is>
          <t>2020-02-04 10:26:28</t>
        </is>
      </c>
      <c r="H1245" t="inlineStr"/>
    </row>
    <row r="1246">
      <c r="A1246" t="inlineStr">
        <is>
          <t>ez7te2</t>
        </is>
      </c>
      <c r="B1246" t="inlineStr">
        <is>
          <t>Cateracts at 21 - Denied by eye doc</t>
        </is>
      </c>
      <c r="C1246" t="inlineStr">
        <is>
          <t>So, due to an injury on my right eye I've been diagnosed with cataracts at 21. We got an appointment with an Ophthalmologist, in our neighborhood. Our area is "okay" in terms of medical professionals and getting appointments, but it's not the best. We initially planned to see more than one doctor to get more opinions. Downtown core has a lot more promising clinics and doctors, and we initially planned to go there after.
My first eye doc appointment went pretty badly. We confirmed I have a cataract on my right eye (completely cloudy and honestly blind). I mentioned to the doctor that I had eczema, and he immediately said he could not operate due to that. He told me to call him when I'm cured.... 
My skin on my face is not bad. It's not cracking or anything of the sort, it's just flush and I have pink cheeks. I am just worried at this point that cataract surgery is impossible and honestly quite scared that I'll only be able to see through one eye for a long time. (as I recently got a new job, which they accommodated me for and college starting in the summer).
Is it normal to be denied by an Ophthalmologist for this reason? Or does it depends on their expertise?</t>
        </is>
      </c>
      <c r="D1246" t="n">
        <v>1</v>
      </c>
      <c r="E1246" t="n">
        <v>12</v>
      </c>
      <c r="F1246">
        <f>HYPERLINK("https://www.reddit.com/r/eyetriage/comments/ez7te2/cateracts_at_21_denied_by_eye_doc/")</f>
        <v/>
      </c>
      <c r="G1246" t="inlineStr">
        <is>
          <t>2020-02-05 02:49:26</t>
        </is>
      </c>
      <c r="H1246" t="inlineStr"/>
    </row>
    <row r="1247">
      <c r="A1247" t="inlineStr">
        <is>
          <t>ez7yg5</t>
        </is>
      </c>
      <c r="B1247" t="inlineStr">
        <is>
          <t>Dilated Ophthalmologist appointment</t>
        </is>
      </c>
      <c r="C1247" t="inlineStr">
        <is>
          <t>Hi today I had an ophthalmologist appointment, dilated fundus. I asked about angle recession because I’ve had slight eye trauma in the past (scratch playing basketball didnt go ER healed within a few days, abrasion I believe photophobia tearing) but she said I definitely dont have it my angles look open and I couldn’t have had my pupils dilated if I did as IOP would have rose. So she didnt do gonioscopy
Just wondering if its all true as I dont know thanks</t>
        </is>
      </c>
      <c r="D1247" t="n">
        <v>1</v>
      </c>
      <c r="E1247" t="n">
        <v>13</v>
      </c>
      <c r="F1247">
        <f>HYPERLINK("https://www.reddit.com/r/eyetriage/comments/ez7yg5/dilated_ophthalmologist_appointment/")</f>
        <v/>
      </c>
      <c r="G1247" t="inlineStr">
        <is>
          <t>2020-02-05 03:03:36</t>
        </is>
      </c>
      <c r="H1247" t="inlineStr"/>
    </row>
    <row r="1248">
      <c r="A1248" t="inlineStr">
        <is>
          <t>ez9you</t>
        </is>
      </c>
      <c r="B1248" t="inlineStr">
        <is>
          <t>Follow up on SLT and thank you</t>
        </is>
      </c>
      <c r="C1248" t="inlineStr">
        <is>
          <t>I posted about a week ago having questions about the SLT procedure. You were all very kind and explained it very thoroughly for me and helped me get through it without freaking out. I just wanted to follow up and say thank you. It went very smoothly and even though I was still a little nervous, knowing what you guys had told me helped a lot!
My pressure dropped one point immediately after so I guess that’s a good sign!
I get the right eye done next week. Again thank you so much for all the good work that you do and for helping people like me who are scared!</t>
        </is>
      </c>
      <c r="D1248" t="n">
        <v>1</v>
      </c>
      <c r="E1248" t="n">
        <v>0</v>
      </c>
      <c r="F1248">
        <f>HYPERLINK("https://www.reddit.com/r/eyetriage/comments/ez9you/follow_up_on_slt_and_thank_you/")</f>
        <v/>
      </c>
      <c r="G1248" t="inlineStr">
        <is>
          <t>2020-02-05 06:00:47</t>
        </is>
      </c>
      <c r="H1248" t="inlineStr"/>
    </row>
    <row r="1249">
      <c r="A1249" t="inlineStr">
        <is>
          <t>ezd2q4</t>
        </is>
      </c>
      <c r="B1249" t="inlineStr">
        <is>
          <t>BLUNT TRAUM -Catract, Glaucoma</t>
        </is>
      </c>
      <c r="C1249" t="inlineStr">
        <is>
          <t>Id a blunt ocular trauma due to which i was diagnosed for
1) grade 1 Hyphema
2) Vetreuous Hemorrhage 
3) possible Berlins Edema
I was put on steroid ( Prednisolone) and homatropamine for 10 days. My vision waa continuously blurred from the day time of trauma.
Today id a follow up with a retina specialist. He perfomed slit lamp test and deduced that there are no retinal breaks and hemorrhage is clearing.
Im having blurred vision and he said that is due to Traumatic Cataract. Also, The RE IOP was 32 mm of Hg. 
He also performed gonioscopy and and gave me the following observations.
1. No treatable lesion or retina break.
2. Clearing vetrious and Hyphema almost gone.
3. TRAUMATIC Cataract. EARLY PSC
4. TRAUMATIC MYDRIASIS.
5. Increased IOP
The action plan is to control IOP. Following drops are prescribed.
1. Fluorometholone ( inflammation)
2. Nepafenac ( inflammation)
3.Dorzolamide ( pressure)
4.Brimonidine Tatrate + Timolol Maleate( pressure)
5. Homatropine
The doctor said that ive developed traumatic cataract due to which im having media haze. The hemorrhage is clearing but vision may get blury due to formarion of PSC.
High IOP indicates that Im prone to traumatic Glaucoma and this is one thing that is worrying me a lot. He has asked me to follow up in 2 days to check if pressure is coming under control.  He cleared that Ive not  developed Glaucoma yet but the risk associated is high
Im having follw up day afyer tomorrow now to check if the pressure is reduced.
Please help me with these queries since it's difficult to cope up with this stress full situation
1) is it possible that steroid use( Prednisolone 6 times/day + Wysolone 60mg/day ) for 10 days might have initiated this PSC Cataract?
2) The doctor didnt talk anything regarding Angle recession/ angle closure. Although he did genioscopy but didn't provide any inputs. Does his prescription put any lights that I may have developed Glaucoma like conditions?
3) Is the blurry vision only due to Cataract now? Since retina is stable, vitreous is clearing, hyphema is minimal. 
4) Any other remedies that might keep the IOP in check. 
Thanks in advance</t>
        </is>
      </c>
      <c r="D1249" t="n">
        <v>1</v>
      </c>
      <c r="E1249" t="n">
        <v>7</v>
      </c>
      <c r="F1249">
        <f>HYPERLINK("https://www.reddit.com/r/eyetriage/comments/ezd2q4/blunt_traum_catract_glaucoma/")</f>
        <v/>
      </c>
      <c r="G1249" t="inlineStr">
        <is>
          <t>2020-02-05 09:32:23</t>
        </is>
      </c>
      <c r="H1249" t="inlineStr"/>
    </row>
    <row r="1250">
      <c r="A1250" t="inlineStr">
        <is>
          <t>eze1zh</t>
        </is>
      </c>
      <c r="B1250" t="inlineStr">
        <is>
          <t>Blunt trauma</t>
        </is>
      </c>
      <c r="C1250" t="inlineStr">
        <is>
          <t>Hi, my one year old was climbing on me while laying down and kicked me square in my open eyeball. I have a family medical appt later today get checked out but any suggestions for the meantime? Thx</t>
        </is>
      </c>
      <c r="D1250" t="n">
        <v>1</v>
      </c>
      <c r="E1250" t="n">
        <v>8</v>
      </c>
      <c r="F1250">
        <f>HYPERLINK("https://www.reddit.com/r/eyetriage/comments/eze1zh/blunt_trauma/")</f>
        <v/>
      </c>
      <c r="G1250" t="inlineStr">
        <is>
          <t>2020-02-05 10:35:56</t>
        </is>
      </c>
      <c r="H1250" t="inlineStr"/>
    </row>
    <row r="1251">
      <c r="A1251" t="inlineStr">
        <is>
          <t>ezjjpn</t>
        </is>
      </c>
      <c r="B1251" t="inlineStr">
        <is>
          <t>Redness that just wont go away</t>
        </is>
      </c>
      <c r="C1251" t="inlineStr">
        <is>
          <t>So a couple months ago i realized that my eye was red with visible veins and my conjunctiva(inside the eyelids) were red. I made an appointment with an ophtalmologist and he checked my eye pressure, optic nerve etc. And said i have a normal healthy eye and this is just allergies. And he gave me two drops a steroid one and a polyvinil alcohol one. I took them and after a week and no change i went back and he gave me some ointments and then i had to travel and i have used them all but still no change. I have no pain or anything but my sclera and conjunctiva are really red and you can see all the veins. What should i do? Why doesnt it go away already?</t>
        </is>
      </c>
      <c r="D1251" t="n">
        <v>1</v>
      </c>
      <c r="E1251" t="n">
        <v>1</v>
      </c>
      <c r="F1251">
        <f>HYPERLINK("https://www.reddit.com/r/eyetriage/comments/ezjjpn/redness_that_just_wont_go_away/")</f>
        <v/>
      </c>
      <c r="G1251" t="inlineStr">
        <is>
          <t>2020-02-05 16:25:24</t>
        </is>
      </c>
      <c r="H1251" t="inlineStr"/>
    </row>
    <row r="1252">
      <c r="A1252" t="inlineStr">
        <is>
          <t>ezmva4</t>
        </is>
      </c>
      <c r="B1252" t="inlineStr">
        <is>
          <t>Can anyone help put my mind at ease?</t>
        </is>
      </c>
      <c r="C1252" t="inlineStr">
        <is>
          <t>My father (55) woke up Monday without vision in one eye. He's been going to work, and he's seen a doctor who told him he has an abnormally large cataract in one eye. The doctor said there might be something else going on, but you can't know until the surgery. The surgery won't be for another week. 
In the meantime, has anyone seen something similar in any respect? It was complete loss of vision in one eye overnight, it's not like it got gradually worse. If anyone's seen or been through something similar, I'd love to hear how it turned out, for better or worse. Perhaps it will help me stress a bit less over this. Thanks so much in advance!</t>
        </is>
      </c>
      <c r="D1252" t="n">
        <v>1</v>
      </c>
      <c r="E1252" t="n">
        <v>7</v>
      </c>
      <c r="F1252">
        <f>HYPERLINK("https://www.reddit.com/r/eyetriage/comments/ezmva4/can_anyone_help_put_my_mind_at_ease/")</f>
        <v/>
      </c>
      <c r="G1252" t="inlineStr">
        <is>
          <t>2020-02-05 20:34:12</t>
        </is>
      </c>
      <c r="H1252" t="inlineStr"/>
    </row>
    <row r="1253">
      <c r="A1253" t="inlineStr">
        <is>
          <t>ezn806</t>
        </is>
      </c>
      <c r="B1253" t="inlineStr">
        <is>
          <t>Can lightbulbs damage your eyes?</t>
        </is>
      </c>
      <c r="C1253" t="inlineStr">
        <is>
          <t>This is more of a question out of curiosity, but can there be any long term damage from photo bleaching associated with LEDs? I’m assuming probably not, but I figured I would ask anyway.</t>
        </is>
      </c>
      <c r="D1253" t="n">
        <v>1</v>
      </c>
      <c r="E1253" t="n">
        <v>2</v>
      </c>
      <c r="F1253">
        <f>HYPERLINK("https://www.reddit.com/r/eyetriage/comments/ezn806/can_lightbulbs_damage_your_eyes/")</f>
        <v/>
      </c>
      <c r="G1253" t="inlineStr">
        <is>
          <t>2020-02-05 21:04:05</t>
        </is>
      </c>
      <c r="H1253" t="inlineStr"/>
    </row>
    <row r="1254">
      <c r="A1254" t="inlineStr">
        <is>
          <t>ezw7nd</t>
        </is>
      </c>
      <c r="B1254" t="inlineStr">
        <is>
          <t>Can photobleaching from incandescent lightbulbs damage your eyesight?</t>
        </is>
      </c>
      <c r="C1254" t="inlineStr">
        <is>
          <t>I assume they cannot, but I’m curious nonetheless.</t>
        </is>
      </c>
      <c r="D1254" t="n">
        <v>1</v>
      </c>
      <c r="E1254" t="n">
        <v>4</v>
      </c>
      <c r="F1254">
        <f>HYPERLINK("https://www.reddit.com/r/eyetriage/comments/ezw7nd/can_photobleaching_from_incandescent_lightbulbs/")</f>
        <v/>
      </c>
      <c r="G1254" t="inlineStr">
        <is>
          <t>2020-02-06 10:06:10</t>
        </is>
      </c>
      <c r="H1254" t="inlineStr"/>
    </row>
    <row r="1255">
      <c r="A1255" t="inlineStr">
        <is>
          <t>f016n9</t>
        </is>
      </c>
      <c r="B1255" t="inlineStr">
        <is>
          <t>Ophthalmologists, what’s your experiences with treating acanthamoeba keratitis?</t>
        </is>
      </c>
      <c r="C1255" t="inlineStr">
        <is>
          <t>Doctor thinks I have it, but just got cultured for bacterial, HSV, fungal and amoeba, she’s leaning towards amoeba.
The pain and discomfort wasn’t excruciating and still isn’t, so I’m hopeful I don’t have an extreme case. How many people realistically go blind in the affected eye from this? What’s treatment like? Will I be out of work for a while? (Desk job with laptop) 
I’m at a top 12 hospital in the US for ophthalmology and plan on doing whatever it takes to preserve my eyesight. But I just wanna manage expectations</t>
        </is>
      </c>
      <c r="D1255" t="n">
        <v>1</v>
      </c>
      <c r="E1255" t="n">
        <v>4</v>
      </c>
      <c r="F1255">
        <f>HYPERLINK("https://www.reddit.com/r/eyetriage/comments/f016n9/ophthalmologists_whats_your_experiences_with/")</f>
        <v/>
      </c>
      <c r="G1255" t="inlineStr">
        <is>
          <t>2020-02-06 15:22:48</t>
        </is>
      </c>
      <c r="H1255" t="inlineStr"/>
    </row>
    <row r="1256">
      <c r="A1256" t="inlineStr">
        <is>
          <t>f03eug</t>
        </is>
      </c>
      <c r="B1256" t="inlineStr">
        <is>
          <t>This contact lenses are good ?</t>
        </is>
      </c>
      <c r="C1256" t="inlineStr">
        <is>
          <t>Hi,
I bought a cheap contact lenses 1 month ago and lately I’ve feeling my eyes uncomfortable:
http://neovision-hk.com/eng/p3.asp?ItemClass1=Neo+月拋&amp;amp;ItemClass2=NEO+Clean+UV55
I bought em here in Chile but those are from Korea
My eye’s formulate are:
Right eye : -2.00 Left eye: -2.25
Please help me I’m afraid to become blind 😢!! I’ve been experiencing like a rainbow around the lights 😭</t>
        </is>
      </c>
      <c r="D1256" t="n">
        <v>1</v>
      </c>
      <c r="E1256" t="n">
        <v>2</v>
      </c>
      <c r="F1256">
        <f>HYPERLINK("https://www.reddit.com/r/eyetriage/comments/f03eug/this_contact_lenses_are_good/")</f>
        <v/>
      </c>
      <c r="G1256" t="inlineStr">
        <is>
          <t>2020-02-06 18:05:00</t>
        </is>
      </c>
      <c r="H1256" t="inlineStr"/>
    </row>
    <row r="1257">
      <c r="A1257" t="inlineStr">
        <is>
          <t>f0asxv</t>
        </is>
      </c>
      <c r="B1257" t="inlineStr">
        <is>
          <t>Forgot my glasses - need one from the pharmacy</t>
        </is>
      </c>
      <c r="C1257" t="inlineStr">
        <is>
          <t>Hi everyone. 
So, I forgot my glasses at home and my rx is pretty low... but it does make a difference for me.   
I have + 0.5, -075 (astigmatism). 
Is there a pharmacy option that could be helpful?</t>
        </is>
      </c>
      <c r="D1257" t="n">
        <v>1</v>
      </c>
      <c r="E1257" t="n">
        <v>8</v>
      </c>
      <c r="F1257">
        <f>HYPERLINK("https://www.reddit.com/r/eyetriage/comments/f0asxv/forgot_my_glasses_need_one_from_the_pharmacy/")</f>
        <v/>
      </c>
      <c r="G1257" t="inlineStr">
        <is>
          <t>2020-02-07 05:56:00</t>
        </is>
      </c>
      <c r="H1257" t="inlineStr"/>
    </row>
    <row r="1258">
      <c r="A1258" t="inlineStr">
        <is>
          <t>f0bsvn</t>
        </is>
      </c>
      <c r="B1258" t="inlineStr">
        <is>
          <t>cataracts surgery questions</t>
        </is>
      </c>
      <c r="C1258" t="inlineStr">
        <is>
          <t>hey everyone! i'm 23 years old and i was recently diagnosed with cataracts in my right eye. cause is unknown - not genetic as nobody else in my family has it, and i'm not sure if it's possible that i was born with it and only now got it diagnosed? i did start noticing it a while after taking accutane for two months which lists cataracts as a very rare side effect, but who knows.
i'm set for surgery in a week, it's very mature cataracts apparently so my doctor greatly expedited the process, and i've been warned that my chances for complications are higher. mostly i'm just worried about the process itself since i have no idea what to expect, and knowing that i'll be awake the whole time is super strange to try to picture, so it would be great to hear any first hand experiences.
i'm assuming i won't be able to feel anything during the surgery, with the local anesthesia, but - am i going to be able to s*ee* what's happening? how does one sit there for 40ish minutes, keeping their eyes open, unmoving and unblinking?? not just psychologically, but physically, how does that even work?? i'm having a really hard time wrapping my head around it and the uncertainty is terrible for my anxiety lmao. please, if you have anything to share, go into as much detail as possible, i'm the kind of person who has to know what they're getting into. anything is appreciated honestly. thank you!</t>
        </is>
      </c>
      <c r="D1258" t="n">
        <v>1</v>
      </c>
      <c r="E1258" t="n">
        <v>22</v>
      </c>
      <c r="F1258">
        <f>HYPERLINK("https://www.reddit.com/r/eyetriage/comments/f0bsvn/cataracts_surgery_questions/")</f>
        <v/>
      </c>
      <c r="G1258" t="inlineStr">
        <is>
          <t>2020-02-07 07:15:28</t>
        </is>
      </c>
      <c r="H1258" t="inlineStr"/>
    </row>
    <row r="1259">
      <c r="A1259" t="inlineStr">
        <is>
          <t>f0cfln</t>
        </is>
      </c>
      <c r="B1259" t="inlineStr">
        <is>
          <t>Serious question</t>
        </is>
      </c>
      <c r="C1259" t="inlineStr">
        <is>
          <t>Eye doctors, nurses or ophthalmologists/anyone who can answer my question and help, please help. Lately I've been waking up on my back facing the ceiling, and when I open my eyes, for a split second and sometimes longer all I can see is a white background and black lines. The best way I can describe it is sometimes hexagonal lines, sometimes it looks like black blood vessels. My ceiling is white, yes, but I have the white "popcorn" ceiling and I cant see any of the bumps or anything else when I'm in this state of vision. Then it goes away and my vision is back to normal. Even if I close my eyes for a bit and look up during the day, I wont see it again. Only when I wake up in the morning. Happy to answer any questions to figure this out. Thank you</t>
        </is>
      </c>
      <c r="D1259" t="n">
        <v>1</v>
      </c>
      <c r="E1259" t="n">
        <v>7</v>
      </c>
      <c r="F1259">
        <f>HYPERLINK("https://www.reddit.com/r/eyetriage/comments/f0cfln/serious_question/")</f>
        <v/>
      </c>
      <c r="G1259" t="inlineStr">
        <is>
          <t>2020-02-07 08:00:32</t>
        </is>
      </c>
      <c r="H1259" t="inlineStr"/>
    </row>
    <row r="1260">
      <c r="A1260" t="inlineStr">
        <is>
          <t>f0dp3c</t>
        </is>
      </c>
      <c r="B1260" t="inlineStr">
        <is>
          <t>More tears in left eye</t>
        </is>
      </c>
      <c r="C1260" t="inlineStr">
        <is>
          <t>Lately whenever I cry/yawn, I have noticed that I have significantly more tears on my left eye than in my right. Why is this so, and how can I fix it?</t>
        </is>
      </c>
      <c r="D1260" t="n">
        <v>1</v>
      </c>
      <c r="E1260" t="n">
        <v>2</v>
      </c>
      <c r="F1260">
        <f>HYPERLINK("https://www.reddit.com/r/eyetriage/comments/f0dp3c/more_tears_in_left_eye/")</f>
        <v/>
      </c>
      <c r="G1260" t="inlineStr">
        <is>
          <t>2020-02-07 09:26:46</t>
        </is>
      </c>
      <c r="H1260" t="inlineStr"/>
    </row>
    <row r="1261">
      <c r="A1261" t="inlineStr">
        <is>
          <t>f0lyho</t>
        </is>
      </c>
      <c r="B1261" t="inlineStr">
        <is>
          <t>Red eye since 2 months. Cause of major anxiety.</t>
        </is>
      </c>
      <c r="C1261" t="inlineStr">
        <is>
          <t>Hey. So a little background: I have been wearing glasses since 15+ years and recently started wearing contacts. My eye power is -7.5(L) and -7(R). I am not used to wearing contacts so it always used to tear me up everytime I tried to wear it. One day I was trying to put them in and it went in perfectly in the right eye but I was having a little trouble putting it in the left eye so I kept trying for 10 mins. The lens fell down on the ground a number of times but I only tried to put it after washing it with the contacts solution. I managed to put it in in the end but the lower part of my left eye has been red ever since. It's been 2 months. I have gone to 4 doctors till now and all of them have given me different eye drops but nothing seems to cure it. The red eye goes away once I put the drops but keeps coming back after I stop using it. There's no other issue such as itching or pain in the eye. It's just red. None of the doctors seem to figure out why and they're not taking the issue seriously. I'm getting a lot of anxiety because of this. Will it always be red? Will I never be able to wear contacts again?</t>
        </is>
      </c>
      <c r="D1261" t="n">
        <v>1</v>
      </c>
      <c r="E1261" t="n">
        <v>4</v>
      </c>
      <c r="F1261">
        <f>HYPERLINK("https://www.reddit.com/r/eyetriage/comments/f0lyho/red_eye_since_2_months_cause_of_major_anxiety/")</f>
        <v/>
      </c>
      <c r="G1261" t="inlineStr">
        <is>
          <t>2020-02-07 19:34:09</t>
        </is>
      </c>
      <c r="H1261" t="inlineStr"/>
    </row>
    <row r="1262">
      <c r="A1262" t="inlineStr">
        <is>
          <t>f12jt3</t>
        </is>
      </c>
      <c r="B1262" t="inlineStr">
        <is>
          <t>Week of eye pain whenever I look sideways or up</t>
        </is>
      </c>
      <c r="C1262" t="inlineStr">
        <is>
          <t>Hi all, I have had eye pain for over a week, and I did see a doctor, he figured it might have been my sinuses (despite no other sinus symptoms) so he told me to take Sudafed, and prescribed me antibiotics if it wasn't improving. Welp. No improvements, in fact there seems the vision in my right eye may have got worse, there is a weird floaty (like something you would see after looking into the light). Left eye still good, still got pain though. And if I do touch them, or lay face first, there is pain.
My plan is to call to see an opthalmologist Monday if possible, any ideas for relief, or what it might be??</t>
        </is>
      </c>
      <c r="D1262" t="n">
        <v>1</v>
      </c>
      <c r="E1262" t="n">
        <v>5</v>
      </c>
      <c r="F1262">
        <f>HYPERLINK("https://www.reddit.com/r/eyetriage/comments/f12jt3/week_of_eye_pain_whenever_i_look_sideways_or_up/")</f>
        <v/>
      </c>
      <c r="G1262" t="inlineStr">
        <is>
          <t>2020-02-08 19:02:53</t>
        </is>
      </c>
      <c r="H1262" t="inlineStr"/>
    </row>
    <row r="1263">
      <c r="A1263" t="inlineStr">
        <is>
          <t>f13p7o</t>
        </is>
      </c>
      <c r="B1263" t="inlineStr">
        <is>
          <t>Evisceration or Enucleation</t>
        </is>
      </c>
      <c r="C1263" t="inlineStr">
        <is>
          <t>My Dad is 92, with a host of eye issues, including glaucoma and dry macular degeneration.  Two years ago, he got shingles in both eyes, and it destroyed most of the vision in his left eye and big decrease in vision in his right.  Last year, the pressure in his left eye was so high for so long, that a chemical enucleation was done to kill the optic nerve.  A few months ago, he got another infection in his left eye that caused a corneal ulcer.  He has been doctoring for that and it seemed to be healing nicely.  But the ulcer was deeper than originally thought.
Friday morning, around 2 am, his cornea ruptured.  He was in terrible pain until we got him to ER for pain control, prior to surgery to patch his cornea.  Now he has to either have an evisceration or an enucleation early next week.
Here’s the problem:  he’s 92.  His immune system is shot.  His eyes seem to be his Achilles Heel.  His ophthalmologist is leaning toward evisceration, but said he will still be susceptible to more infections. So he might end up with an enucleation anyway.  Plus, he would have a prosthesis to put in (and clean), which he would be unable to do.  
So, would it be better to have it all removed?  Then it would be over.  No going out without the prothesis.   He also has Parkinson’s and chronic lumbar pain.  These surgeries are really rough on him, and throw him into a few days of dementia.
I’m obviously not looking for a diagnosis,  just a general opinion.  This is unknown territory for us, and it’s scary.</t>
        </is>
      </c>
      <c r="D1263" t="n">
        <v>1</v>
      </c>
      <c r="E1263" t="n">
        <v>7</v>
      </c>
      <c r="F1263">
        <f>HYPERLINK("https://www.reddit.com/r/eyetriage/comments/f13p7o/evisceration_or_enucleation/")</f>
        <v/>
      </c>
      <c r="G1263" t="inlineStr">
        <is>
          <t>2020-02-08 20:37:49</t>
        </is>
      </c>
      <c r="H1263" t="inlineStr"/>
    </row>
    <row r="1264">
      <c r="A1264" t="inlineStr">
        <is>
          <t>f13xj6</t>
        </is>
      </c>
      <c r="B1264" t="inlineStr">
        <is>
          <t>Push/Rub eyes = white lights?</t>
        </is>
      </c>
      <c r="C1264" t="inlineStr">
        <is>
          <t>I noticed when I close by eyes and rub my eye area, I see little flashes or white lights. 
For example, if I rub the outer side of my right eyeball while it’s closed, I see a white light/flash on the inner part of my right eye. 
If I rub the other side of my left eyeball while it’s closed, I see a white light/flash on the inter part of my left eye. 
Why does this happen and is it normal?</t>
        </is>
      </c>
      <c r="D1264" t="n">
        <v>1</v>
      </c>
      <c r="E1264" t="n">
        <v>1</v>
      </c>
      <c r="F1264">
        <f>HYPERLINK("https://www.reddit.com/r/eyetriage/comments/f13xj6/pushrub_eyes_white_lights/")</f>
        <v/>
      </c>
      <c r="G1264" t="inlineStr">
        <is>
          <t>2020-02-08 20:59:16</t>
        </is>
      </c>
      <c r="H1264" t="inlineStr"/>
    </row>
    <row r="1265">
      <c r="A1265" t="inlineStr">
        <is>
          <t>f1fuqo</t>
        </is>
      </c>
      <c r="B1265" t="inlineStr">
        <is>
          <t>Cataract Surgery in my 30s, Afraid about IOL longevity due to "Glistening" risks</t>
        </is>
      </c>
      <c r="C1265" t="inlineStr">
        <is>
          <t>Short: is AcrySof IQ Toric suited as IOL for a younger cataract patient with Glaucoma, due to possible high Glistening Rate? What would be better alternatives? 
&amp;amp;#x200B;
I am 39, male, living in Europe, Poland, have Retinitis Pigmentosa (&amp;lt;10° FoV left), Glaucoma, Astigmatism (\[R: Cyl= -1.49D axis=18°; L: -0.69D/12°\]([https://imgur.com/a/1eK4xKC](https://imgur.com/a/1eK4xKC))) and on top of that Cataract in both eyes.
Cataract surgery for my right eye has been scheduled for later this month and the doctor selected "AcrySof IQ Toric 22D" as the IOL. 
Now my issue: while researching online, I have been severely discouraged from this particular model (AcrySof), as it has a high rate of "Glistening" (as I understand, this means that with time the material of the lens captures microscopic amounts of fluid, leading to stray light/glare and possibly requirement to explant/replace after longterm use). 
As I'm (fairly) young and such a lens would, therefore theoretically have to remain functional for decades, I'd prefer to limit the chance of Glistening. Among other factors, there also seems to be study-supported "significant association between the increase of glistenings and the number of topical glaucoma medication that the patient instilled on a daily basis." - which for me is an additional reason for caution.
Are my concerns valid or exaggerated? Are there any toric monofocal IOLs worth recommending, that are known to be stable in terms of dislocation/rotation, glistening and possible other shortcomings? E.g. enVision or Tecnis?
The closer I get to surgery and the more I read, the more anxious and unsettled I feel...</t>
        </is>
      </c>
      <c r="D1265" t="n">
        <v>1</v>
      </c>
      <c r="E1265" t="n">
        <v>52</v>
      </c>
      <c r="F1265">
        <f>HYPERLINK("https://www.reddit.com/r/eyetriage/comments/f1fuqo/cataract_surgery_in_my_30s_afraid_about_iol/")</f>
        <v/>
      </c>
      <c r="G1265" t="inlineStr">
        <is>
          <t>2020-02-09 13:56:23</t>
        </is>
      </c>
      <c r="H1265" t="inlineStr"/>
    </row>
    <row r="1266">
      <c r="A1266" t="inlineStr">
        <is>
          <t>f1olnr</t>
        </is>
      </c>
      <c r="B1266" t="inlineStr">
        <is>
          <t>I see a spot when I'm trying to sleep.</t>
        </is>
      </c>
      <c r="C1266" t="inlineStr">
        <is>
          <t>It's very much like what you'd see if you were flashed with a bright light then closed your eyes.  That after image.  It's one spot that takes up roughly 5% of my vision.  Sometimes it kinda looks burned/more orange/red.
It usually occurs as I'm trying to get to sleep, or after I have woken up.  I don't notice it during daytime hours (when I'm awake).
I've went to the eye doctor and they honestly treated me like shit.  Completely disregarded that I was there specifically for this complaint, did a standard eye exam, then sent me on my way.  So I still do not have answers.  I did ask them several times what it  could be and was ignored...
I'm just looking for info on what it could be.  I know I need to find another eye doctor that'll actually do his job.</t>
        </is>
      </c>
      <c r="D1266" t="n">
        <v>1</v>
      </c>
      <c r="E1266" t="n">
        <v>1</v>
      </c>
      <c r="F1266">
        <f>HYPERLINK("https://www.reddit.com/r/eyetriage/comments/f1olnr/i_see_a_spot_when_im_trying_to_sleep/")</f>
        <v/>
      </c>
      <c r="G1266" t="inlineStr">
        <is>
          <t>2020-02-10 02:44:20</t>
        </is>
      </c>
      <c r="H1266" t="inlineStr"/>
    </row>
    <row r="1267">
      <c r="A1267" t="inlineStr">
        <is>
          <t>f1v3k7</t>
        </is>
      </c>
      <c r="B1267" t="inlineStr">
        <is>
          <t>"Black holes" when I close my eyes.</t>
        </is>
      </c>
      <c r="C1267" t="inlineStr">
        <is>
          <t>I'm 30 yo, 155lbs, and male. I recently had eye trauma when I mistakenly looked into a DJ RGB Laser machine (class 3B rating) for about 1.5 seconds while performing. The laser trauma occured on October 4th, 2019. No previous eye problems other than being near-sighted.
So my opthalmologist said my eyes were okay, but if I see a lot of floaters suddenly, to call them. I have what forms a triangle in my angle with black dots. One black dot is in my central vision. Lately, I have been noticing a ring when I open my eyes (a retinopathy I presume). Both eyes are floaters that look like wrinkles rather than dots. I have poor night vision these days. The black dot in my central vision is extremely bothersome, but it goes out of focus when I look to my right and back.
I don't know if I noticed this before, but when I close my eyes, I'll see black holes, or black blotches. They go across my vision, and then disappear.
I take lutein supplements, and I rarely consume alcohol (~6 times per year). Is this something to be concerned about? Should I seek a second opinion about my eyes?</t>
        </is>
      </c>
      <c r="D1267" t="n">
        <v>1</v>
      </c>
      <c r="E1267" t="n">
        <v>0</v>
      </c>
      <c r="F1267">
        <f>HYPERLINK("https://www.reddit.com/r/eyetriage/comments/f1v3k7/black_holes_when_i_close_my_eyes/")</f>
        <v/>
      </c>
      <c r="G1267" t="inlineStr">
        <is>
          <t>2020-02-10 11:08:04</t>
        </is>
      </c>
      <c r="H1267" t="inlineStr"/>
    </row>
    <row r="1268">
      <c r="A1268" t="inlineStr">
        <is>
          <t>f1x08p</t>
        </is>
      </c>
      <c r="B1268" t="inlineStr">
        <is>
          <t>Is there a way to prevent Episcleritis flareups?</t>
        </is>
      </c>
      <c r="C1268" t="inlineStr">
        <is>
          <t>A little over 2 years ago, my right eye became extremely red.  I saw an eye specialist and she diagnosed me with episcleritis.  I was prescribed the usual; eye drops, NSAIDs, and Prednisolone drops (for when it got very red).  It usually lasts 10 days and goes away.  In the past 2.5  years, I've had flareups reoccur about 6 or 7 times.
Is there anything I can do to prevent it from reoccurring?  Can anyone share any stories here to give people in my situation hope?  I've recently read about restasis and xiidra.  Have these worked for anyone with episcleritis?
I've read this disease sometimes may be because of a larger underlying issue, like Rheumatoid Arthritis or IBD.  I've had blood tests, seen a rheumatologist, and seen a GI about these possibilities.  I've read that if the underlying disease is treated properly, the episcleritis may stop reoccurring as well.  Does anyone have any stories or advice they'd be willing to share regarding this?
Also, I worry that regular use of Prednisolone drops may lead to new eye problems (like glaucoma or cataracts) if I continue to rely on them every time I have a flareup.</t>
        </is>
      </c>
      <c r="D1268" t="n">
        <v>1</v>
      </c>
      <c r="E1268" t="n">
        <v>0</v>
      </c>
      <c r="F1268">
        <f>HYPERLINK("https://www.reddit.com/r/eyetriage/comments/f1x08p/is_there_a_way_to_prevent_episcleritis_flareups/")</f>
        <v/>
      </c>
      <c r="G1268" t="inlineStr">
        <is>
          <t>2020-02-10 13:12:01</t>
        </is>
      </c>
      <c r="H1268" t="inlineStr"/>
    </row>
    <row r="1269">
      <c r="A1269" t="inlineStr">
        <is>
          <t>f1ytoe</t>
        </is>
      </c>
      <c r="B1269" t="inlineStr">
        <is>
          <t>Looking at phone and my eyes are killing me...</t>
        </is>
      </c>
      <c r="C1269" t="inlineStr">
        <is>
          <t>I’ve been doing a lot of work (from my phone of course) and my eye muscles are killing me. 
Is there any way to get this to go away? Is this normal? Or could something else be going on. 
To be clear, the phone screen looks clear and crisp, but the eyeball is sore and feels like a muscle strain when looking down on my phone. 
Any advice would be appreciated. Going to log off for a few hours but I’ll check back later.</t>
        </is>
      </c>
      <c r="D1269" t="n">
        <v>1</v>
      </c>
      <c r="E1269" t="n">
        <v>2</v>
      </c>
      <c r="F1269">
        <f>HYPERLINK("https://www.reddit.com/r/eyetriage/comments/f1ytoe/looking_at_phone_and_my_eyes_are_killing_me/")</f>
        <v/>
      </c>
      <c r="G1269" t="inlineStr">
        <is>
          <t>2020-02-10 15:10:00</t>
        </is>
      </c>
      <c r="H1269" t="inlineStr"/>
    </row>
    <row r="1270">
      <c r="A1270" t="inlineStr">
        <is>
          <t>f20dba</t>
        </is>
      </c>
      <c r="B1270" t="inlineStr">
        <is>
          <t>Horner’s Syndrome</t>
        </is>
      </c>
      <c r="C1270" t="inlineStr">
        <is>
          <t>While I have looked at much of this information online and have read many articles and studies on Horner’s Syndrome, I was curious as to what some of the causes are, as in can something trigger it to happen that isn’t related to a pre-existing condition? Is developing it you’re in your late teens abnormal? Can it take an extended period of time to actually present itself? Can it have been present for most of your life without anyone noticing? I will be seeing an ophthalmologist late next month (who also specializes in neurology), to look further into if I actually have it, and what the underlying cause may be, but I would like to be somewhat informed before I go, as it helps keep me from getting overly anxious. I’ve been to two optometrist about my anisocoria, one of whom dismissed it and one who finally listened. The first is a family friend and my grandfather’s (who is a retired ophthalmologist himself) old partner in the eye care unit of our local hospital, so I don’t know if he was just like “I wouldn’t worry about it” because he thinks I’m being ridiculous, or if he genuinely wasn’t worried about it. The second opinion I got agreed with his vision assessment and my glasses prescription (I have a vertical imbalance in my left eye as well), but was very concerned when one of my eyes wouldn’t dilate after she dilated my eyes. One of my pupils can be pin prick and the other can be saucer sized, all at once, as well. I mostly just wanted to learn a little more about it than what I’ve easily found online. Thanks in advance!</t>
        </is>
      </c>
      <c r="D1270" t="n">
        <v>1</v>
      </c>
      <c r="E1270" t="n">
        <v>2</v>
      </c>
      <c r="F1270">
        <f>HYPERLINK("https://www.reddit.com/r/eyetriage/comments/f20dba/horners_syndrome/")</f>
        <v/>
      </c>
      <c r="G1270" t="inlineStr">
        <is>
          <t>2020-02-10 17:00:37</t>
        </is>
      </c>
      <c r="H1270" t="inlineStr"/>
    </row>
    <row r="1271">
      <c r="A1271" t="inlineStr">
        <is>
          <t>f2ttr3</t>
        </is>
      </c>
      <c r="B1271" t="inlineStr">
        <is>
          <t>Blunt force trauma..Will there be any hope for my vision?</t>
        </is>
      </c>
      <c r="C1271" t="inlineStr">
        <is>
          <t>I had blunt force trauma to the eye 2 months ago. I was hit with a shampoo bottle and the impact caused me to go blind instantly. I been back and forth to the doctor since then but the doctors haven’t been able to really do much because I had a ton of blood filling the front and back of my eye which was preventing them from seeing what was going on in the posterior of my eye. Until today at my appt he did an ultrasound and was finally able to see. He said that my retina was detached and they don’t want to do any surgery or anything right now because I still have blood in the front of my eye(anterior chamber) and if they did try to go in and take the blood out it would cause more damage. My thing is isn’t the longer I wait for surgery the less likely it is to preserve any vision. have anyone every gone through this or had an eye injury and had to wait for the blood to clear before anything was done? What should I do wait like the doctor say or try to go ahead and get surgery done on it?</t>
        </is>
      </c>
      <c r="D1271" t="n">
        <v>1</v>
      </c>
      <c r="E1271" t="n">
        <v>10</v>
      </c>
      <c r="F1271">
        <f>HYPERLINK("https://www.reddit.com/r/eyetriage/comments/f2ttr3/blunt_force_traumawill_there_be_any_hope_for_my/")</f>
        <v/>
      </c>
      <c r="G1271" t="inlineStr">
        <is>
          <t>2020-02-12 08:32:47</t>
        </is>
      </c>
      <c r="H1271" t="inlineStr"/>
    </row>
    <row r="1272">
      <c r="A1272" t="inlineStr">
        <is>
          <t>f2xez2</t>
        </is>
      </c>
      <c r="B1272" t="inlineStr">
        <is>
          <t>Advice on Retinal Holes/Laser Retinopexy</t>
        </is>
      </c>
      <c r="C1272" t="inlineStr">
        <is>
          <t>See bottom of post for TLDR.
This is a very specific query I know so any advice would be much appreciated, whether it be from doctors, opticians or anyone with previous experiences with this.
Im from the UK, Male, 22 years old and I’m short-sighted (-7ish) and have an astigmatism in both eyes.
To start this off, I’ve always been extremely squeamish when it comes to my eyes - especially when it’s in relation to eye drops and things touching my eye (e.g. contact lenses). This may be an important factor in the below.
I recently went to the opticians for a general checkup/eye test and unfortunately the optician found a hole in my retina in the right eye. I hadn’t been showing any symptoms and it was just pot luck that he found it. As these can cause retinal detachment and pose a lot of risks for the future, he referred me to the hospital on an urgent referral.
Today I went to the hospital for them to investigate further. Along with general sight tests and pictures/scans of the eyes taken, I was given dilation eye drop along with anaesthetic drops for me to have the glaucoma test. Rather than the puff machine, it was a device where they touch your eyeball lightly - this freaked me out quite badly and sent my anxiety sky high. 
Unfortunately during the examination, they found another retinal hole in my left eye, and had to use a special contact lens to locate the hole in the right one. This was extremely difficult for them to do as, like I mentioned before, I am very very squeamish and find it extremely uncomfortable/distressing. I would move my head back and lift my chin off the rest provided. A nurse ended up having to hold my head in place for the consultant to put the lens in.
The consultant/doctor didn’t really go into that much detail about the holes but did mention that they have pigmentation around each of them suggesting they’ve been there for quite some time and sort of ‘self healed’. However, he said that laser treatment is something which will be a more permanent fix and lessens the risk of retinal detachment. 
My main concern is due to how squeamish I am, is this surgery really a good idea? If my eyes are self healing themselves anyway - should I risk any complications by having this surgery? What are the risks of this surgery? I’ve read that I should keep my head still and that most definitely didn’t happen earlier due to me freaking out over the contact lens. If I move/blink does this pose greater risks? Do retinopexy procedures have side effects? Is there anything that can be done to lessen my anxiety - general/local anaesthetic maybe?
I have a genuine fear when it comes to anything related to eyes and I’m terrified that something will happen which will cause me to go blind/have severe repercussions. I’m only 22 and could really do with some advice. 
Thank you in advance.
TLDR - I have 2 retinal holes with pigmentation round them, which have possibly been there for years that may require laser treatment. Please advise if you think I should do this? Note - I’m extremely squeamish and anxious with all things eyes and worry if I’ll be able to stay still.</t>
        </is>
      </c>
      <c r="D1272" t="n">
        <v>1</v>
      </c>
      <c r="E1272" t="n">
        <v>2</v>
      </c>
      <c r="F1272">
        <f>HYPERLINK("https://www.reddit.com/r/eyetriage/comments/f2xez2/advice_on_retinal_holeslaser_retinopexy/")</f>
        <v/>
      </c>
      <c r="G1272" t="inlineStr">
        <is>
          <t>2020-02-12 12:22:29</t>
        </is>
      </c>
      <c r="H1272" t="inlineStr"/>
    </row>
    <row r="1273">
      <c r="A1273" t="inlineStr">
        <is>
          <t>f30if0</t>
        </is>
      </c>
      <c r="B1273" t="inlineStr">
        <is>
          <t>Advice needed</t>
        </is>
      </c>
      <c r="C1273" t="inlineStr">
        <is>
          <t xml:space="preserve">
So I’m gonna start off by saying that my (25F) vision is TERRIBLE. I’m a -8.50. I have an extensive familial history of poor eyesight and bad retinas. I recently got a job at an ophthalmologist clinic so I became more aware of how poor my vision actually is. I took the initiative to make an appointment with one of our best Lasik physicians. He told me that I am a good candidate but I have severe dry eye and put me on Restasis twice daily. He then mentioned that he would be happy to reconsider scheduling my surgery after 6 to 8 weeks of using the prescription eye lubricator, Restasis. I was also told to stop wearing contacts the entire 6-8 weeks. I have been wearing them for 12 hours daily prior to this and was wearing them minutes before my appointment. 
Today, I went to go get another professional lasik consultation with another clinic one week after my no contact use and Restasis use. They  told me that they saw no evidence of corneal swelling or dry eye. They scheduled my pre-op for next week. And they even scheduled my surgery date for the end of this month. 
I guess my question is is why there’s  such a substantial difference in medical opinion and what you guys think I should do. 
Also, how bad would it be if I wore my contacts for a few hours before my pre-op visit for an event? Would it really affect the measurements for the actual surgery? I’m terrified that they correct me to a wrong vision because my contact use alters my corneal shape and I’m stuck with the wrong vision forever. 
All in all, both agreed however that I am a good candidate based on their imaging. 
TLDR: need lasik and contact use advice because the medical opinions are all over the spectrum.</t>
        </is>
      </c>
      <c r="D1273" t="n">
        <v>1</v>
      </c>
      <c r="E1273" t="n">
        <v>9</v>
      </c>
      <c r="F1273">
        <f>HYPERLINK("https://www.reddit.com/r/eyetriage/comments/f30if0/advice_needed/")</f>
        <v/>
      </c>
      <c r="G1273" t="inlineStr">
        <is>
          <t>2020-02-12 15:42:35</t>
        </is>
      </c>
      <c r="H1273" t="inlineStr"/>
    </row>
    <row r="1274">
      <c r="A1274" t="inlineStr">
        <is>
          <t>f343ps</t>
        </is>
      </c>
      <c r="B1274" t="inlineStr">
        <is>
          <t>Need Opinion with my Eye Problem</t>
        </is>
      </c>
      <c r="C1274" t="inlineStr">
        <is>
          <t>Hello, i'm male 23 years old with these problem:
1. Nearsighted 4.00 (Left) and 3.75 (Right)
2. Have floaters long time ago until now
3. Detected high IOP (21-22), doctor gave me Glaopen for 1 year. And in the last 6 month it normal again (17-19) without medicine.
4. See white flickering (like hot water vapor), frequently in the morning. It happen more than 6 month, but In the last 1 weeks, it gone.
5. See white dots (sometimes blue) less then 1 seconds frequently.
Doctor have checked my retina with 2 method, first with OCT Macula Scanner, then with a big flashlight device that allow her to see my inner eye (after dilated my eye).
But they said nothing wrong with my eyes, until now. Yes, i said 'they' because i go to 4 different doctor with exactly same opinion. Am I need to worry? It makes me crazy.
&amp;amp;#x200B;
And i want advice about computer works. I've done all of these:
1. Put monitor 65-75 cm from my eyes.
2. Take a break for 40 seconds every 10 minutes work, and 5 minutes after 1 hours.
3. Use f.lux (application) to reduce monitor blue light
is that enough?</t>
        </is>
      </c>
      <c r="D1274" t="n">
        <v>1</v>
      </c>
      <c r="E1274" t="n">
        <v>5</v>
      </c>
      <c r="F1274">
        <f>HYPERLINK("https://www.reddit.com/r/eyetriage/comments/f343ps/need_opinion_with_my_eye_problem/")</f>
        <v/>
      </c>
      <c r="G1274" t="inlineStr">
        <is>
          <t>2020-02-12 20:07:37</t>
        </is>
      </c>
      <c r="H1274" t="inlineStr"/>
    </row>
    <row r="1275">
      <c r="A1275" t="inlineStr">
        <is>
          <t>f3b3jd</t>
        </is>
      </c>
      <c r="B1275" t="inlineStr">
        <is>
          <t>Question about intracranial hypertension.</t>
        </is>
      </c>
      <c r="C1275" t="inlineStr">
        <is>
          <t>Hello, I don't know if they are specialists here or doctors, but I will ask. I am 18 years old, I got mri because I felt something in my head while doing a specific "exercise" (you get the point) and I had like pain around eyes and a pressure feeling in that spot. The mri so that it looks like I had increased fluid around optic nerve and that my optic nerve is not straight and it turns, like it creates an angle(I don't know how to say that better in English) but without palidema or any other problem in optic nerve. My optic field tests showed an upper nose relative killing and increased pressure in eyes(22). Is it possible to have an elevated pressure(not hypertansion) without palidema and no strong headaches?Also, is my vision safe if I don't have palidema? I will often do tests, but the doctors told me that I don't have to do anything for now except observing the optic nerve often. The symptoms won't go away tho. I exercise often and I took some pills the doctor gave for "stress", but nothing. I stopped them eventually because they had 0 effect. Also a ringing in my ear is present all the time. Its like this thing will never go away. What if the fluif is trapped there around the nerve and can't go away because there is no exit? Maybe I need to do something else?</t>
        </is>
      </c>
      <c r="D1275" t="n">
        <v>1</v>
      </c>
      <c r="E1275" t="n">
        <v>7</v>
      </c>
      <c r="F1275">
        <f>HYPERLINK("https://www.reddit.com/r/eyetriage/comments/f3b3jd/question_about_intracranial_hypertension/")</f>
        <v/>
      </c>
      <c r="G1275" t="inlineStr">
        <is>
          <t>2020-02-13 06:53:37</t>
        </is>
      </c>
      <c r="H1275" t="inlineStr"/>
    </row>
    <row r="1276">
      <c r="A1276" t="inlineStr">
        <is>
          <t>f3ctqs</t>
        </is>
      </c>
      <c r="B1276" t="inlineStr">
        <is>
          <t>PRK iDesign vs PRK Advanced CustomVue vs T-PRK wavefront vs T-PRK T-CAT/A-CAT</t>
        </is>
      </c>
      <c r="C1276" t="inlineStr">
        <is>
          <t>I've no idea what I'm exactly looking at, but which one would be the best/most safe?  
https://preview.redd.it/8ij6nrvx0qg41.png?width=272&amp;amp;format=png&amp;amp;auto=webp&amp;amp;s=fd77d99dc277d3a3b87680e2100f732fae5eb156
&amp;amp;#x200B;
https://preview.redd.it/jscs60lz0qg41.png?width=311&amp;amp;format=png&amp;amp;auto=webp&amp;amp;s=e7cd028a3f6b0c8ac964cb87d2b91331d77eb2b4</t>
        </is>
      </c>
      <c r="D1276" t="n">
        <v>1</v>
      </c>
      <c r="E1276" t="n">
        <v>0</v>
      </c>
      <c r="F1276">
        <f>HYPERLINK("https://www.reddit.com/r/eyetriage/comments/f3ctqs/prk_idesign_vs_prk_advanced_customvue_vs_tprk/")</f>
        <v/>
      </c>
      <c r="G1276" t="inlineStr">
        <is>
          <t>2020-02-13 08:51:15</t>
        </is>
      </c>
      <c r="H1276" t="inlineStr"/>
    </row>
    <row r="1277">
      <c r="A1277" t="inlineStr">
        <is>
          <t>f3jt0r</t>
        </is>
      </c>
      <c r="B1277" t="inlineStr">
        <is>
          <t>Recurring subconjunctival hemorrhages</t>
        </is>
      </c>
      <c r="C1277" t="inlineStr">
        <is>
          <t xml:space="preserve"> I keep getting these things. For a while it was always on the same spot on one particular eye, but now I've started getting them in the other eye. It's socially traumatic when they happen because it looks so hideous and takes a week to clear. Since it happens in both eyes and not just one spot, it makes me think it must be systemic somehow. Does anyone have ideas as to what might be behind it, like a particular nutrient deficiency or something? Every time it happens, I drop into a mini-depression, but since it's "harmless", no doctors or optometrists care to give it a second thought.</t>
        </is>
      </c>
      <c r="D1277" t="n">
        <v>1</v>
      </c>
      <c r="E1277" t="n">
        <v>4</v>
      </c>
      <c r="F1277">
        <f>HYPERLINK("https://www.reddit.com/r/eyetriage/comments/f3jt0r/recurring_subconjunctival_hemorrhages/")</f>
        <v/>
      </c>
      <c r="G1277" t="inlineStr">
        <is>
          <t>2020-02-13 16:28:24</t>
        </is>
      </c>
      <c r="H1277" t="inlineStr"/>
    </row>
    <row r="1278">
      <c r="A1278" t="inlineStr">
        <is>
          <t>f3qvub</t>
        </is>
      </c>
      <c r="B1278" t="inlineStr">
        <is>
          <t>Angle Recession Glauma post Blunt Injury</t>
        </is>
      </c>
      <c r="C1278" t="inlineStr">
        <is>
          <t>Hi.
I'd blunt injury with a badminton eye on my right eye. Post injury i was diagnosed for the following
1. Mild Hyphema ( 0.5 mm)
2. MILD vitreous Hemorrhage 
3. No retinal breaks orbdetachment 
4. Traumatic Mydriasis 
5. PSC Cataract , traumatic Cataract.
6. Normal IOP (18mm Hg)
My VA post trauma was CF upto 3m
This injury occured on 26th Jan and i was put on medication from 27.
Opthalmologist prescribed me with 
1. Pred Forte drops
2. Bromatidine  ( Homide) drops
3. Refresh tears 
I followed up with my Doc every 2 days. My VA on the last follow up was 6/24 (partial)..although my vison till now is very much blurred.
The problem that my Doc identified was the  continuously increasing IOP. Therefore my Doc tapered the steroid and introduced IOP control drops ( brimonidine + Timolol). The drops worked initially but recent trends shows increased IOP. Therefore, I was asked to refer a glaucoma specialist and did that today.
The Glaucoma specialist performed Gonioscopy today. 
The doc said that I have angle recession (around 270 degrees) and that Im at high risk of developing Glaucoma.
My IOP today was 48 mm Hg.
She said the treatment will start with medications and prescribed me the following
1. Combigan drops
2. Glycerol Syrup ( 3 times a day)
3. Iopar SR capsules.
I was taken off from all other previous drops since the inflammation is reduced to some extent and that I may be a steroid responder. Although, im asked to use Nepafenac ( NSAID) for the inflammation.
Il be seeing the doctor in 5 days from today. There are some questions hovering in mind rn if anyone can help with.
1. What are the irreveraible damages that high IOP can do?
2. How fast does High IOP may damage the optic nerve?
3. Is this high pressure contributing to my blurred vision?
4. When can you say that angle recession has caused Glaucoma?
5. Should I look out for second opinion or are there other better treatment than anove prescribed one
6. Anyother thing that i must be aware of/ self study.</t>
        </is>
      </c>
      <c r="D1278" t="n">
        <v>1</v>
      </c>
      <c r="E1278" t="n">
        <v>0</v>
      </c>
      <c r="F1278">
        <f>HYPERLINK("https://www.reddit.com/r/eyetriage/comments/f3qvub/angle_recession_glauma_post_blunt_injury/")</f>
        <v/>
      </c>
      <c r="G1278" t="inlineStr">
        <is>
          <t>2020-02-14 03:26:27</t>
        </is>
      </c>
      <c r="H1278" t="inlineStr"/>
    </row>
    <row r="1279">
      <c r="A1279" t="inlineStr">
        <is>
          <t>f3qxj4</t>
        </is>
      </c>
      <c r="B1279" t="inlineStr">
        <is>
          <t>Angle Recession Glaucoma due to Blunt Injury</t>
        </is>
      </c>
      <c r="C1279" t="inlineStr">
        <is>
          <t>Hi.
I'd blunt injury with a badminton eye on my right eye. Post injury i was diagnosed for the following
1. Mild Hyphema ( 0.5 mm)
2. MILD vitreous Hemorrhage 
3. No retinal breaks orbdetachment 
4. Traumatic Mydriasis 
5. PSC Cataract , traumatic Cataract.
6. Normal IOP (18mm Hg)
My VA post trauma was CF upto 3m
This injury occured on 26th Jan and i was put on medication from 27.
Opthalmologist prescribed me with 
1. Pred Forte drops
2. Bromatidine  ( Homide) drops
3. Refresh tears 
I followed up with my Doc every 2 days. My VA on the last follow up was 6/24 (partial)..although my vison till now is very much blurred.
The problem that my Doc identified was the  continuously increasing IOP. Therefore my Doc tapered the steroid and introduced IOP control drops ( brimonidine + Timolol). The drops worked initially but recent trends shows increased IOP. Therefore, I was asked to refer a glaucoma specialist and did that today.
The Glaucoma specialist performed Gonioscopy today. 
The doc said that I have angle recession (around 270 degrees) and that Im at high risk of developing Glaucoma.
My IOP today was 48 mm Hg.
She said the treatment will start with medications and prescribed me the following
1. Combigan drops
2. Glycerol Syrup ( 3 times a day)
3. Iopar SR capsules.
I was taken off from all other previous drops since the inflammation is reduced to some extent and that I may be a steroid responder. Although, im asked to use Nepafenac ( NSAID) for the inflammation.
Il be seeing the doctor in 5 days from today. There are some questions hovering in mind rn if anyone can help with.
1. Is it possible that high IOP is due to steroids and that angle recession might not be contributing to it.
2. What are the irreveraible damages that high IOP can do?
3. How fast does High IOP may damage the optic nerve?
4. Is this high pressure contributing to my blurred vision?
5. When can you say that angle recession has caused Glaucoma?
6. Should I look out for second opinion or are there other better treatment than anove prescribed one
7. Anyother thing that i must be aware of/ self study.</t>
        </is>
      </c>
      <c r="D1279" t="n">
        <v>1</v>
      </c>
      <c r="E1279" t="n">
        <v>6</v>
      </c>
      <c r="F1279">
        <f>HYPERLINK("https://www.reddit.com/r/eyetriage/comments/f3qxj4/angle_recession_glaucoma_due_to_blunt_injury/")</f>
        <v/>
      </c>
      <c r="G1279" t="inlineStr">
        <is>
          <t>2020-02-14 03:31:43</t>
        </is>
      </c>
      <c r="H1279" t="inlineStr"/>
    </row>
    <row r="1280">
      <c r="A1280" t="inlineStr">
        <is>
          <t>f3rkjr</t>
        </is>
      </c>
      <c r="B1280" t="inlineStr">
        <is>
          <t>Blowing Nose After Orbital Trauma</t>
        </is>
      </c>
      <c r="C1280" t="inlineStr">
        <is>
          <t>Hello r/eyetriage . Yesterday at basketball practice, I got hit in my eye area with a teammate's elbow which resulted in immediate swelling and double vision due to said swelling. Post practice, I tried to blow my nose, which immediately caused the swelling to increase, to the point where I had to kinda push the air back with my hand. By the time I went to bed (\~2 hours after the hit) the double vision was practically gone and you guys can find a picture of the current state (15 hours after the hit) linked in this post.
I currently have no pain, very little swelling and a clear vision though I am worried as I've read online that the swelling after blowing your nose usually happens with socket fractures. Seeing as though the swelling decreased quickly, I have clear vision and feel no pain, should I be worried about anything? Thanks for your help!
[https://imgur.com/a/crQZpt0](https://imgur.com/a/crQZpt0)
Before I get abused for not going to the hospital immediately, I've moved to a whole new country a week ago and I dont yet know how the health care system works here. So if this is a case where I'm worried for no reason, I would like to avoid the hassle and the expenses that may come with it.</t>
        </is>
      </c>
      <c r="D1280" t="n">
        <v>1</v>
      </c>
      <c r="E1280" t="n">
        <v>7</v>
      </c>
      <c r="F1280">
        <f>HYPERLINK("https://www.reddit.com/r/eyetriage/comments/f3rkjr/blowing_nose_after_orbital_trauma/")</f>
        <v/>
      </c>
      <c r="G1280" t="inlineStr">
        <is>
          <t>2020-02-14 04:35:03</t>
        </is>
      </c>
      <c r="H1280" t="inlineStr"/>
    </row>
    <row r="1281">
      <c r="A1281" t="inlineStr">
        <is>
          <t>f3x5oj</t>
        </is>
      </c>
      <c r="B1281" t="inlineStr">
        <is>
          <t>Traumatic hyphema</t>
        </is>
      </c>
      <c r="C1281" t="inlineStr">
        <is>
          <t>Have anyone ever had a traumatic hyphema in their eye longer than a month?
If so what was the cause of your hyphema and how long did it take to clear out?</t>
        </is>
      </c>
      <c r="D1281" t="n">
        <v>1</v>
      </c>
      <c r="E1281" t="n">
        <v>2</v>
      </c>
      <c r="F1281">
        <f>HYPERLINK("https://www.reddit.com/r/eyetriage/comments/f3x5oj/traumatic_hyphema/")</f>
        <v/>
      </c>
      <c r="G1281" t="inlineStr">
        <is>
          <t>2020-02-14 11:17:45</t>
        </is>
      </c>
      <c r="H1281" t="inlineStr"/>
    </row>
    <row r="1282">
      <c r="A1282" t="inlineStr">
        <is>
          <t>f45ksv</t>
        </is>
      </c>
      <c r="B1282" t="inlineStr">
        <is>
          <t>Looking to see an ophthalmologist for eye/nerve issue</t>
        </is>
      </c>
      <c r="C1282" t="inlineStr">
        <is>
          <t>Hi everyone, long story short, I had my first panic attack early last year and developed a sort of one-sided (left) head tension and eye strain afterward. At a doc appointment not too long after, the doc checked my eyes and noticed my left eye responded slower to light than compared to my right eye. He also scheduled an MRI for me and the results showed that I was fine. At a neurologist visit some months after, they didn't notice any differences in my eyes.
Problem is, after a number of doc appointments, no one seemed to know the cause and why it still persists months after. The only thing that has slightly worked to mask the pain is Naproxen.
The tension is constant. I don't feel it if I'm really occupied on something, but it is always there and can feel tense to pins and needles and it definitely "moves" when my eye moves - which is why I feel it is a nerve issue. Pressing the side of my eye relieves the tension, but I can't press the side of my eyes all day long.
What should I ask or I expect from a visit to the ophthalmologist concerning this? Curious to know if anyone out there suffers/had suffered similarly and how I can make the best out of my future visit to an ophthalmologist! I've never seen an eye doctor before and I'm looking forward to it so I can get down to the root of this problem once and for all.
\* Also just wanted to add that I have mild ptosis in my left eye and wonder if that is also a contributing factor to my tension/strain issue</t>
        </is>
      </c>
      <c r="D1282" t="n">
        <v>1</v>
      </c>
      <c r="E1282" t="n">
        <v>0</v>
      </c>
      <c r="F1282">
        <f>HYPERLINK("https://www.reddit.com/r/eyetriage/comments/f45ksv/looking_to_see_an_ophthalmologist_for_eyenerve/")</f>
        <v/>
      </c>
      <c r="G1282" t="inlineStr">
        <is>
          <t>2020-02-14 22:18:12</t>
        </is>
      </c>
      <c r="H1282" t="inlineStr"/>
    </row>
    <row r="1283">
      <c r="A1283" t="inlineStr">
        <is>
          <t>f48d00</t>
        </is>
      </c>
      <c r="B1283" t="inlineStr">
        <is>
          <t>Is removing a scleral buckle after 4 years reasonably safe? (I also had a vitrectomy gas bubble)</t>
        </is>
      </c>
      <c r="C1283" t="inlineStr">
        <is>
          <t>About 4 years ago I had a retina detachment. I was first given a scleral buckle surgery.  About a month later I was given a second surgery with a vitrectomy/gas bubble. 
This fixed the detachment just fine, but after 4 years I still have some discomfort from the scleral buckle. I still feel it there. I was told this feeling would go away but it hasn't.
I've searched the web and found that vitrectomies (w gas bubble) seem to be the gold standard for retinal detachment.  There's also quite a few articles out there on scleral buckle removal and even some youtube videos.
I have already made an appointment with the office that did my surgery years ago to look at it. But I also wanted to ask here; Is it reasonably safe to remove a scleral buckle?
Is the buckle even needed considering I also had a vitrectomy gas bubble?</t>
        </is>
      </c>
      <c r="D1283" t="n">
        <v>1</v>
      </c>
      <c r="E1283" t="n">
        <v>14</v>
      </c>
      <c r="F1283">
        <f>HYPERLINK("https://www.reddit.com/r/eyetriage/comments/f48d00/is_removing_a_scleral_buckle_after_4_years/")</f>
        <v/>
      </c>
      <c r="G1283" t="inlineStr">
        <is>
          <t>2020-02-15 03:43:24</t>
        </is>
      </c>
      <c r="H1283" t="inlineStr"/>
    </row>
    <row r="1284">
      <c r="A1284" t="inlineStr">
        <is>
          <t>f49nlr</t>
        </is>
      </c>
      <c r="B1284" t="inlineStr">
        <is>
          <t>Angle Recession want to end it</t>
        </is>
      </c>
      <c r="C1284" t="inlineStr">
        <is>
          <t>I’m a hypercondriac. 
I read alot on angle recession and today i found out i had it 180 degrees. My iop is asymmetrical 19 in injured eye and 15 in my other eye. 
I am already blind in my other eye and now with this diagnosis theres a good chance i’m going to have so many problems with my ‘good eye’.
I feel so numb and depressed. 
Can you stop glaucoma or only slow it down.</t>
        </is>
      </c>
      <c r="D1284" t="n">
        <v>1</v>
      </c>
      <c r="E1284" t="n">
        <v>14</v>
      </c>
      <c r="F1284">
        <f>HYPERLINK("https://www.reddit.com/r/eyetriage/comments/f49nlr/angle_recession_want_to_end_it/")</f>
        <v/>
      </c>
      <c r="G1284" t="inlineStr">
        <is>
          <t>2020-02-15 05:52:11</t>
        </is>
      </c>
      <c r="H1284" t="inlineStr"/>
    </row>
    <row r="1285">
      <c r="A1285" t="inlineStr">
        <is>
          <t>f4agj4</t>
        </is>
      </c>
      <c r="B1285" t="inlineStr">
        <is>
          <t>Does the "Tecnis Eyhance" IOL come with caveats compared to a regular monofocal? Any experiences?</t>
        </is>
      </c>
      <c r="C1285" t="inlineStr">
        <is>
          <t>Facing cataract surgery and am considering the Tecnis Eyhance as it promises the same far vision quality of a regular monofocal IOL but with an extended intermediate range of focus. As there is no such thing as a free lunch, I suspect that it's not just *better* but just *different* with certain tradeoffs. Does anyone have experience with that IOL and could tell me if it will behave worse than a regular monofocal under some conditions and to what degree?
I have Retinitis Pigmentosa (retinal degeneration with not much field of vision left) and basically depend on getting as much light transmitted as possible, so am worried that the Eyhance would improve range of focus but overall give me a worse image quality - but the prospect of better uncorrected range of focus does sound promising enough to at least consider it strongly.
[Studies](https://www.escrs.org/paris2019/programme/posters-details.asp?id=33587) and [articles](https://www.eurotimes.org/monofocal-innovation-johnsonjohnson/) claim that this lens is "an innovation" and "provided similar distance vision quality with a significant improvement in intermediate visual acuity", but those are either sponsored by Johnson&amp;amp;Johnson or written by their paid advisers, so to be taken with a pinch of salt.
Anyone experiences would be much appreciated.
*Form the study linked above:*
&amp;gt;***Results:*** *Manifest refraction was similar between the IOLs. The mean binocular BCDVA for the Eyhance IOL (-0.06 LogMAR) was noninferior (within 0.1 LogMAR) to the ZCB00 IOL (-0.10 LogMAR). The mean binocular DCIVA and UCIVA for the Eyhance IOL was statistically significant better compared to the ZCB00 IOL (difference of 1.1 lines (p&amp;lt;0.0001) and 1.0 line (p&amp;lt;0.0001)). The mean binocular BCDVA under mesopic conditions was statistically similar for the Eyhance (0.436 LogMAR) and the ZCB00 IOL (0.432 LogMAR).  There were no statistically significant differences between the Models in mesopic or photopic contrast sensitivity at any of the sine-wave gratings.*</t>
        </is>
      </c>
      <c r="D1285" t="n">
        <v>1</v>
      </c>
      <c r="E1285" t="n">
        <v>17</v>
      </c>
      <c r="F1285">
        <f>HYPERLINK("https://www.reddit.com/r/eyetriage/comments/f4agj4/does_the_tecnis_eyhance_iol_come_with_caveats/")</f>
        <v/>
      </c>
      <c r="G1285" t="inlineStr">
        <is>
          <t>2020-02-15 06:58:36</t>
        </is>
      </c>
      <c r="H1285" t="inlineStr"/>
    </row>
    <row r="1286">
      <c r="A1286" t="inlineStr">
        <is>
          <t>f4jj0d</t>
        </is>
      </c>
      <c r="B1286" t="inlineStr">
        <is>
          <t>Frequent 'black' flashes</t>
        </is>
      </c>
      <c r="C1286" t="inlineStr">
        <is>
          <t>So I've been having this for quite sometime but it didn't affect me as the 'black' flashes is like a come and go in a split second, like when you just stand up the blood rush into your eyes and it's all black and stays there for awhile but instead, it's a fast pulsing for a split second and disappears. 
Recently it's been more frequent almost more than 5-10 times in an hour (at night mostly) and it happens more frequently at night when I am using my laptop or phone but also, it can happen randomly throughout the day. 
Anybody knows what's happening or have something similar? 
Tldr: Black pulsing flashes happening more frequently throughout the day but night time it starts acting out even more.</t>
        </is>
      </c>
      <c r="D1286" t="n">
        <v>1</v>
      </c>
      <c r="E1286" t="n">
        <v>0</v>
      </c>
      <c r="F1286">
        <f>HYPERLINK("https://www.reddit.com/r/eyetriage/comments/f4jj0d/frequent_black_flashes/")</f>
        <v/>
      </c>
      <c r="G1286" t="inlineStr">
        <is>
          <t>2020-02-15 17:45:18</t>
        </is>
      </c>
      <c r="H1286" t="inlineStr"/>
    </row>
    <row r="1287">
      <c r="A1287" t="inlineStr">
        <is>
          <t>f4kfgg</t>
        </is>
      </c>
      <c r="B1287" t="inlineStr">
        <is>
          <t>Occasional Flashes after Retinal Detachment Surgery</t>
        </is>
      </c>
      <c r="C1287" t="inlineStr">
        <is>
          <t>I had a vitrectomy a week and a half ago on Feb 7th.  My ophthalmologist lasered down two detached areas.  Wasn't a total detachment, only symptom I had was a flash of light about once an hour for a week prior.
Anyways, I laid face down for 6 days, then my ophthalmologist said I don't need to do that anymore.  My next appointment is in two weeks.
Anyways, I've had three flashes of light, first one last night, then two today about 6 hours apart.  Kind of freaking me out.  It's the weekend, so eye doctor's office is closed.
Is it normal to continue to have occasional flashes of light after this type of surgery?  I know the vitreous gel was removed and body will naturally restore it.  Is it just the vitreous gel just moving around the eye as the gas bubble in there shrinks?
Much thanks appreciated!</t>
        </is>
      </c>
      <c r="D1287" t="n">
        <v>1</v>
      </c>
      <c r="E1287" t="n">
        <v>6</v>
      </c>
      <c r="F1287">
        <f>HYPERLINK("https://www.reddit.com/r/eyetriage/comments/f4kfgg/occasional_flashes_after_retinal_detachment/")</f>
        <v/>
      </c>
      <c r="G1287" t="inlineStr">
        <is>
          <t>2020-02-15 18:58:04</t>
        </is>
      </c>
      <c r="H1287" t="inlineStr"/>
    </row>
    <row r="1288">
      <c r="A1288" t="inlineStr">
        <is>
          <t>f4qi16</t>
        </is>
      </c>
      <c r="B1288" t="inlineStr">
        <is>
          <t>Bright white "disc" the size a pencil eraser in my upper right visual field of my right eye. I have been checked by the doc and my eyes are healthy. Any ideas? I'm terrified.</t>
        </is>
      </c>
      <c r="C1288" t="inlineStr">
        <is>
          <t>I'm 33, and a male.  I do get migraines and have fairly severe seasonal dry eye.
I have a bright white disc, size of pencil eraser, in upper right visual field of right eye.  Especially noticeable against bright cloudy sky. (After getting up from sitting a few hours at PC working). Fades in brightness throughout the day.
Continues to fade (some). But leaves a bright spot when closing the eye, and a "negative" or shadow image in the spot when eye is open.  Seems to be aggravated by coughing, pressure (like laying on stomach)
When blinking there is now a half crescent moon shaped shadow, open side facing down, which is connected to the bright spot at the end)
Eye is scanned and visual field test is done. Pressure fine, no tear, no leaking vessels, optical nerve looks fine.
Could this be neurological?  Extreme dry eye?  
Having difficulty enjoying tv or viewing anything, pencil eraser sized shadow blotch is distracting, and given that it's been there for 4 days or more, it's terrifying me.</t>
        </is>
      </c>
      <c r="D1288" t="n">
        <v>1</v>
      </c>
      <c r="E1288" t="n">
        <v>8</v>
      </c>
      <c r="F1288">
        <f>HYPERLINK("https://www.reddit.com/r/eyetriage/comments/f4qi16/bright_white_disc_the_size_a_pencil_eraser_in_my/")</f>
        <v/>
      </c>
      <c r="G1288" t="inlineStr">
        <is>
          <t>2020-02-16 05:14:54</t>
        </is>
      </c>
      <c r="H1288" t="inlineStr"/>
    </row>
    <row r="1289">
      <c r="A1289" t="inlineStr">
        <is>
          <t>f4xjvi</t>
        </is>
      </c>
      <c r="B1289" t="inlineStr">
        <is>
          <t>Led bulb flickering</t>
        </is>
      </c>
      <c r="C1289" t="inlineStr">
        <is>
          <t>Hi,
I switch my home to led light but i see a strange effect.
When i use my smartphone camera i see the led bulb flickering very very fast (likes on off!)
my eyes don't see Notting but It s clear that the led bulb are flcikering very fast
Do you think that this can be Dangerous for health ?</t>
        </is>
      </c>
      <c r="D1289" t="n">
        <v>1</v>
      </c>
      <c r="E1289" t="n">
        <v>3</v>
      </c>
      <c r="F1289">
        <f>HYPERLINK("https://www.reddit.com/r/eyetriage/comments/f4xjvi/led_bulb_flickering/")</f>
        <v/>
      </c>
      <c r="G1289" t="inlineStr">
        <is>
          <t>2020-02-16 13:25:57</t>
        </is>
      </c>
      <c r="H1289" t="inlineStr"/>
    </row>
    <row r="1290">
      <c r="A1290" t="inlineStr">
        <is>
          <t>f53uy5</t>
        </is>
      </c>
      <c r="B1290" t="inlineStr">
        <is>
          <t>Is it okay to use Refresh Advanced or Systane Ultra before instilling latanoprost?</t>
        </is>
      </c>
      <c r="C1290" t="inlineStr">
        <is>
          <t>I'm an early stage glaucoma patient who was started on latanoprost a couple months ago. For the past several weeks, I've been instilling preservative free artificial tears 15 minutes before the RX drop to help combat occasional irritation from the BAK preservative.
The two that I bought to try are Systane Ultra and Refresh Optive Advanced.
Are both okay to use for this purpose? I overthink things, and didn't know if maybe the viscosity or one of the ingredients in either would interfere with my eye absorbing the glaucoma medication.
Thank you.</t>
        </is>
      </c>
      <c r="D1290" t="n">
        <v>1</v>
      </c>
      <c r="E1290" t="n">
        <v>5</v>
      </c>
      <c r="F1290">
        <f>HYPERLINK("https://www.reddit.com/r/eyetriage/comments/f53uy5/is_it_okay_to_use_refresh_advanced_or_systane/")</f>
        <v/>
      </c>
      <c r="G1290" t="inlineStr">
        <is>
          <t>2020-02-16 21:27:36</t>
        </is>
      </c>
      <c r="H1290" t="inlineStr"/>
    </row>
    <row r="1291">
      <c r="A1291" t="inlineStr">
        <is>
          <t>f5kh3t</t>
        </is>
      </c>
      <c r="B1291" t="inlineStr">
        <is>
          <t>What's wrong with my eye?</t>
        </is>
      </c>
      <c r="C1291" t="inlineStr">
        <is>
          <t>Hey, I have a TV 8ft away from me, I can see it crystal clear with my right eye, however with my left eye I see the text displayed on the TV a little blurred, then I noticed If I apply a little pressure on the side of my left eye with my finger the blurriness completely disapears. Is this something I should be worried about? Should I visit a professional? Thank you</t>
        </is>
      </c>
      <c r="D1291" t="n">
        <v>1</v>
      </c>
      <c r="E1291" t="n">
        <v>1</v>
      </c>
      <c r="F1291">
        <f>HYPERLINK("https://www.reddit.com/r/eyetriage/comments/f5kh3t/whats_wrong_with_my_eye/")</f>
        <v/>
      </c>
      <c r="G1291" t="inlineStr">
        <is>
          <t>2020-02-17 18:31:41</t>
        </is>
      </c>
      <c r="H1291" t="inlineStr"/>
    </row>
    <row r="1292">
      <c r="A1292" t="inlineStr">
        <is>
          <t>f5s1sz</t>
        </is>
      </c>
      <c r="B1292" t="inlineStr">
        <is>
          <t>Not straight optic nerve.</t>
        </is>
      </c>
      <c r="C1292" t="inlineStr">
        <is>
          <t>Hello, I don't know if there are specialists here but some months ago I had a tightening while exercising(not headache, high pressure), which I felt in the X of the optic nerve. I had mri several months after and it showed that my optic nerve is not straight like usual and that's there us increased fluid around the optic nerve, and it does like a zig zag, like a lightning shape kind of thing.Should I be worried about that? Could this tightening caused this or it us from birth or something? Doctors said it's nothing,but I know they sometimes say things we want to hear.</t>
        </is>
      </c>
      <c r="D1292" t="n">
        <v>1</v>
      </c>
      <c r="E1292" t="n">
        <v>7</v>
      </c>
      <c r="F1292">
        <f>HYPERLINK("https://www.reddit.com/r/eyetriage/comments/f5s1sz/not_straight_optic_nerve/")</f>
        <v/>
      </c>
      <c r="G1292" t="inlineStr">
        <is>
          <t>2020-02-18 05:48:36</t>
        </is>
      </c>
      <c r="H1292" t="inlineStr"/>
    </row>
    <row r="1293">
      <c r="A1293" t="inlineStr">
        <is>
          <t>f5xp3x</t>
        </is>
      </c>
      <c r="B1293" t="inlineStr">
        <is>
          <t>Is this degree of hypertropia of concern?</t>
        </is>
      </c>
      <c r="C1293" t="inlineStr">
        <is>
          <t>As a note, your examinations are informative, and I will be speaking with a doctor about ways to treat it on my next visit. I'm just seeking information on the condition so I'm not going in with no understanding of the condition. I'd greatly appreciate your thoughts!
[https://imgur.com/a/PGWcHEI](https://imgur.com/a/PGWcHEI)
Regarding my vision, there is a blur when I'm reading, but I'm not sure if that's attributed to the hypertropia, astigmatisms in both eyes, or both.</t>
        </is>
      </c>
      <c r="D1293" t="n">
        <v>1</v>
      </c>
      <c r="E1293" t="n">
        <v>7</v>
      </c>
      <c r="F1293">
        <f>HYPERLINK("https://www.reddit.com/r/eyetriage/comments/f5xp3x/is_this_degree_of_hypertropia_of_concern/")</f>
        <v/>
      </c>
      <c r="G1293" t="inlineStr">
        <is>
          <t>2020-02-18 11:58:45</t>
        </is>
      </c>
      <c r="H1293" t="inlineStr"/>
    </row>
    <row r="1294">
      <c r="A1294" t="inlineStr">
        <is>
          <t>f65qsh</t>
        </is>
      </c>
      <c r="B1294" t="inlineStr">
        <is>
          <t>I'm a teen with dry eyes, but nothing my ophthalmologist gives me helps.</t>
        </is>
      </c>
      <c r="C1294" t="inlineStr">
        <is>
          <t>Any reason?</t>
        </is>
      </c>
      <c r="D1294" t="n">
        <v>1</v>
      </c>
      <c r="E1294" t="n">
        <v>5</v>
      </c>
      <c r="F1294">
        <f>HYPERLINK("https://www.reddit.com/r/eyetriage/comments/f65qsh/im_a_teen_with_dry_eyes_but_nothing_my/")</f>
        <v/>
      </c>
      <c r="G1294" t="inlineStr">
        <is>
          <t>2020-02-18 21:06:08</t>
        </is>
      </c>
      <c r="H1294" t="inlineStr"/>
    </row>
    <row r="1295">
      <c r="A1295" t="inlineStr">
        <is>
          <t>f6d84a</t>
        </is>
      </c>
      <c r="B1295" t="inlineStr">
        <is>
          <t>Pinguecula or Lesion?</t>
        </is>
      </c>
      <c r="C1295" t="inlineStr">
        <is>
          <t>Hi, so I visited my optometrist and was referred to a specialized optometrist. The doctor told me he wasn't sure if it was a pinguecula or a lesion. There is definitely a bump on my eyeball, akin to a pimple. It does not hurt and is causing me zero eye issues. I have a terrible history with my eyes. Very poor vision, high pressure (Dr thinks I was born with it and it's not glaucoma due to the pressure not changing). My appointment isn't until March 11th, and my health anxiety is through the roof. Any insight? 
Thanks in advance!!</t>
        </is>
      </c>
      <c r="D1295" t="n">
        <v>1</v>
      </c>
      <c r="E1295" t="n">
        <v>4</v>
      </c>
      <c r="F1295">
        <f>HYPERLINK("https://www.reddit.com/r/eyetriage/comments/f6d84a/pinguecula_or_lesion/")</f>
        <v/>
      </c>
      <c r="G1295" t="inlineStr">
        <is>
          <t>2020-02-19 08:35:31</t>
        </is>
      </c>
      <c r="H1295" t="inlineStr"/>
    </row>
    <row r="1296">
      <c r="A1296" t="inlineStr">
        <is>
          <t>f6hski</t>
        </is>
      </c>
      <c r="B1296" t="inlineStr">
        <is>
          <t>Eye problems, but only in New Zealand</t>
        </is>
      </c>
      <c r="C1296" t="inlineStr">
        <is>
          <t>Hi all,
I'm a female in my mid-twenties with no known long-term health issues and on no regular medication. I wear glasses, and occasionally I wear contact lenses; I don't tend to have a problem with comfort with contact lenses. I've lived in the UK all my life. I've been to New Zealand twice; once very recently, and once two years ago. On both occasions, on a number of days my eyes have become red, dry and very uncomfortable with an element of sensitivity to light, and I'm really struggling to work out what might be causing it. I originally attributed it mostly to not wearing sunglasses enough in bright light conditions, but having worn them as though my life depended it on my second visit (prescription polaroid sunglasses from an opticians), I started to doubt this. I also wondered if it could be related to dust, but I didn't have a problem at all on the day when we went for a 20km bike ride including a section by a quarry. Something whilst kayaking seemed to trigger it, as did something whilst rafting. I don't believe I've ever experienced anything similar in the UK or in any other country I've travelled to (all within Europe).
I'd be interested in any thoughts as to what the cause of this might be. My partner's a Kiwi, so we are likely to return in the future and it became quite limiting.</t>
        </is>
      </c>
      <c r="D1296" t="n">
        <v>1</v>
      </c>
      <c r="E1296" t="n">
        <v>3</v>
      </c>
      <c r="F1296">
        <f>HYPERLINK("https://www.reddit.com/r/eyetriage/comments/f6hski/eye_problems_but_only_in_new_zealand/")</f>
        <v/>
      </c>
      <c r="G1296" t="inlineStr">
        <is>
          <t>2020-02-19 13:34:01</t>
        </is>
      </c>
      <c r="H1296" t="inlineStr"/>
    </row>
    <row r="1297">
      <c r="A1297" t="inlineStr">
        <is>
          <t>f6k385</t>
        </is>
      </c>
      <c r="B1297" t="inlineStr">
        <is>
          <t>I'm a 31 years old male with secondary open angle glaucoma induced by steroids.</t>
        </is>
      </c>
      <c r="C1297" t="inlineStr">
        <is>
          <t>I just got diagnosed and I'm responding very well to drops. I have lost like 20% of visual field in my left eye and 10% in my right eye. I know glaucoma can't be completely stopped, and that I should be treated and monitored for lifetime in order to slow down it's progression. My question is, have you seen glaucomas which are stopped, with no further vision loss, for at least 10 or 15 years and then progress slowly? I'm really worried about my disease, and being blind at my 50's, or 60's. I'm just 31 years old.</t>
        </is>
      </c>
      <c r="D1297" t="n">
        <v>1</v>
      </c>
      <c r="E1297" t="n">
        <v>2</v>
      </c>
      <c r="F1297">
        <f>HYPERLINK("https://www.reddit.com/r/eyetriage/comments/f6k385/im_a_31_years_old_male_with_secondary_open_angle/")</f>
        <v/>
      </c>
      <c r="G1297" t="inlineStr">
        <is>
          <t>2020-02-19 16:07:53</t>
        </is>
      </c>
      <c r="H1297" t="inlineStr"/>
    </row>
    <row r="1298">
      <c r="A1298" t="inlineStr">
        <is>
          <t>f6k6w6</t>
        </is>
      </c>
      <c r="B1298" t="inlineStr">
        <is>
          <t>I been having a Dull pain on my right eye for a year. I did get hit with something small that shoot out of my drill but i went and they didnt see anything.</t>
        </is>
      </c>
      <c r="C1298" t="inlineStr">
        <is>
          <t>I went to 4 eye doctors and they do the same test and say they dont see anything and my eye looks ok. Im just confused now on what to do it wont go away and i dont know if theres any test that maybe can see if theres anything lodged in my eye.</t>
        </is>
      </c>
      <c r="D1298" t="n">
        <v>1</v>
      </c>
      <c r="E1298" t="n">
        <v>1</v>
      </c>
      <c r="F1298">
        <f>HYPERLINK("https://www.reddit.com/r/eyetriage/comments/f6k6w6/i_been_having_a_dull_pain_on_my_right_eye_for_a/")</f>
        <v/>
      </c>
      <c r="G1298" t="inlineStr">
        <is>
          <t>2020-02-19 16:15:41</t>
        </is>
      </c>
      <c r="H1298" t="inlineStr"/>
    </row>
    <row r="1299">
      <c r="A1299" t="inlineStr">
        <is>
          <t>f6x6vc</t>
        </is>
      </c>
      <c r="B1299" t="inlineStr">
        <is>
          <t>Question about strabism</t>
        </is>
      </c>
      <c r="C1299" t="inlineStr">
        <is>
          <t xml:space="preserve"> Hi. I had a pretty bad accident like 9 years ago, where I cut my muscle from the right eye. I had surgery, and they fixed it WHEN I'M LOOKING STRAIGHT. But when I try to look down, the eyes aren't moving symmetrical, the right one is ... slower, not as dynamic. I visited my own medic again, but he said that there is nothing she can do(she is old, retired), but it's really irritating that I can't make pictures, or read properly because I have double vision. Isn't there any exercision, or medical help that could "train" my right eye to move like my left one? I can be more in-dept if you have questions, it's really irritating me! 
https://preview.redd.it/51z8qzk5f4i41.png?width=494&amp;amp;format=png&amp;amp;auto=webp&amp;amp;s=dc968335a50b86cc2a8b5245e99e34d1ff5cc440</t>
        </is>
      </c>
      <c r="D1299" t="n">
        <v>1</v>
      </c>
      <c r="E1299" t="n">
        <v>4</v>
      </c>
      <c r="F1299">
        <f>HYPERLINK("https://www.reddit.com/r/eyetriage/comments/f6x6vc/question_about_strabism/")</f>
        <v/>
      </c>
      <c r="G1299" t="inlineStr">
        <is>
          <t>2020-02-20 10:19:56</t>
        </is>
      </c>
      <c r="H1299" t="inlineStr"/>
    </row>
    <row r="1300">
      <c r="A1300" t="inlineStr">
        <is>
          <t>f7co44</t>
        </is>
      </c>
      <c r="B1300" t="inlineStr">
        <is>
          <t>RX change</t>
        </is>
      </c>
      <c r="C1300" t="inlineStr">
        <is>
          <t>Is it possible for a prescription to change from -6.5 to -6? Got my exam records from 2018 and it states I was -6.5 and both eyes but then my recent 2019 exam said I was -6.5 and -6. Or is possible the optometrist read it wrong?</t>
        </is>
      </c>
      <c r="D1300" t="n">
        <v>1</v>
      </c>
      <c r="E1300" t="n">
        <v>3</v>
      </c>
      <c r="F1300">
        <f>HYPERLINK("https://www.reddit.com/r/eyetriage/comments/f7co44/rx_change/")</f>
        <v/>
      </c>
      <c r="G1300" t="inlineStr">
        <is>
          <t>2020-02-21 07:28:27</t>
        </is>
      </c>
      <c r="H1300" t="inlineStr"/>
    </row>
    <row r="1301">
      <c r="A1301" t="inlineStr">
        <is>
          <t>f7e3vr</t>
        </is>
      </c>
      <c r="B1301" t="inlineStr">
        <is>
          <t>Are myopia glasses for me?</t>
        </is>
      </c>
      <c r="C1301" t="inlineStr">
        <is>
          <t>Let me start by saying that I'm not sure this is even the correct place to ask this, if there's a better place, please point me in the right direction. Anyway, been trying to deal with eye strain caused by staring at a screen all day, eye drops and blue light glasses help, but still bothered a bit. Had a thought that maybe a pair of negative magnification glasses, to make everything look further away, might help. So I bought a pair, that also filter blue light, off amazon from a company called "Cyxus"....and I cant tell if they're good.
I know what strain feels like, having dealt with it for a while, and I know the weird pain you feel that's actually relief when you stare off in the distance or put a nice hot compress on your eyes. The glasses do neither, my eyes just sort of feel weird, not really bad, but just weird, I don't even know how to explain it. Do I just need an adjustment period? I still have 20/20 vision so I've never worn glasses before.</t>
        </is>
      </c>
      <c r="D1301" t="n">
        <v>1</v>
      </c>
      <c r="E1301" t="n">
        <v>10</v>
      </c>
      <c r="F1301">
        <f>HYPERLINK("https://www.reddit.com/r/eyetriage/comments/f7e3vr/are_myopia_glasses_for_me/")</f>
        <v/>
      </c>
      <c r="G1301" t="inlineStr">
        <is>
          <t>2020-02-21 09:06:24</t>
        </is>
      </c>
      <c r="H1301" t="inlineStr"/>
    </row>
    <row r="1302">
      <c r="A1302" t="inlineStr">
        <is>
          <t>f7fi0l</t>
        </is>
      </c>
      <c r="B1302" t="inlineStr">
        <is>
          <t>Sunglasses</t>
        </is>
      </c>
      <c r="C1302" t="inlineStr">
        <is>
          <t>I recently had cataract surgery and I am cleared for driving. I have worn glasses for so long it feels strange to not need them other than readers. Where is the best place to get a pair of non prescription sunglasses? I've never had to wear them because I always had a presentation pair. I don't want any distortions</t>
        </is>
      </c>
      <c r="D1302" t="n">
        <v>1</v>
      </c>
      <c r="E1302" t="n">
        <v>4</v>
      </c>
      <c r="F1302">
        <f>HYPERLINK("https://www.reddit.com/r/eyetriage/comments/f7fi0l/sunglasses/")</f>
        <v/>
      </c>
      <c r="G1302" t="inlineStr">
        <is>
          <t>2020-02-21 10:39:43</t>
        </is>
      </c>
      <c r="H1302" t="inlineStr"/>
    </row>
    <row r="1303">
      <c r="A1303" t="inlineStr">
        <is>
          <t>f7hffh</t>
        </is>
      </c>
      <c r="B1303" t="inlineStr">
        <is>
          <t>No palidema, but increased intracranial pressure.</t>
        </is>
      </c>
      <c r="C1303" t="inlineStr">
        <is>
          <t>I am afraid that I have increased pressure because MRI showed increased fluid around optic nerve. I had tests on the ophthalmologist and he didn't find any problem in my eye except high OP(22) which is propably caused by myopia(6.50). But I have symptoms of IH like hearing a sound in my left ear and a small headache(not severe or when I wake up. Mostly during the day at random times completely). Without palidema should I be afraid? I had some vision loss but the doctor isn't sure If it is caused by this. He told me to go again and I will in a few days. I have those symptoms 11 months,and palidema didn't appear.Should I do a spinal tap, doctors told me it doesn't need too but can I ask for it if I want to? Those symptoms won't go away and I don't know what's going on. They are pretty irritating tho.</t>
        </is>
      </c>
      <c r="D1303" t="n">
        <v>1</v>
      </c>
      <c r="E1303" t="n">
        <v>6</v>
      </c>
      <c r="F1303">
        <f>HYPERLINK("https://www.reddit.com/r/eyetriage/comments/f7hffh/no_palidema_but_increased_intracranial_pressure/")</f>
        <v/>
      </c>
      <c r="G1303" t="inlineStr">
        <is>
          <t>2020-02-21 12:49:20</t>
        </is>
      </c>
      <c r="H1303" t="inlineStr"/>
    </row>
    <row r="1304">
      <c r="A1304" t="inlineStr">
        <is>
          <t>f7mh7v</t>
        </is>
      </c>
      <c r="B1304" t="inlineStr">
        <is>
          <t>Seeing three images.</t>
        </is>
      </c>
      <c r="C1304" t="inlineStr">
        <is>
          <t>Hello r/eyetriage. I saw my super bad ass ophthalmologist yesterday, whom I have seen for 10 years. He is sending me to another ophthalmologist two states away (United States). No idea when. I have binocular diplopia. I developed monocular diplopia in my amblyopia eye about a year ago. He has no idea how to fix it. Currently I am wearing normal readers 1+ with a 5dp prism on the right lens. The glasses and prism only bring all the images slightly closer. About two years ago my amblyopia eye suddenly received vision. 20/200 to 20/80. It’s back to 20/200 now. I had a strabismus surgery last year. Any idea what could cause the monocular double? Not a ghost. Full on on double image, seeing three of everything. Any insight would be wonderful. Thanks for your time. Sorry if I made errors.</t>
        </is>
      </c>
      <c r="D1304" t="n">
        <v>1</v>
      </c>
      <c r="E1304" t="n">
        <v>4</v>
      </c>
      <c r="F1304">
        <f>HYPERLINK("https://www.reddit.com/r/eyetriage/comments/f7mh7v/seeing_three_images/")</f>
        <v/>
      </c>
      <c r="G1304" t="inlineStr">
        <is>
          <t>2020-02-21 18:58:06</t>
        </is>
      </c>
      <c r="H1304" t="inlineStr"/>
    </row>
    <row r="1305">
      <c r="A1305" t="inlineStr">
        <is>
          <t>f7z843</t>
        </is>
      </c>
      <c r="B1305" t="inlineStr">
        <is>
          <t>Can stress or anxiety cause red eyes? (Pinguecula or Ptergyium)</t>
        </is>
      </c>
      <c r="C1305" t="inlineStr">
        <is>
          <t>I've noticed recently that I have developed more red veins in my eyes lately. I'm not sure why. Is stress or anxiety a cause of this?</t>
        </is>
      </c>
      <c r="D1305" t="n">
        <v>1</v>
      </c>
      <c r="E1305" t="n">
        <v>3</v>
      </c>
      <c r="F1305">
        <f>HYPERLINK("https://www.reddit.com/r/eyetriage/comments/f7z843/can_stress_or_anxiety_cause_red_eyes_pinguecula/")</f>
        <v/>
      </c>
      <c r="G1305" t="inlineStr">
        <is>
          <t>2020-02-22 13:32:57</t>
        </is>
      </c>
      <c r="H1305" t="inlineStr"/>
    </row>
    <row r="1306">
      <c r="A1306" t="inlineStr">
        <is>
          <t>f7za0v</t>
        </is>
      </c>
      <c r="B1306" t="inlineStr">
        <is>
          <t>Black eye questions</t>
        </is>
      </c>
      <c r="C1306" t="inlineStr">
        <is>
          <t>Yesterday I was whacked in the eye by an elbow. It split my eyebrow open, and I felt it push my eyeball a bit. I shook it off, dressed the cut and put some ice on it. I have a little bruising, nothing too bad. 
My worry is the eyeball itself is bloodshot. Not red like a bleed, just bloodshot. I have a tiny bit of watery discharge now and then. My vision isn’t affected at all. But I’m panicked that I damaged the globe. The only soreness seems to be the cut itself. 
Should I be worried? Can I calm down a little? What should I be on the lookout for?</t>
        </is>
      </c>
      <c r="D1306" t="n">
        <v>1</v>
      </c>
      <c r="E1306" t="n">
        <v>1</v>
      </c>
      <c r="F1306">
        <f>HYPERLINK("https://www.reddit.com/r/eyetriage/comments/f7za0v/black_eye_questions/")</f>
        <v/>
      </c>
      <c r="G1306" t="inlineStr">
        <is>
          <t>2020-02-22 13:36:39</t>
        </is>
      </c>
      <c r="H1306" t="inlineStr"/>
    </row>
    <row r="1307">
      <c r="A1307" t="inlineStr">
        <is>
          <t>f800ui</t>
        </is>
      </c>
      <c r="B1307" t="inlineStr">
        <is>
          <t>Why do my contacts get blurry all of a sudden?</t>
        </is>
      </c>
      <c r="C1307" t="inlineStr">
        <is>
          <t>So I was fine this morning and then I went outside for Mardi Gras (no I didn’t get drunk or anything crazy) and my vision just got super blurry especially in my right eye and I was literally freaking out then when I got home took off my contacts and put on my glasses and now I’m fine again. Why did my contacts get blurry if they were fine at first? I did my makeup before putting my contacts in and I washed my hands before too so idk what this could be? I wear the biofinity toric lenses</t>
        </is>
      </c>
      <c r="D1307" t="n">
        <v>1</v>
      </c>
      <c r="E1307" t="n">
        <v>4</v>
      </c>
      <c r="F1307">
        <f>HYPERLINK("https://www.reddit.com/r/eyetriage/comments/f800ui/why_do_my_contacts_get_blurry_all_of_a_sudden/")</f>
        <v/>
      </c>
      <c r="G1307" t="inlineStr">
        <is>
          <t>2020-02-22 14:29:41</t>
        </is>
      </c>
      <c r="H1307" t="inlineStr"/>
    </row>
    <row r="1308">
      <c r="A1308" t="inlineStr">
        <is>
          <t>f8cyej</t>
        </is>
      </c>
      <c r="B1308" t="inlineStr">
        <is>
          <t>Binocular double vision</t>
        </is>
      </c>
      <c r="C1308" t="inlineStr">
        <is>
          <t>I have binocular double vision, only see double when both eyes are open. I tend to blink a lot because whenever I blink I see one image clearly for a brief second before they split horizontally. Is vision therapy applicable to my situation?</t>
        </is>
      </c>
      <c r="D1308" t="n">
        <v>1</v>
      </c>
      <c r="E1308" t="n">
        <v>3</v>
      </c>
      <c r="F1308">
        <f>HYPERLINK("https://www.reddit.com/r/eyetriage/comments/f8cyej/binocular_double_vision/")</f>
        <v/>
      </c>
      <c r="G1308" t="inlineStr">
        <is>
          <t>2020-02-23 09:54:56</t>
        </is>
      </c>
      <c r="H1308" t="inlineStr"/>
    </row>
    <row r="1309">
      <c r="A1309" t="inlineStr">
        <is>
          <t>f8h0gq</t>
        </is>
      </c>
      <c r="B1309" t="inlineStr">
        <is>
          <t>Bright floater that appears when blinking</t>
        </is>
      </c>
      <c r="C1309" t="inlineStr">
        <is>
          <t>Just a couple of minutes ago, I noticed this really bright floater that was appearing only when I blinked. I went into a dark room and moved my eyes around/blinked, and saw nothing. When I turned a light on, the floater would appear when I blinked my eyes (specifically right eye). I was just sitting down eating something and it appeared, and within a couple of minutes it's gone now. 
Is this normal or a cause for concern? I'm in the process of finding a new eye doctor, so any insight in the meantime would be nice. Thank you!</t>
        </is>
      </c>
      <c r="D1309" t="n">
        <v>1</v>
      </c>
      <c r="E1309" t="n">
        <v>4</v>
      </c>
      <c r="F1309">
        <f>HYPERLINK("https://www.reddit.com/r/eyetriage/comments/f8h0gq/bright_floater_that_appears_when_blinking/")</f>
        <v/>
      </c>
      <c r="G1309" t="inlineStr">
        <is>
          <t>2020-02-23 14:22:41</t>
        </is>
      </c>
      <c r="H1309" t="inlineStr"/>
    </row>
    <row r="1310">
      <c r="A1310" t="inlineStr">
        <is>
          <t>f8mfun</t>
        </is>
      </c>
      <c r="B1310" t="inlineStr">
        <is>
          <t>Left eye felt like it went slanted for a brief moment</t>
        </is>
      </c>
      <c r="C1310" t="inlineStr">
        <is>
          <t xml:space="preserve">
Hello! So I had been doing homework at my PC for a couple of hours, as well as smoking marijuana (just giving the facts), and all of a sudden my left eye felt like it went slanted upwards and left for a very brief second. Then I got a rush all through my body.
Could this be fatigue? Or is this something I should check out. I’ve also had a headache on the same side a couple of days prior. 
Thanks</t>
        </is>
      </c>
      <c r="D1310" t="n">
        <v>1</v>
      </c>
      <c r="E1310" t="n">
        <v>0</v>
      </c>
      <c r="F1310">
        <f>HYPERLINK("https://www.reddit.com/r/eyetriage/comments/f8mfun/left_eye_felt_like_it_went_slanted_for_a_brief/")</f>
        <v/>
      </c>
      <c r="G1310" t="inlineStr">
        <is>
          <t>2020-02-23 21:21:37</t>
        </is>
      </c>
      <c r="H1310" t="inlineStr"/>
    </row>
    <row r="1311">
      <c r="A1311" t="inlineStr">
        <is>
          <t>f8n7xe</t>
        </is>
      </c>
      <c r="B1311" t="inlineStr">
        <is>
          <t>Post Retinal Detachment Dry Eye</t>
        </is>
      </c>
      <c r="C1311" t="inlineStr">
        <is>
          <t>I had retinal detachment surgery in my left eye over 5 years ago. Since then, i've had an issue where towards the evening, my left eye becomes increasingly red (near the corners of the eye in particular). My ophthalmologist saw nothing wrong and recommended Visine and other vasoconstricting drops (which I know to avoid).
I had my eye checked with an optometrist who said it was dry eyes. He recommended artificial tears, warm compresses, blinking exercises, staying hydrated, and Omega-3 supplements. I followed all his instructions for almost half a year, but didn't see significant improvements.
Lastly, I saw a retinal specialist who told me that it was dry eye that was a result of the surgery. I'm not too clear on the nature of the operation but something about the incisions made makes it much more likely for the eye to get irritated. He told me to rest my eyes for 3-4 minutes throughout the day, which did not yield any significant improvements either.
Currently, it's difficult for me to go out at night because my left eye can be completely blood red, especially past midnight. When I was interning last summer, I had to rely on Lumify for days where I had presentations or other similar situations. I'm considering getting a scleral contact lens to cover it up, but people online have said it is not comfortable and will only dry the eye up further. If anyone has any advice or tips, they would be greatly appreciated. Thanks for reading.</t>
        </is>
      </c>
      <c r="D1311" t="n">
        <v>1</v>
      </c>
      <c r="E1311" t="n">
        <v>3</v>
      </c>
      <c r="F1311">
        <f>HYPERLINK("https://www.reddit.com/r/eyetriage/comments/f8n7xe/post_retinal_detachment_dry_eye/")</f>
        <v/>
      </c>
      <c r="G1311" t="inlineStr">
        <is>
          <t>2020-02-23 22:34:37</t>
        </is>
      </c>
      <c r="H1311" t="inlineStr"/>
    </row>
    <row r="1312">
      <c r="A1312" t="inlineStr">
        <is>
          <t>f8rlfy</t>
        </is>
      </c>
      <c r="B1312" t="inlineStr">
        <is>
          <t>Bright circle/spot in peripheral?! Help!</t>
        </is>
      </c>
      <c r="C1312" t="inlineStr">
        <is>
          <t>Please help - 
In the far left side of my left eye's vision (my peripheral) I see a bright circle shaped area. In some lightings, it looks dark (like a shadow) and in others it looks bright. It grows larger in my peripheral if i stretch my eyes and lift my forehead. I notice it most when I am stood next to a white wall.
I am really concerned. any idea of what this could be?</t>
        </is>
      </c>
      <c r="D1312" t="n">
        <v>1</v>
      </c>
      <c r="E1312" t="n">
        <v>2</v>
      </c>
      <c r="F1312">
        <f>HYPERLINK("https://www.reddit.com/r/eyetriage/comments/f8rlfy/bright_circlespot_in_peripheral_help/")</f>
        <v/>
      </c>
      <c r="G1312" t="inlineStr">
        <is>
          <t>2020-02-24 05:59:54</t>
        </is>
      </c>
      <c r="H1312" t="inlineStr"/>
    </row>
    <row r="1313">
      <c r="A1313" t="inlineStr">
        <is>
          <t>f8wr77</t>
        </is>
      </c>
      <c r="B1313" t="inlineStr">
        <is>
          <t>Infant Subconjunctival Hemorrhag</t>
        </is>
      </c>
      <c r="C1313" t="inlineStr">
        <is>
          <t>My 12 week old boy has red streaks in both his eyes and after researching online I think it could either be subconjunctival hemorrhage or pink eye. Although I don’t think it’s pink eye since there isn’t any pus and he doesn’t appear to be irritated by it. If it is the former, online sources say it’s harmless and will go away in few days but I’m wondering what caused it???</t>
        </is>
      </c>
      <c r="D1313" t="n">
        <v>1</v>
      </c>
      <c r="E1313" t="n">
        <v>0</v>
      </c>
      <c r="F1313">
        <f>HYPERLINK("https://www.reddit.com/r/eyetriage/comments/f8wr77/infant_subconjunctival_hemorrhag/")</f>
        <v/>
      </c>
      <c r="G1313" t="inlineStr">
        <is>
          <t>2020-02-24 11:38:56</t>
        </is>
      </c>
      <c r="H1313" t="inlineStr"/>
    </row>
    <row r="1314">
      <c r="A1314" t="inlineStr">
        <is>
          <t>f8xez2</t>
        </is>
      </c>
      <c r="B1314" t="inlineStr">
        <is>
          <t>Floaters</t>
        </is>
      </c>
      <c r="C1314" t="inlineStr">
        <is>
          <t>Is there any procedure that can remove floaters? I've had them for 10 years. I had a tear in my retina from post vitreous detachment which was fixed by a retina specialist. Recently I had cataract surgery and the toric lens was used. A co-worker said that on one of her follow-up visits the doctor lasered the floaters and she didn't have them anymore. Is that even possible? It wasn't offered to me.</t>
        </is>
      </c>
      <c r="D1314" t="n">
        <v>1</v>
      </c>
      <c r="E1314" t="n">
        <v>4</v>
      </c>
      <c r="F1314">
        <f>HYPERLINK("https://www.reddit.com/r/eyetriage/comments/f8xez2/floaters/")</f>
        <v/>
      </c>
      <c r="G1314" t="inlineStr">
        <is>
          <t>2020-02-24 12:20:30</t>
        </is>
      </c>
      <c r="H1314" t="inlineStr"/>
    </row>
    <row r="1315">
      <c r="A1315" t="inlineStr">
        <is>
          <t>f94in6</t>
        </is>
      </c>
      <c r="B1315" t="inlineStr">
        <is>
          <t>Constant green phosphenes waves of light in corner of left eye vision, anything wrong?</t>
        </is>
      </c>
      <c r="C1315" t="inlineStr">
        <is>
          <t>For a few days now I've had these constant green phosphenes in the corner of my left eye that I can sometimes notice when my eyes are open but most when my eyes are closed. They don't obstruct my vision but are extremely annoying. I don't have any more floaters or shadows in my vision so I can rule out retinal detachment. What could this be? My eye clinic doesn't open until tomorrow.</t>
        </is>
      </c>
      <c r="D1315" t="n">
        <v>1</v>
      </c>
      <c r="E1315" t="n">
        <v>1</v>
      </c>
      <c r="F1315">
        <f>HYPERLINK("https://www.reddit.com/r/eyetriage/comments/f94in6/constant_green_phosphenes_waves_of_light_in/")</f>
        <v/>
      </c>
      <c r="G1315" t="inlineStr">
        <is>
          <t>2020-02-24 20:21:24</t>
        </is>
      </c>
      <c r="H1315" t="inlineStr"/>
    </row>
    <row r="1316">
      <c r="A1316" t="inlineStr">
        <is>
          <t>f9b9ig</t>
        </is>
      </c>
      <c r="B1316" t="inlineStr">
        <is>
          <t>Seeing a bit of haziness around bright lights?</t>
        </is>
      </c>
      <c r="C1316" t="inlineStr">
        <is>
          <t>I am seeing some slight cloudiness around bright lights, which is most noticeable in high contrast situations like bright street lights at night. However, today I went in the elevator and noticed some haziness when looking at the light above. I think I've really only noticed it somewhat within the past few months; should I get it checked out by my ophthalmologist? I usually have regular checkups around every 6 months or so and no issues were found in my good eye which is what I'm seeing the slight haziness from. I am a 25 year old male. Is this cause for concern of early onset cataracts?</t>
        </is>
      </c>
      <c r="D1316" t="n">
        <v>1</v>
      </c>
      <c r="E1316" t="n">
        <v>0</v>
      </c>
      <c r="F1316">
        <f>HYPERLINK("https://www.reddit.com/r/eyetriage/comments/f9b9ig/seeing_a_bit_of_haziness_around_bright_lights/")</f>
        <v/>
      </c>
      <c r="G1316" t="inlineStr">
        <is>
          <t>2020-02-25 06:44:32</t>
        </is>
      </c>
      <c r="H1316" t="inlineStr"/>
    </row>
    <row r="1317">
      <c r="A1317" t="inlineStr">
        <is>
          <t>f9g6gn</t>
        </is>
      </c>
      <c r="B1317" t="inlineStr">
        <is>
          <t>Trying to understand how my astigmatism will be affected during cataract surgery</t>
        </is>
      </c>
      <c r="C1317" t="inlineStr">
        <is>
          <t>In my right eye, I'm about to receive a Tecnis Toric ZCT150, which is listed to have a "Cylinder Power at Corneal Plane" of 1.03. My preoperative refractive results ([https://imgur.com/a/1eK4xKC](https://imgur.com/a/1eK4xKC)) show -1.67D and -1.49D for my right eye, not sure which value applies here.
Not taking into account surgically induced astigmatism (SIA) - what would be the effective post-operative result?
[And then, of course, there is the SIA which makes everything much more complicated. I intend to do a separate post on that, but I'm still having trouble to even formulate my question (there are just so many factors, wtr/atr, superior/temporal, age related changes, long term SIA outcomes). I have no idea what to expect]</t>
        </is>
      </c>
      <c r="D1317" t="n">
        <v>1</v>
      </c>
      <c r="E1317" t="n">
        <v>30</v>
      </c>
      <c r="F1317">
        <f>HYPERLINK("https://www.reddit.com/r/eyetriage/comments/f9g6gn/trying_to_understand_how_my_astigmatism_will_be/")</f>
        <v/>
      </c>
      <c r="G1317" t="inlineStr">
        <is>
          <t>2020-02-25 12:02:58</t>
        </is>
      </c>
      <c r="H1317" t="inlineStr"/>
    </row>
    <row r="1318">
      <c r="A1318" t="inlineStr">
        <is>
          <t>f9gga8</t>
        </is>
      </c>
      <c r="B1318" t="inlineStr">
        <is>
          <t>Cataract Surgery - how well can incisions (LRI/CRI) address astigmatism?</t>
        </is>
      </c>
      <c r="C1318" t="inlineStr">
        <is>
          <t>I'm thinking about alternatives to a Toric IOL. 
With pre-operative "With The Rule" astigmatism of -1.67D/23° (or -1.49D/18°... see right eye here:  [https://imgur.com/a/1eK4xKC](https://imgur.com/a/1eK4xKC)), what could I expect from incision based corrections (Corneal/Limbal Relaxing Incisions or Superior Incision Approach)?
How much can be corrected, how precise is it, and does the effect diminish with time? Are there risks/side effects?</t>
        </is>
      </c>
      <c r="D1318" t="n">
        <v>1</v>
      </c>
      <c r="E1318" t="n">
        <v>1</v>
      </c>
      <c r="F1318">
        <f>HYPERLINK("https://www.reddit.com/r/eyetriage/comments/f9gga8/cataract_surgery_how_well_can_incisions_lricri/")</f>
        <v/>
      </c>
      <c r="G1318" t="inlineStr">
        <is>
          <t>2020-02-25 12:20:01</t>
        </is>
      </c>
      <c r="H1318" t="inlineStr"/>
    </row>
    <row r="1319">
      <c r="A1319" t="inlineStr">
        <is>
          <t>f9szvm</t>
        </is>
      </c>
      <c r="B1319" t="inlineStr">
        <is>
          <t>Could an OCT scan diagnose ocular toxocariasis</t>
        </is>
      </c>
      <c r="C1319" t="inlineStr">
        <is>
          <t>Hi all,   
Just a quick question, would an OCT scan have any benefit in diagnosing ocular toxocariasis?  
Or would the eye look otherwise healthy to this kind of scan or retinal photography?   
Thanks.</t>
        </is>
      </c>
      <c r="D1319" t="n">
        <v>1</v>
      </c>
      <c r="E1319" t="n">
        <v>18</v>
      </c>
      <c r="F1319">
        <f>HYPERLINK("https://www.reddit.com/r/eyetriage/comments/f9szvm/could_an_oct_scan_diagnose_ocular_toxocariasis/")</f>
        <v/>
      </c>
      <c r="G1319" t="inlineStr">
        <is>
          <t>2020-02-26 05:11:41</t>
        </is>
      </c>
      <c r="H1319" t="inlineStr"/>
    </row>
    <row r="1320">
      <c r="A1320" t="inlineStr">
        <is>
          <t>fa099x</t>
        </is>
      </c>
      <c r="B1320" t="inlineStr">
        <is>
          <t>Red color washed out ?</t>
        </is>
      </c>
      <c r="C1320" t="inlineStr">
        <is>
          <t>What could cause the red color to appear burgundy-ish ? Last week, i got out of the shower and my vision was weird, first thing i noticed is the color red seemed of, it was more burgundy. I had no pain, but some occasional blurriness. The whole thing went away after 4-5 days. I consulted doctor google and saw that it may be optic neuritis ? Is this possible, without pain and for such a short period ? Thanks</t>
        </is>
      </c>
      <c r="D1320" t="n">
        <v>1</v>
      </c>
      <c r="E1320" t="n">
        <v>4</v>
      </c>
      <c r="F1320">
        <f>HYPERLINK("https://www.reddit.com/r/eyetriage/comments/fa099x/red_color_washed_out/")</f>
        <v/>
      </c>
      <c r="G1320" t="inlineStr">
        <is>
          <t>2020-02-26 13:06:13</t>
        </is>
      </c>
      <c r="H1320" t="inlineStr"/>
    </row>
    <row r="1321">
      <c r="A1321" t="inlineStr">
        <is>
          <t>fa3pt8</t>
        </is>
      </c>
      <c r="B1321" t="inlineStr">
        <is>
          <t>Does artificial light degrade latanoprost?</t>
        </is>
      </c>
      <c r="C1321" t="inlineStr">
        <is>
          <t>The label on the box says to protect the bottle from light. I didn't know if latanoprost was sensitive towards all forms of light, or just UV light from the sun.
Thank you.</t>
        </is>
      </c>
      <c r="D1321" t="n">
        <v>1</v>
      </c>
      <c r="E1321" t="n">
        <v>1</v>
      </c>
      <c r="F1321">
        <f>HYPERLINK("https://www.reddit.com/r/eyetriage/comments/fa3pt8/does_artificial_light_degrade_latanoprost/")</f>
        <v/>
      </c>
      <c r="G1321" t="inlineStr">
        <is>
          <t>2020-02-26 16:52:53</t>
        </is>
      </c>
      <c r="H1321" t="inlineStr"/>
    </row>
    <row r="1322">
      <c r="A1322" t="inlineStr">
        <is>
          <t>fa46l7</t>
        </is>
      </c>
      <c r="B1322" t="inlineStr">
        <is>
          <t>Hazy burning eyes now today...I think caused by Clorox wipe residue in contacts case</t>
        </is>
      </c>
      <c r="C1322" t="inlineStr">
        <is>
          <t>As the title states, I think some Clorox wipe residue may have gotten into the storage area of my contacts case when cleaning it over the weekend.
I opened a fresh pair of contacts yesterday, took them out last night &amp;amp; put them in the freshly cleaned case.
Upon putting them in today, they felt perfect. Over the next hour or two, they got a bit hazy. Sometimes this happens with my makeup, so I figured that’s what it was.  I removed my contacts at 5:30 pm and then the burn/stinging started. It burns if I close my eyes, and also when keep them open, with lots of watering. I tried an eye rinse at the sink and it burned quite badly. I put drops in after this to try to calm them down.
I’m concerned because I was laid off and do not have insurance at the moment. Any information on what I can do to help this situation would be greatly appreciated.  I’m just really scared for my vision...my left is much worse than my right.  
Also, I will never try to clean a case again.
TL;DR I think I got Clorox wipe residue in my contacts case on accident and my eyes are burning &amp;amp; have hazy vision. Help!</t>
        </is>
      </c>
      <c r="D1322" t="n">
        <v>1</v>
      </c>
      <c r="E1322" t="n">
        <v>5</v>
      </c>
      <c r="F1322">
        <f>HYPERLINK("https://www.reddit.com/r/eyetriage/comments/fa46l7/hazy_burning_eyes_now_todayi_think_caused_by/")</f>
        <v/>
      </c>
      <c r="G1322" t="inlineStr">
        <is>
          <t>2020-02-26 17:27:22</t>
        </is>
      </c>
      <c r="H1322" t="inlineStr"/>
    </row>
    <row r="1323">
      <c r="A1323" t="inlineStr">
        <is>
          <t>fa8zwv</t>
        </is>
      </c>
      <c r="B1323" t="inlineStr">
        <is>
          <t>I had Ptosis surgery to correct a droop from Horner's Syndrome - I have a question about eyelid creases</t>
        </is>
      </c>
      <c r="C1323" t="inlineStr">
        <is>
          <t>I have acquired Horner's Syndrome approximately 4-5 years ago from a lesion to a nerve in my neck which resulted in the usual symptoms - most importantly for me was to have the Ptosis corrected to regain some symmetry.
The surgery went fantastically well (it was done 14\~ months ago) and I have achieved significant improvement in symmetry - my only issue that I have now is that it seems that whilst I was effected by Ptosis it caused my eyelid to develop a couple of different creases. When my eyelid folds along on the 'right' crease my eyes look bang on perfect and when folding slightly higher and not meeting all the way to the edge of my eyelid it looks very uneven &amp;amp; almost puffy. 
My question is, is there a reliable way that I can help it define along one normal crease line? Will it over time 'correct' itself now that I have had and recovered from the Ptosis surgery, will it just be a matter of time for my eye to get used to folding along the 'right' crease? It does seem to fold that way most of the time it is just very annoying when it doesn't and I get obvious asymmetry. 
All replies greatly appreciated :)</t>
        </is>
      </c>
      <c r="D1323" t="n">
        <v>1</v>
      </c>
      <c r="E1323" t="n">
        <v>2</v>
      </c>
      <c r="F1323">
        <f>HYPERLINK("https://www.reddit.com/r/eyetriage/comments/fa8zwv/i_had_ptosis_surgery_to_correct_a_droop_from/")</f>
        <v/>
      </c>
      <c r="G1323" t="inlineStr">
        <is>
          <t>2020-02-27 00:19:46</t>
        </is>
      </c>
      <c r="H1323" t="inlineStr"/>
    </row>
    <row r="1324">
      <c r="A1324" t="inlineStr">
        <is>
          <t>faaf18</t>
        </is>
      </c>
      <c r="B1324" t="inlineStr">
        <is>
          <t>How soon could an OCT scan detect retinal detachment?</t>
        </is>
      </c>
      <c r="C1324" t="inlineStr">
        <is>
          <t xml:space="preserve"> 
Hi everyone,
Would anyone be able to tell me how early a OCT scan and retinal photography would be able to detect any kind of retinal detachment or tear?
Days, weeks? Can it only detect things once damage has begun?
And does anyone know what the "gold standard" is for eye scans that would rule out anything sinsister 100%? Is an OCT scan able to do that, or does it leave some room for error?
Any information would be a great help, thanks.</t>
        </is>
      </c>
      <c r="D1324" t="n">
        <v>1</v>
      </c>
      <c r="E1324" t="n">
        <v>3</v>
      </c>
      <c r="F1324">
        <f>HYPERLINK("https://www.reddit.com/r/eyetriage/comments/faaf18/how_soon_could_an_oct_scan_detect_retinal/")</f>
        <v/>
      </c>
      <c r="G1324" t="inlineStr">
        <is>
          <t>2020-02-27 02:57:58</t>
        </is>
      </c>
      <c r="H1324" t="inlineStr"/>
    </row>
    <row r="1325">
      <c r="A1325" t="inlineStr">
        <is>
          <t>faakqp</t>
        </is>
      </c>
      <c r="B1325" t="inlineStr">
        <is>
          <t>Extreme dry eyes problems</t>
        </is>
      </c>
      <c r="C1325" t="inlineStr">
        <is>
          <t>I got a schirmer's test done and my tear production was at 3mm. Could this affect my corneal thickness and my vision? I suddenly have mild astigmatism and my corneas are of different thickness, left being 470 and right being 510. I started feeling my left eye sting once in a while. Could my extreme dry eyes be the cause of these?</t>
        </is>
      </c>
      <c r="D1325" t="n">
        <v>1</v>
      </c>
      <c r="E1325" t="n">
        <v>12</v>
      </c>
      <c r="F1325">
        <f>HYPERLINK("https://www.reddit.com/r/eyetriage/comments/faakqp/extreme_dry_eyes_problems/")</f>
        <v/>
      </c>
      <c r="G1325" t="inlineStr">
        <is>
          <t>2020-02-27 03:13:57</t>
        </is>
      </c>
      <c r="H1325" t="inlineStr"/>
    </row>
    <row r="1326">
      <c r="A1326" t="inlineStr">
        <is>
          <t>faecuk</t>
        </is>
      </c>
      <c r="B1326" t="inlineStr">
        <is>
          <t>Retinal Hole</t>
        </is>
      </c>
      <c r="C1326" t="inlineStr">
        <is>
          <t>Hi guys and gals! Everyone says something different and google is the worst place to look..
So I’m 24(M) eye sight is fine, had Lasik 2 years ago. Long story short, few months back went to my optometrist and he did an eye test and saw a retinal hole, he was not worried and said come back in a few months.. after that I came back and he said to come back in another 6 months as it was small and not near anywhere important? But he said you could get it fixed so he referred me to a retinal specialist. 2 optometrists just saw the 1 in the left eye, fast forward to Monday... went to see him and he said their were 5 small ones in the left and 2 in the right. He said some liquid was going through a little but so he did the laser and that was about it, he said no follow up required and boom... now... I’m kinda stressed with this for future as he said more holes can come or not... depends.. but he said if they do they just laser them and that’s it. My question is that I’m really stressed about this... he said I’m nearsighted so as per this happening but no optometrist ever told me that... hoping no holes ever appear again, but he said to yearly do a checkup... Long term hopefully no holes appear again... but if they do is it just laser it and that’s it? Is it bad that these holes appear and you keep lasering them? Every eye doc has said different things.. thanks a lot! Just stressed me it thinking about the future.</t>
        </is>
      </c>
      <c r="D1326" t="n">
        <v>1</v>
      </c>
      <c r="E1326" t="n">
        <v>3</v>
      </c>
      <c r="F1326">
        <f>HYPERLINK("https://www.reddit.com/r/eyetriage/comments/faecuk/retinal_hole/")</f>
        <v/>
      </c>
      <c r="G1326" t="inlineStr">
        <is>
          <t>2020-02-27 08:11:29</t>
        </is>
      </c>
      <c r="H1326" t="inlineStr"/>
    </row>
    <row r="1327">
      <c r="A1327" t="inlineStr">
        <is>
          <t>fafce0</t>
        </is>
      </c>
      <c r="B1327" t="inlineStr">
        <is>
          <t>Posterior capsule opacification/YAG complication</t>
        </is>
      </c>
      <c r="C1327" t="inlineStr">
        <is>
          <t>Hi, 
Last Tuesday, I had a Posterior capsule opacification in one of my eyes.  Which, according to my doctor, was to help with minor cloudy vision after my cataract surgery last year.
The procedure was quick and painless, however I now have this opaque spot that comes and goes as I move my eye.  
It doesn't affect my entire field of vision, it's just a hazy spot that seems to float around as I'm moving my eyes throughout the day.  It fact it's like a floater in the way that it moves, but it's not a floater because I've had one in my other eye for years and this one just appeared after the procedure last Tuesday. Plus this one isn't dark, it's like a cloudy or opaque mass.
I don't feel anything, I just see it appear in my field of vision, then disappear.
I messaged my doctor, and he said this is normal in some patients and that it will eventually fall out of my field of vision.
So I'm just wondering, what could this thing be?  Has anyone ever heard of something like this?
Thanks</t>
        </is>
      </c>
      <c r="D1327" t="n">
        <v>1</v>
      </c>
      <c r="E1327" t="n">
        <v>3</v>
      </c>
      <c r="F1327">
        <f>HYPERLINK("https://www.reddit.com/r/eyetriage/comments/fafce0/posterior_capsule_opacificationyag_complication/")</f>
        <v/>
      </c>
      <c r="G1327" t="inlineStr">
        <is>
          <t>2020-02-27 09:15:57</t>
        </is>
      </c>
      <c r="H1327" t="inlineStr"/>
    </row>
    <row r="1328">
      <c r="A1328" t="inlineStr">
        <is>
          <t>fax970</t>
        </is>
      </c>
      <c r="B1328" t="inlineStr">
        <is>
          <t>22 years old and just found out I have congenital cataracts?</t>
        </is>
      </c>
      <c r="C1328" t="inlineStr">
        <is>
          <t>As the title says I'm 22 and was just told for the first time that I've had cataracts since I was born or very very young. I have no visible cloudiness in my eyes, I have 20/20 vision and normal depth perception. Essentially I have never had a vision problem in my life and my parents were never told I had cataracts either. An opthamologist found these "cataracts" which she described as "scratches on the windshield of my eye" during a cycloplegic refraction during which I also passed all the tests and still had 20/20 vision.
I am in the military and this will be a problem for me and limit my career options and possibly get me kicked out.  Is it possible to have cataracts and no side effects whatsoever? This just doesn't make sense to me and if she's taking the scratches too seriously I don't want it to affect my career.</t>
        </is>
      </c>
      <c r="D1328" t="n">
        <v>1</v>
      </c>
      <c r="E1328" t="n">
        <v>9</v>
      </c>
      <c r="F1328">
        <f>HYPERLINK("https://www.reddit.com/r/eyetriage/comments/fax970/22_years_old_and_just_found_out_i_have_congenital/")</f>
        <v/>
      </c>
      <c r="G1328" t="inlineStr">
        <is>
          <t>2020-02-28 08:27:38</t>
        </is>
      </c>
      <c r="H1328" t="inlineStr"/>
    </row>
    <row r="1329">
      <c r="A1329" t="inlineStr">
        <is>
          <t>faxzmg</t>
        </is>
      </c>
      <c r="B1329" t="inlineStr">
        <is>
          <t>is previously done ALT a contraindication for future MIGS surgeries?</t>
        </is>
      </c>
      <c r="C1329" t="inlineStr">
        <is>
          <t>/crosspost from /glaucoma
Hello guys,
i heard that having done ALT laser can be a contraindication for future MIGS, like xen stents etc? i am recommended to have that surgery done and i have done ALT previously. any advice? should i go with it? pigmentary glaucoma patient if it matters</t>
        </is>
      </c>
      <c r="D1329" t="n">
        <v>1</v>
      </c>
      <c r="E1329" t="n">
        <v>4</v>
      </c>
      <c r="F1329">
        <f>HYPERLINK("https://www.reddit.com/r/eyetriage/comments/faxzmg/is_previously_done_alt_a_contraindication_for/")</f>
        <v/>
      </c>
      <c r="G1329" t="inlineStr">
        <is>
          <t>2020-02-28 09:13:30</t>
        </is>
      </c>
      <c r="H1329" t="inlineStr"/>
    </row>
    <row r="1330">
      <c r="A1330" t="inlineStr">
        <is>
          <t>fazhhg</t>
        </is>
      </c>
      <c r="B1330" t="inlineStr">
        <is>
          <t>unidose/monodose eyedrop advice</t>
        </is>
      </c>
      <c r="C1330" t="inlineStr">
        <is>
          <t>Hi all,
I'm recovering from AK. I got a PK 3,5 months ago. A month ago my doctor changed my meds from tobradex to dex only, 1 drop 6x a day.
She prescribed me a monodose eyedrop, and said that I can use a pipette (idk theenglish name flr the dose container sorry) for 24 hours.
However, upon reading the brochure, I read ot says to throw away the container after every application.
What is the truth? Doc doesn't respond and phaacists don't know. 
Please help, I'm scared of bad consequences.</t>
        </is>
      </c>
      <c r="D1330" t="n">
        <v>1</v>
      </c>
      <c r="E1330" t="n">
        <v>2</v>
      </c>
      <c r="F1330">
        <f>HYPERLINK("https://www.reddit.com/r/eyetriage/comments/fazhhg/unidosemonodose_eyedrop_advice/")</f>
        <v/>
      </c>
      <c r="G1330" t="inlineStr">
        <is>
          <t>2020-02-28 10:46:56</t>
        </is>
      </c>
      <c r="H1330" t="inlineStr"/>
    </row>
    <row r="1331">
      <c r="A1331" t="inlineStr">
        <is>
          <t>fb04m1</t>
        </is>
      </c>
      <c r="B1331" t="inlineStr">
        <is>
          <t>New astigmatism rx blurs if I tilt my head left</t>
        </is>
      </c>
      <c r="C1331" t="inlineStr">
        <is>
          <t>I ordered some frames and lenses online after getting a new prescription from my eye doctor, and I've been having some problems when I tilt my head. 
Specifically, if I tilt my head (or glasses) even slightly to the left, my glasses blur, and stays blurry as it tilt and hold postion. However, if I tilt my head back right by any amount, my vision clears up again. 
Like for example, let's say I tilt my head left by 20 degrees, my vision blurs up, but then from that position I tilt it right by 5 degrees (so 15 degrees to the left of center), my vision clears up. 
If I tilt my head to the right, my vision is clear regardless of the degree.
For some background, doc told me my astigmatism rx went up by about a half diopter in each eye (od 2.75 axis 180 and os 3.5 axis 5 now (no word about my axis changing)), and was very dismissive when I asked for my pd (she said something to the effect of "I don't know, like 62.5"), so I just put 63 on the website I ordered from. Not sure if either of those things would contribute, but doesn't hurt to include.
I also ordered a second pair at the same time with the same rx, and it has the same tilt problem.
Is this just something that happens with astigmatism, or is there some sort of error/defect with my rx/lenses? I don't remember ever having this problem before. Thanks.</t>
        </is>
      </c>
      <c r="D1331" t="n">
        <v>1</v>
      </c>
      <c r="E1331" t="n">
        <v>4</v>
      </c>
      <c r="F1331">
        <f>HYPERLINK("https://www.reddit.com/r/eyetriage/comments/fb04m1/new_astigmatism_rx_blurs_if_i_tilt_my_head_left/")</f>
        <v/>
      </c>
      <c r="G1331" t="inlineStr">
        <is>
          <t>2020-02-28 11:28:33</t>
        </is>
      </c>
      <c r="H1331" t="inlineStr"/>
    </row>
    <row r="1332">
      <c r="A1332" t="inlineStr">
        <is>
          <t>fb3hyu</t>
        </is>
      </c>
      <c r="B1332" t="inlineStr">
        <is>
          <t>Tired eyes or something else?</t>
        </is>
      </c>
      <c r="C1332" t="inlineStr">
        <is>
          <t>Age - 30
Gender - Male
Country - USA
I’ve been looking at too many screens at work and my phone so my eyes are a bit tired and sore. 
I noticed my right eyelid appears to be dropping a bit. Is this due to my eyes being tired or something else?
https://i.imgur.com/IcOeiZ9.jpg
I’ve read they can also droop due to a stroke or something serious. Just thought I’d ask if this looks concerning.</t>
        </is>
      </c>
      <c r="D1332" t="n">
        <v>1</v>
      </c>
      <c r="E1332" t="n">
        <v>1</v>
      </c>
      <c r="F1332">
        <f>HYPERLINK("https://www.reddit.com/r/eyetriage/comments/fb3hyu/tired_eyes_or_something_else/")</f>
        <v/>
      </c>
      <c r="G1332" t="inlineStr">
        <is>
          <t>2020-02-28 15:22:07</t>
        </is>
      </c>
      <c r="H1332" t="inlineStr"/>
    </row>
    <row r="1333">
      <c r="A1333" t="inlineStr">
        <is>
          <t>fb4oxl</t>
        </is>
      </c>
      <c r="B1333" t="inlineStr">
        <is>
          <t>Diagnosed with Behçet’s Syndrome</t>
        </is>
      </c>
      <c r="C1333" t="inlineStr">
        <is>
          <t>My rheumatologist diagnosed me with Behcets Syndrome this morning and mentioned eye problems will be a large component.  I’ve had scleritis before but not uveitis.  
Anyone familiar with this disease and have any suggestions?  I am going to be seeing my ophthalmologist.   
To make things more complicated, I also have Osteogenesis Imperfecta so my sclera is already thin and I have subtle sunflower cataracts.   If anyone has any information that they’re willing to share, I would appreciate it.  30 year old female if it matters.</t>
        </is>
      </c>
      <c r="D1333" t="n">
        <v>1</v>
      </c>
      <c r="E1333" t="n">
        <v>4</v>
      </c>
      <c r="F1333">
        <f>HYPERLINK("https://www.reddit.com/r/eyetriage/comments/fb4oxl/diagnosed_with_behçets_syndrome/")</f>
        <v/>
      </c>
      <c r="G1333" t="inlineStr">
        <is>
          <t>2020-02-28 16:54:59</t>
        </is>
      </c>
      <c r="H1333" t="inlineStr"/>
    </row>
    <row r="1334">
      <c r="A1334" t="inlineStr">
        <is>
          <t>fb4wbn</t>
        </is>
      </c>
      <c r="B1334" t="inlineStr">
        <is>
          <t>Why my vision goes dark after staring at something for a few seconds</t>
        </is>
      </c>
      <c r="C1334" t="inlineStr">
        <is>
          <t>If I cover one of my eyes (it happens with both) and I stare at something, my vision goes dark. I'm talking about can't see through dark.
If I move my head I can see again. If I keep staring the dark goes away and comes back kind of in like a pulsating way.</t>
        </is>
      </c>
      <c r="D1334" t="n">
        <v>1</v>
      </c>
      <c r="E1334" t="n">
        <v>3</v>
      </c>
      <c r="F1334">
        <f>HYPERLINK("https://www.reddit.com/r/eyetriage/comments/fb4wbn/why_my_vision_goes_dark_after_staring_at/")</f>
        <v/>
      </c>
      <c r="G1334" t="inlineStr">
        <is>
          <t>2020-02-28 17:11:01</t>
        </is>
      </c>
      <c r="H1334" t="inlineStr"/>
    </row>
    <row r="1335">
      <c r="A1335" t="inlineStr">
        <is>
          <t>fbav1r</t>
        </is>
      </c>
      <c r="B1335" t="inlineStr">
        <is>
          <t>What happens if you put a -180 axis astigmatism lens on top of another -180 astigmatism lens that is rotated 180 degrees?</t>
        </is>
      </c>
      <c r="C1335" t="inlineStr">
        <is>
          <t>What prescription does this create?</t>
        </is>
      </c>
      <c r="D1335" t="n">
        <v>1</v>
      </c>
      <c r="E1335" t="n">
        <v>11</v>
      </c>
      <c r="F1335">
        <f>HYPERLINK("https://www.reddit.com/r/eyetriage/comments/fbav1r/what_happens_if_you_put_a_180_axis_astigmatism/")</f>
        <v/>
      </c>
      <c r="G1335" t="inlineStr">
        <is>
          <t>2020-02-29 02:43:14</t>
        </is>
      </c>
      <c r="H1335" t="inlineStr"/>
    </row>
    <row r="1336">
      <c r="A1336" t="inlineStr">
        <is>
          <t>fbb54u</t>
        </is>
      </c>
      <c r="B1336" t="inlineStr">
        <is>
          <t>Issue with contact sliding in eye</t>
        </is>
      </c>
      <c r="C1336" t="inlineStr">
        <is>
          <t>I wear contacts and have for many years.  I have pretty significant astigmatism in my left eye - I don't have my Rx in front of me, sorry.   I do know my contacts are AirOptix brand and I have worn them for several years with no problems other than occasional irritation. 
Recently I seem to be unable to keep the lens centered in my eye.  It just slides all around.  I thought perhaps my contact just needed replacement but the new one had the same issue.
I know toric lenses are weighted so I've tried to move the lens around a bit but it did not resolve the issue so I removed them in favor of (horribly out-of-date) glasses until I can be seen by my optometrist in a few weeks. 
I don't know if I need a new RX?  A different brand?  Or just to let my eyes "rest" from contacts for a bit?</t>
        </is>
      </c>
      <c r="D1336" t="n">
        <v>1</v>
      </c>
      <c r="E1336" t="n">
        <v>2</v>
      </c>
      <c r="F1336">
        <f>HYPERLINK("https://www.reddit.com/r/eyetriage/comments/fbb54u/issue_with_contact_sliding_in_eye/")</f>
        <v/>
      </c>
      <c r="G1336" t="inlineStr">
        <is>
          <t>2020-02-29 03:14:35</t>
        </is>
      </c>
      <c r="H1336" t="inlineStr"/>
    </row>
    <row r="1337">
      <c r="A1337" t="inlineStr">
        <is>
          <t>fbdxtt</t>
        </is>
      </c>
      <c r="B1337" t="inlineStr">
        <is>
          <t>Post cataract surgery</t>
        </is>
      </c>
      <c r="C1337" t="inlineStr">
        <is>
          <t>I had the first eye done over two weeks ago and that eye seems fine. The second eye I've had a few more problems with. I'm an anxious sort and my second eye didn't seem to progress as fast as the first eye. On my one week follow-up my cornea is still irritated and I had some increased pressure in that eye that I have to use drops for. The doctor said sometimes steroid eye drops can cause an elevation in pressure and also the anxiety can be a contributor. I am concerned about the pressure , will this go away or is it something I'll have forever?</t>
        </is>
      </c>
      <c r="D1337" t="n">
        <v>1</v>
      </c>
      <c r="E1337" t="n">
        <v>6</v>
      </c>
      <c r="F1337">
        <f>HYPERLINK("https://www.reddit.com/r/eyetriage/comments/fbdxtt/post_cataract_surgery/")</f>
        <v/>
      </c>
      <c r="G1337" t="inlineStr">
        <is>
          <t>2020-02-29 07:20:51</t>
        </is>
      </c>
      <c r="H1337" t="inlineStr"/>
    </row>
    <row r="1338">
      <c r="A1338" t="inlineStr">
        <is>
          <t>fbfda3</t>
        </is>
      </c>
      <c r="B1338" t="inlineStr">
        <is>
          <t>conjunctival cyst</t>
        </is>
      </c>
      <c r="C1338" t="inlineStr">
        <is>
          <t>I've developed one after a surgery I had. Has anyone ever had one removed? Was it painful to have removed?</t>
        </is>
      </c>
      <c r="D1338" t="n">
        <v>1</v>
      </c>
      <c r="E1338" t="n">
        <v>3</v>
      </c>
      <c r="F1338">
        <f>HYPERLINK("https://www.reddit.com/r/eyetriage/comments/fbfda3/conjunctival_cyst/")</f>
        <v/>
      </c>
      <c r="G1338" t="inlineStr">
        <is>
          <t>2020-02-29 08:57:59</t>
        </is>
      </c>
      <c r="H1338" t="inlineStr"/>
    </row>
    <row r="1339">
      <c r="A1339" t="inlineStr">
        <is>
          <t>fblmq9</t>
        </is>
      </c>
      <c r="B1339" t="inlineStr">
        <is>
          <t>Squint from childhood chalazion -- can anything be done?</t>
        </is>
      </c>
      <c r="C1339" t="inlineStr">
        <is>
          <t>I had a chalazion for around a year when I was about 10 years old, that was eventually treated with surgery. Ever since, I have squinted with my right eye. Is there anything that can be done to fix this at this point? It's purely vanity on my part, and really isn't that pronounced, but it has always nagged at me and seeing it in my wedding photos recently really reminded me how much.</t>
        </is>
      </c>
      <c r="D1339" t="n">
        <v>1</v>
      </c>
      <c r="E1339" t="n">
        <v>10</v>
      </c>
      <c r="F1339">
        <f>HYPERLINK("https://www.reddit.com/r/eyetriage/comments/fblmq9/squint_from_childhood_chalazion_can_anything_be/")</f>
        <v/>
      </c>
      <c r="G1339" t="inlineStr">
        <is>
          <t>2020-02-29 16:09:04</t>
        </is>
      </c>
      <c r="H1339" t="inlineStr"/>
    </row>
    <row r="1340">
      <c r="A1340" t="inlineStr">
        <is>
          <t>fc9v0b</t>
        </is>
      </c>
      <c r="B1340" t="inlineStr">
        <is>
          <t>How can I insert contacts if my eye blinks too fast?</t>
        </is>
      </c>
      <c r="C1340" t="inlineStr">
        <is>
          <t>Hi
I have been wearing glasses for the past 19 years and I have now decided to try contacts to see if I can wear them instead of my glasses . I purchase a trial pack of these lenses and I have never been able to insert them myself. Although the optician could insert the lenses in my eye without any trouble.
I have seen a few videos on YouTube showing how to insert contacts but my problem is that my eye blinks a little too fast while inserting the contacts. As soon as the lens touches the pupil (The black part of the eye) then the eye shuts down very fast and the closest I can come is putting the lens on the eyelash.
I really really want to learn how to insert contacts so any tips as to how can I reduce the blinking of the eye while inserting the lens would be really helpful.</t>
        </is>
      </c>
      <c r="D1340" t="n">
        <v>1</v>
      </c>
      <c r="E1340" t="n">
        <v>11</v>
      </c>
      <c r="F1340">
        <f>HYPERLINK("https://www.reddit.com/r/eyetriage/comments/fc9v0b/how_can_i_insert_contacts_if_my_eye_blinks_too/")</f>
        <v/>
      </c>
      <c r="G1340" t="inlineStr">
        <is>
          <t>2020-03-02 01:54:40</t>
        </is>
      </c>
      <c r="H1340" t="inlineStr"/>
    </row>
    <row r="1341">
      <c r="A1341" t="inlineStr">
        <is>
          <t>fcglah</t>
        </is>
      </c>
      <c r="B1341" t="inlineStr">
        <is>
          <t>CSR Treatment Options vs abnormal vascular growth</t>
        </is>
      </c>
      <c r="C1341" t="inlineStr">
        <is>
          <t>Background: Approx 20 years ago I had an minor CSR incident. Spontaneously resolved. Fast forward to about 1.5 years ago, I had a sudden onset of several CSR spots that developed from nothing to 3 small spots merging within a week. 
Ended up having monthly avastin injections for 7 months followed by on more 3 months after last injection. 
Fast forward to today after nearly a year of no injections. Sudden onset of one old spot and one larger spot on opposite side central visual area. Another fluorescent dye scan confirming a new area of leakage. 
Doctor mentioned that the CSR is a byproduct of abnormal vascular growth and not the actual issue. Another round of avastin injections scheduled. When I asked about things I can do to prevent future onset or to speed recovery I was told there wasn’t really anything else besides the injections.
A couple studies I have read mention finasteride and eplerenone as effective in preventing additional onset and helping reduce existing leakage.  The Dr said since the CSR leakage is a byproduct of the vascular growth that only the avastin would work. 
While I trust my Dr it’s hard to believe there isn’t anything else I could do to promote better recovery and prevention. I work out regularly, eat pretty healthy, low BMI, in significantly better shape than I was during the last onset, significantly less stress, etc.</t>
        </is>
      </c>
      <c r="D1341" t="n">
        <v>1</v>
      </c>
      <c r="E1341" t="n">
        <v>4</v>
      </c>
      <c r="F1341">
        <f>HYPERLINK("https://www.reddit.com/r/eyetriage/comments/fcglah/csr_treatment_options_vs_abnormal_vascular_growth/")</f>
        <v/>
      </c>
      <c r="G1341" t="inlineStr">
        <is>
          <t>2020-03-02 10:35:47</t>
        </is>
      </c>
      <c r="H1341" t="inlineStr"/>
    </row>
    <row r="1342">
      <c r="A1342" t="inlineStr">
        <is>
          <t>fchbzc</t>
        </is>
      </c>
      <c r="B1342" t="inlineStr">
        <is>
          <t>Why do I see this?</t>
        </is>
      </c>
      <c r="C1342" t="inlineStr">
        <is>
          <t>I see everythingi read this way. Each of my else will do it with the other closed, although slightly differently.
48y Male, catart l</t>
        </is>
      </c>
      <c r="D1342" t="n">
        <v>1</v>
      </c>
      <c r="E1342" t="n">
        <v>4</v>
      </c>
      <c r="F1342">
        <f>HYPERLINK("https://www.reddit.com/r/eyetriage/comments/fchbzc/why_do_i_see_this/")</f>
        <v/>
      </c>
      <c r="G1342" t="inlineStr">
        <is>
          <t>2020-03-02 11:22:01</t>
        </is>
      </c>
      <c r="H1342" t="inlineStr"/>
    </row>
    <row r="1343">
      <c r="A1343" t="inlineStr">
        <is>
          <t>fcijil</t>
        </is>
      </c>
      <c r="B1343" t="inlineStr">
        <is>
          <t>Help Understanding 1 Year Old’s Vision Screening Results</t>
        </is>
      </c>
      <c r="C1343" t="inlineStr">
        <is>
          <t>So at my youngest child’s 12 month pediatric check up, they did the infrared spot exam screening. When the doctor entered the room, he immediately asked me if visual impairments run in our family. I wear glasses for astigmatism and nearsightedness, my husband has great vision and doesn’t need glasses. The screening picked up anisocoria, anisometropia, and hyperopia all in the left eye. I had been telling the pediatrician since my baby was 3 months old that his pupils were different sizes, and each time he replied with “I don’t see it; it’s nothing to worry about.” 
We have a scheduled appointment with an ophthalmologist in two months.
What I don’t understand (and cannot find with many hours googling) is if these impairments are all related? Is my child’s brain able to use that eye or is it ignoring all visual input from it? Would these conditions cause impaired depth perception? 
Also, are the pediatric spot exam results adjusted to his age? I know that babies are farsighted, but the test indicated he was abnormally farsighted. Does this mean he’s abnormally farsighted for a one year old, or is it compared to normal adult vision? 
Obviously, we are curious as to what our baby can and cannot see and the extent of the impairment to his vision, but I’m unable to find much information regarding patients his age. 
Here are the results of the spot exam:
Right eye 
SE +1.50
DS +2.00
DC -1.00
Left eye 
SE +3.25
DS +3.75
DC -1.25
Thanks for reading and helping me understand!</t>
        </is>
      </c>
      <c r="D1343" t="n">
        <v>1</v>
      </c>
      <c r="E1343" t="n">
        <v>3</v>
      </c>
      <c r="F1343">
        <f>HYPERLINK("https://www.reddit.com/r/eyetriage/comments/fcijil/help_understanding_1_year_olds_vision_screening/")</f>
        <v/>
      </c>
      <c r="G1343" t="inlineStr">
        <is>
          <t>2020-03-02 12:38:14</t>
        </is>
      </c>
      <c r="H1343" t="inlineStr"/>
    </row>
    <row r="1344">
      <c r="A1344" t="inlineStr">
        <is>
          <t>fckl10</t>
        </is>
      </c>
      <c r="B1344" t="inlineStr">
        <is>
          <t>I smush my eyes...what could happen?</t>
        </is>
      </c>
      <c r="C1344" t="inlineStr">
        <is>
          <t>As the title and handle suggest, I (20 F) made this account to ask this question specifically. Recently, I've been compulsively pressing my eyes for as much as 45 minutes at a time. (I have OCD and high-functioning autism and I'm working on it, but life gets in the way and holding my eyes inside my head is the least of my worries right now.) I am not rubbing the eye, just pressing with the heel of my hand, so I don't think I'm likely to have issues with abrasions or keratoconus. While I'm doing it, I feel mild discomfort inside my nose (similar to how it feels to get water up my nose), my eyes tear up a lot, and I see some phosphenes (particularly at first, but they go away after a while). But seeing as (pun unintended) my vision is completely black for as much as 30 seconds after and comes back extremely gradually, I am starting to worry whether I am causing internal damage to the retina doing this, or on what timeline I'd be doing so. Apart from this habit, the only visual problem I have is mild hyperopia, though I do have a family history of cataracts and glaucoma. 
TL;DR: I smush my eyes for up to 45 minutes at a time...am I screwed now? Later? How so?</t>
        </is>
      </c>
      <c r="D1344" t="n">
        <v>1</v>
      </c>
      <c r="E1344" t="n">
        <v>3</v>
      </c>
      <c r="F1344">
        <f>HYPERLINK("https://www.reddit.com/r/eyetriage/comments/fckl10/i_smush_my_eyeswhat_could_happen/")</f>
        <v/>
      </c>
      <c r="G1344" t="inlineStr">
        <is>
          <t>2020-03-02 14:47:42</t>
        </is>
      </c>
      <c r="H1344" t="inlineStr"/>
    </row>
    <row r="1345">
      <c r="A1345" t="inlineStr">
        <is>
          <t>fcps2o</t>
        </is>
      </c>
      <c r="B1345" t="inlineStr">
        <is>
          <t>Strange issues since starting new medication</t>
        </is>
      </c>
      <c r="C1345" t="inlineStr">
        <is>
          <t>There's been mild redness in my left eye for the past year or two that hasn't really gone away. It's not very noticeable.
Recently, in the last few months I've noticed that my left eye looked a little bit smaller. A friend also noticed this too but only when I brought it to her attention. I've been on Adderall for the past couple of years and recently in the past 2 weeks started getting pills from a different brand name manufacturer. A couple of days after taking this, I noticed mild ptosis of the left eye and sort of a lazy eye (which I always sort of had but it was un-noticeable before.) There were also dark circles under my eyes.
This got me scared so I stopped taking any medication. The ptosis has gradually improved.
Now I'm still kinda scared about the whole thing. Do you think something serious could have caused this? Like a stroke? or any neurological issues?
I don't have any drooping of the face or any signs/symptoms of bell's palsy. My blood pressure has been normal except a few times the diastolic pressure was around 90.
Last year, I visited an ophthalmologist and he said the IOP was normal and he saw no major issues. I asked him if there were any hypertensive changes and he said he saw AV nicking but it's nothing to be concerned about.
Do you think a stroke or anything serious could have caused this with ptosis and the lazy eye? Would the lazy eye get back to being less pronounced and what it was before? What could cause the left eye to suddenly look smaller a couple of months ago?
Another thing...I've been experiencing visual snow for the past couple of years which has gotten more intense since I started the new pills.</t>
        </is>
      </c>
      <c r="D1345" t="n">
        <v>1</v>
      </c>
      <c r="E1345" t="n">
        <v>0</v>
      </c>
      <c r="F1345">
        <f>HYPERLINK("https://www.reddit.com/r/eyetriage/comments/fcps2o/strange_issues_since_starting_new_medication/")</f>
        <v/>
      </c>
      <c r="G1345" t="inlineStr">
        <is>
          <t>2020-03-02 21:18:20</t>
        </is>
      </c>
      <c r="H1345" t="inlineStr"/>
    </row>
    <row r="1346">
      <c r="A1346" t="inlineStr">
        <is>
          <t>fcpscq</t>
        </is>
      </c>
      <c r="B1346" t="inlineStr">
        <is>
          <t>Strange issues since starting new medication</t>
        </is>
      </c>
      <c r="C1346" t="inlineStr">
        <is>
          <t>There's been mild redness in my left eye for the past year or two that hasn't really gone away. It's not very noticeable.
Recently, in the last few months I've noticed that my left eye looked a little bit smaller. A friend also noticed this too but only when I brought it to her attention. I've been on Adderall for the past couple of years and recently in the past 2 weeks started getting pills from a different brand name manufacturer. A couple of days after taking this, I noticed mild ptosis of the left eye and sort of a lazy eye (which I always sort of had but it was un-noticeable before.) There were also dark circles under my eyes.
This got me scared so I stopped taking any medication. The ptosis has gradually improved.
Now I'm still kinda scared about the whole thing. Do you think something serious could have caused this? Like a stroke? or any neurological issues?
I don't have any drooping of the face or any signs/symptoms of bell's palsy. My blood pressure has been normal except a few times the diastolic pressure was around 90.
Last year, I visited an ophthalmologist and he said the IOP was normal and he saw no major issues. I asked him if there were any hypertensive changes and he said he saw AV nicking but it's nothing to be concerned about.
Do you think a stroke or anything serious could have caused this with ptosis and the lazy eye? Would the lazy eye get back to being less pronounced and what it was before? What could cause the left eye to suddenly look smaller a couple of months ago?
Another thing...I've been experiencing visual snow for the past couple of years which has gotten more intense since I started the new pills.</t>
        </is>
      </c>
      <c r="D1346" t="n">
        <v>1</v>
      </c>
      <c r="E1346" t="n">
        <v>4</v>
      </c>
      <c r="F1346">
        <f>HYPERLINK("https://www.reddit.com/r/eyetriage/comments/fcpscq/strange_issues_since_starting_new_medication/")</f>
        <v/>
      </c>
      <c r="G1346" t="inlineStr">
        <is>
          <t>2020-03-02 21:19:07</t>
        </is>
      </c>
      <c r="H1346" t="inlineStr"/>
    </row>
    <row r="1347">
      <c r="A1347" t="inlineStr">
        <is>
          <t>fcru5o</t>
        </is>
      </c>
      <c r="B1347" t="inlineStr">
        <is>
          <t>What's the current state of research/treatment/etc when it comes to ONH?</t>
        </is>
      </c>
      <c r="C1347" t="inlineStr">
        <is>
          <t>Asking more out of curiosity than anything, figured this sub would be the right place. 26 Y/O male here, born with bilateral optic nerve hypoplasia and nystagmus. Right eye is pretty useless, 20/600 or so on a good day, left eye is halfway decent at around 20/40. Also had a retinal detachment and cataract in the right eye (my pathology report is a small novella, I love springing that one on new eye docs).
So, just because it's that time of the evening where I think of random questions, has there been any recent research into potential treatments for ONH/other optic nerve disorders? I'm kinda out of the loop, and don't really know where to look. Obviously medical advances don't get made overnight, and I'm not expecting any sort of miracles, just didn't know where to go in order to keep up on these sorts of things. The last time I heard anything was 10ish years ago with the whole stem-cell craze, but my eye doc explained that it hadn't really gone anywhere. Just curious if there's any news that I might have missed.</t>
        </is>
      </c>
      <c r="D1347" t="n">
        <v>1</v>
      </c>
      <c r="E1347" t="n">
        <v>5</v>
      </c>
      <c r="F1347">
        <f>HYPERLINK("https://www.reddit.com/r/eyetriage/comments/fcru5o/whats_the_current_state_of_researchtreatmentetc/")</f>
        <v/>
      </c>
      <c r="G1347" t="inlineStr">
        <is>
          <t>2020-03-03 00:49:31</t>
        </is>
      </c>
      <c r="H1347" t="inlineStr"/>
    </row>
    <row r="1348">
      <c r="A1348" t="inlineStr">
        <is>
          <t>fcw9n7</t>
        </is>
      </c>
      <c r="B1348" t="inlineStr">
        <is>
          <t>Floating green donut in center of vision</t>
        </is>
      </c>
      <c r="C1348" t="inlineStr">
        <is>
          <t>My best effort to illustrate it:  https://i.imgur.com/ZVbJVA7.png
I've seen this occationally since I was a child.  But I've been having other troubling problems lately and it's caused me to wonder if this could be anything to worry about.
It lasts for a few minutes and tends to fade out in a clockwork fashion, or in keeping with the donut analogy, as if someone were taking bites out of it until it is gone.</t>
        </is>
      </c>
      <c r="D1348" t="n">
        <v>1</v>
      </c>
      <c r="E1348" t="n">
        <v>4</v>
      </c>
      <c r="F1348">
        <f>HYPERLINK("https://www.reddit.com/r/eyetriage/comments/fcw9n7/floating_green_donut_in_center_of_vision/")</f>
        <v/>
      </c>
      <c r="G1348" t="inlineStr">
        <is>
          <t>2020-03-03 07:34:45</t>
        </is>
      </c>
      <c r="H1348" t="inlineStr"/>
    </row>
    <row r="1349">
      <c r="A1349" t="inlineStr">
        <is>
          <t>fcx62h</t>
        </is>
      </c>
      <c r="B1349" t="inlineStr">
        <is>
          <t>Eye Issue. Can dry eye be this bad?</t>
        </is>
      </c>
      <c r="C1349" t="inlineStr">
        <is>
          <t>About 3 weeks ago my vision took a nosedive. I’m almost 40 so age might be a factor. I previously have always had near perfect vision. I do have a bit of dry eye for my whole life which is not too bad most times but I cannot sit in air conditioning in cars or open my eyes long in windy areas such as on planes. I do alooooot of long hours on a smallish laptop screen and then work extra hours at a PC on nights and weekends. I’m now broken by my sudden vision change. I’m getting dizzy, headaches, glare at night while driving and possibly a little double vision. I don’t have vision insurance and I Still went to the Eye Dr this weekend and he said that my sight was still almost perfect. He said that if he sold me lowest prescription for eye aging it still wouldn’t make a ton of difference yet which seemed true while I was there. WTH is going on? I did have a bad bout of dry itchy eyes a couple of weeks ago. But I’ve never had this response. Husband claims that he often catches me sleeping with my eyes fully open. He just told me this. I’m using eye gels now but my vision is worse. Dr didn’t meantion that my case of dry eye was particularly prescription worthy? Is it aging, dry eyes, I just don’t know and I cannot concentrate.</t>
        </is>
      </c>
      <c r="D1349" t="n">
        <v>1</v>
      </c>
      <c r="E1349" t="n">
        <v>6</v>
      </c>
      <c r="F1349">
        <f>HYPERLINK("https://www.reddit.com/r/eyetriage/comments/fcx62h/eye_issue_can_dry_eye_be_this_bad/")</f>
        <v/>
      </c>
      <c r="G1349" t="inlineStr">
        <is>
          <t>2020-03-03 08:33:30</t>
        </is>
      </c>
      <c r="H1349" t="inlineStr"/>
    </row>
    <row r="1350">
      <c r="A1350" t="inlineStr">
        <is>
          <t>fd0h5n</t>
        </is>
      </c>
      <c r="B1350" t="inlineStr">
        <is>
          <t>Lidocaine side effects?</t>
        </is>
      </c>
      <c r="C1350" t="inlineStr">
        <is>
          <t>Hello, today my doctor used lidocaine to numb my eye for measuring pressure. After that exactly he put me drops for mydriasis, I was about to do a fundoscopy. Are those drops that make your iris bigger have a bad side effect with lidocaine or its completely unrelevant together? I mean I maybe overeacting but I forgot to ask the doctor about that. Are you specialists to answer?</t>
        </is>
      </c>
      <c r="D1350" t="n">
        <v>1</v>
      </c>
      <c r="E1350" t="n">
        <v>8</v>
      </c>
      <c r="F1350">
        <f>HYPERLINK("https://www.reddit.com/r/eyetriage/comments/fd0h5n/lidocaine_side_effects/")</f>
        <v/>
      </c>
      <c r="G1350" t="inlineStr">
        <is>
          <t>2020-03-03 12:01:23</t>
        </is>
      </c>
      <c r="H1350" t="inlineStr"/>
    </row>
    <row r="1351">
      <c r="A1351" t="inlineStr">
        <is>
          <t>fd7g5g</t>
        </is>
      </c>
      <c r="B1351" t="inlineStr">
        <is>
          <t>Chalazion post-op</t>
        </is>
      </c>
      <c r="C1351" t="inlineStr">
        <is>
          <t>Had a chalazion removed Friday (to use their words, it was "a good one" and I "sure know how to make 'em.") There's still a small bump, which is red, and the lid is a bit inflamed. Will this go away? I wasn't given any instructions after surgery except to keep using the drops I was prescribed at my initial appointment. Should I be using a hot compress and massaging the area? Any other tips to make my eye go back to it's normal, less-droopy self?</t>
        </is>
      </c>
      <c r="D1351" t="n">
        <v>1</v>
      </c>
      <c r="E1351" t="n">
        <v>2</v>
      </c>
      <c r="F1351">
        <f>HYPERLINK("https://www.reddit.com/r/eyetriage/comments/fd7g5g/chalazion_postop/")</f>
        <v/>
      </c>
      <c r="G1351" t="inlineStr">
        <is>
          <t>2020-03-03 20:13:12</t>
        </is>
      </c>
      <c r="H1351" t="inlineStr"/>
    </row>
    <row r="1352">
      <c r="A1352" t="inlineStr">
        <is>
          <t>fd7ia2</t>
        </is>
      </c>
      <c r="B1352" t="inlineStr">
        <is>
          <t>Flashing in eye</t>
        </is>
      </c>
      <c r="C1352" t="inlineStr">
        <is>
          <t>I noticed a person in his 70s that had a flickering of light in his right eye. I don't know if he himself can see these flashes-- I didn't ask. From reading old posts, it seems like retinal detachment is a possible cause, but is that from the perspective of the patient or the observer? In other words, if a patient experiences flashing in vision, would they also show actual flashing in their eye?</t>
        </is>
      </c>
      <c r="D1352" t="n">
        <v>1</v>
      </c>
      <c r="E1352" t="n">
        <v>3</v>
      </c>
      <c r="F1352">
        <f>HYPERLINK("https://www.reddit.com/r/eyetriage/comments/fd7ia2/flashing_in_eye/")</f>
        <v/>
      </c>
      <c r="G1352" t="inlineStr">
        <is>
          <t>2020-03-03 20:18:32</t>
        </is>
      </c>
      <c r="H1352" t="inlineStr"/>
    </row>
    <row r="1353">
      <c r="A1353" t="inlineStr">
        <is>
          <t>fd7y97</t>
        </is>
      </c>
      <c r="B1353" t="inlineStr">
        <is>
          <t>Vision change but eyes and brain are healthy...</t>
        </is>
      </c>
      <c r="C1353" t="inlineStr">
        <is>
          <t>Bit of information about me; I'm a 21 year old male and used to have visual migraines, though haven't had one for over 5 years. No family history of eye disease apart from my grandmother who is 80+ and has macular degeneration (she has had it for about 6 years and isn't noticable to her).
I'm quite at a loss, around 4 months ago my vision changed; hazy/blurry/cloudy peripheral, though can still see out of it and difficulty focusing on a face (when looking straight at someones face, the bottom third seems to be missing details, though no blur or black spot). It seems to fluctuate, some days it isn't really noticeable and some days it gets quite bad- though it always seems to be present. The part which is causing me the most anxiety and stress is that the two optometrists, ophthalmologist, GP, and Neurologist have all said my eyes and brain are fine- the two eye scans, visual field test, and MRI show no abnormalities and show they're healthy. So why does my vision fluctuate and what can possibly cause these issues when the eyes and brain are healthy? Any help?</t>
        </is>
      </c>
      <c r="D1353" t="n">
        <v>1</v>
      </c>
      <c r="E1353" t="n">
        <v>0</v>
      </c>
      <c r="F1353">
        <f>HYPERLINK("https://www.reddit.com/r/eyetriage/comments/fd7y97/vision_change_but_eyes_and_brain_are_healthy/")</f>
        <v/>
      </c>
      <c r="G1353" t="inlineStr">
        <is>
          <t>2020-03-03 20:55:45</t>
        </is>
      </c>
      <c r="H1353" t="inlineStr"/>
    </row>
    <row r="1354">
      <c r="A1354" t="inlineStr">
        <is>
          <t>fd91pm</t>
        </is>
      </c>
      <c r="B1354" t="inlineStr">
        <is>
          <t>Blurry spots in vision in right eye</t>
        </is>
      </c>
      <c r="C1354" t="inlineStr">
        <is>
          <t>Seen an ophthalmologist and a retina specialist and no conclusion and it’s been a month.
Got glasses in October (2019) haven’t worn any since HS (few years out of college now). My left eye is done it’s what they call “lazy eye” and I have a very thick lense for it. 
My issue is my right eye. After a few months I started to notice that I have to be closer to the screen and that I couldn’t focus on reading words as I could only read part of it. Example below...
                                Ophthalmologist
When I close my left eye and read the word above I can only see a little clearly “oph”, “molo” and “ist” before I had no trouble reading it but now I can barely make it out. It all started happening within a week. I also noticed I was seeing balls of white orbs/flashes in my peripheral vision going up and down and those were there for about a month but stopped for about a week or two now. 
Other things:
I’ve had a weird feeling in my throat that’s now probably a throat infection that I was treated for before the eye problems and the infection hasn’t resolved itself and it’s been about 3 months now
I was also in a car accident a couple of months ago but i didn’t hit my head or anything</t>
        </is>
      </c>
      <c r="D1354" t="n">
        <v>1</v>
      </c>
      <c r="E1354" t="n">
        <v>4</v>
      </c>
      <c r="F1354">
        <f>HYPERLINK("https://www.reddit.com/r/eyetriage/comments/fd91pm/blurry_spots_in_vision_in_right_eye/")</f>
        <v/>
      </c>
      <c r="G1354" t="inlineStr">
        <is>
          <t>2020-03-03 22:38:11</t>
        </is>
      </c>
      <c r="H1354" t="inlineStr"/>
    </row>
    <row r="1355">
      <c r="A1355" t="inlineStr">
        <is>
          <t>fdmikd</t>
        </is>
      </c>
      <c r="B1355" t="inlineStr">
        <is>
          <t>Sudden onset Macular Degeneration?</t>
        </is>
      </c>
      <c r="C1355" t="inlineStr">
        <is>
          <t>Hey everyone,   
How sudden is SUDDEN for MD? Could it develop in a matter of days in a person in their 30's?  
If someone had a dilated eye exam, retinal imaging, and an OCT scan, how early would it pick up MD of any kind?   
Any advice would be a big help, thanks.</t>
        </is>
      </c>
      <c r="D1355" t="n">
        <v>1</v>
      </c>
      <c r="E1355" t="n">
        <v>6</v>
      </c>
      <c r="F1355">
        <f>HYPERLINK("https://www.reddit.com/r/eyetriage/comments/fdmikd/sudden_onset_macular_degeneration/")</f>
        <v/>
      </c>
      <c r="G1355" t="inlineStr">
        <is>
          <t>2020-03-04 16:12:20</t>
        </is>
      </c>
      <c r="H1355" t="inlineStr"/>
    </row>
    <row r="1356">
      <c r="A1356" t="inlineStr">
        <is>
          <t>fdppjb</t>
        </is>
      </c>
      <c r="B1356" t="inlineStr">
        <is>
          <t>Shaky vision when watching a movie</t>
        </is>
      </c>
      <c r="C1356" t="inlineStr">
        <is>
          <t>Not sure what is going on but for the past month or so whenever I watch a tv and the camera pans left to right or vice versa the entire picture seems to get shaky and my eyes lose focus. I'm also having a hard time dealing with bright lights. I tried looking up what it can be but getting very general eye related issues. I going to make a doctors appointment but I wanted to see if I could do something at home to reduce or eliminate the issue. Anyone experience something similar?</t>
        </is>
      </c>
      <c r="D1356" t="n">
        <v>1</v>
      </c>
      <c r="E1356" t="n">
        <v>0</v>
      </c>
      <c r="F1356">
        <f>HYPERLINK("https://www.reddit.com/r/eyetriage/comments/fdppjb/shaky_vision_when_watching_a_movie/")</f>
        <v/>
      </c>
      <c r="G1356" t="inlineStr">
        <is>
          <t>2020-03-04 20:17:05</t>
        </is>
      </c>
      <c r="H1356" t="inlineStr"/>
    </row>
    <row r="1357">
      <c r="A1357" t="inlineStr">
        <is>
          <t>fdvp37</t>
        </is>
      </c>
      <c r="B1357" t="inlineStr">
        <is>
          <t>Can anybody help me? I’m at my wits end and no one can diagnose an issue.</t>
        </is>
      </c>
      <c r="C1357" t="inlineStr">
        <is>
          <t>I struggle with constant double vision that fluctuates in severity, lack of focus, eye pain, eye dryness. 
New symptoms now include in flickering my eyes when I wake up, dull vision in one eye compared to the other and just yesterday I looked up at the sky and saw hundreds of bright white flashing lights. Since then my focus and double vision has been worse. 
I have been suffering from this for since last August and I am at my wits end. 
My eye exams are fine with nothing wrong at the front of the eye. My retina and the internals of the front of my eye were perfect before and are perfect again as of a re-rest of last week. My glasses are up to date. I have had blood tests for many different things including diabetes and myasthenia gravis. I have had an MRI and a CT scans with nothing untoward showing. 
A consultant opthamologist told me that im having ocular migraines which based on the symptoms I am but it is my instinct that this cannot be the only issue at play. This is because I have this issue 24/7 which is unfitting with the concept of an ocular migraine. I have an uptick of floaters and visual disturbances. When looking into a light i  source i see a constant waterfall pattern of colorless dots. 
I have also had swollen eyelids intermittently since August and was diagnosed with blepharitis. This has since been treated yet my visual symptoms persist. 
Can anyone help me here? I am at my wits end and slowly losing my sanity over this. Has anyone encountered similar symptoms before? 
I would like to also add that these symptoms developed at depressive time in my life and i first noticed them when looking at my phone in a dark room. Does anyone think this could be a severe case of computer/ eye strain which has kept ticking over through the months?</t>
        </is>
      </c>
      <c r="D1357" t="n">
        <v>1</v>
      </c>
      <c r="E1357" t="n">
        <v>12</v>
      </c>
      <c r="F1357">
        <f>HYPERLINK("https://www.reddit.com/r/eyetriage/comments/fdvp37/can_anybody_help_me_im_at_my_wits_end_and_no_one/")</f>
        <v/>
      </c>
      <c r="G1357" t="inlineStr">
        <is>
          <t>2020-03-05 06:05:13</t>
        </is>
      </c>
      <c r="H1357" t="inlineStr"/>
    </row>
    <row r="1358">
      <c r="A1358" t="inlineStr">
        <is>
          <t>fdwmz5</t>
        </is>
      </c>
      <c r="B1358" t="inlineStr">
        <is>
          <t>Vitrectomy 4 Weeks after</t>
        </is>
      </c>
      <c r="C1358" t="inlineStr">
        <is>
          <t>I have had Vitrectomy with C3F8 gas inserted 4 weeks ago because of retinal detachment.
Previosly they tried to fix with gas + laser but after 4 day it was new break and decided to process with vitrectomy. 
Last week (3 weeks after surgery) I have started to see clear in the top (probably 30%) in the top and today I could see about 50%. 
Yesterday I have had OCT and doctor told me everything is fine and to come back after one month. 
I could see some black dots in the clear field of vision, some light when I move head and also when I close eye, but doctor told me it is normal when gas is still in eye.</t>
        </is>
      </c>
      <c r="D1358" t="n">
        <v>1</v>
      </c>
      <c r="E1358" t="n">
        <v>4</v>
      </c>
      <c r="F1358">
        <f>HYPERLINK("https://www.reddit.com/r/eyetriage/comments/fdwmz5/vitrectomy_4_weeks_after/")</f>
        <v/>
      </c>
      <c r="G1358" t="inlineStr">
        <is>
          <t>2020-03-05 07:14:25</t>
        </is>
      </c>
      <c r="H1358" t="inlineStr"/>
    </row>
    <row r="1359">
      <c r="A1359" t="inlineStr">
        <is>
          <t>fdwuv8</t>
        </is>
      </c>
      <c r="B1359" t="inlineStr">
        <is>
          <t>Upcoming Cataract Surgery - Mini Monovision?</t>
        </is>
      </c>
      <c r="C1359" t="inlineStr">
        <is>
          <t>I'm about a month out from cataract surgery (having to wait due to the fact that I've been in RGP contacts for about 2 years now).
I'm 55 and was sporting about -7 \~ -8 in each eye before the cataracts started.  Right eye is dominate and has very little astigmatism.  Left eye has a bit more.  Don't have the numbers in front of me but the ophthalmologists characterized it as "some astigmatism, but not bad". 
Looks to me that multifocal lenses aren't quite there yet, too many compromises and uncertainties.  So, I'm thinking just regular monofocal lenses.  However, I'd like as much spectacle independence as I can get, though I understand it will never be complete independence.  Basically, I'd like to be able to see my iPhone 7+ (decent sized screen) without putting on readers and hopefully see a computer screen ok at 18 \~ 20 inches.
I'm thinking mini monovision and I'd like to get several ophthalmologist's opinion on that and how much difference between the two eyes.  I'm sort of thinking 1 diopter under corrected in the left non-dominate eye.  Opinions?   I've actually walked around wearing glasses for a year or so that was undercorrected 1.5(ish) diopters in that eye as revealed by a new refraction and had no issue with it.  
I've never had tack sharp vision since I was a kid.  I can't remember the last time they could correct me to anything better than 20/25 and I've been walking around for 4 years much worse than that due to the cataracts.  So my expectations are not astronomically high.
Thoughts, opinions?</t>
        </is>
      </c>
      <c r="D1359" t="n">
        <v>1</v>
      </c>
      <c r="E1359" t="n">
        <v>15</v>
      </c>
      <c r="F1359">
        <f>HYPERLINK("https://www.reddit.com/r/eyetriage/comments/fdwuv8/upcoming_cataract_surgery_mini_monovision/")</f>
        <v/>
      </c>
      <c r="G1359" t="inlineStr">
        <is>
          <t>2020-03-05 07:30:17</t>
        </is>
      </c>
      <c r="H1359" t="inlineStr"/>
    </row>
    <row r="1360">
      <c r="A1360" t="inlineStr">
        <is>
          <t>fdzkfo</t>
        </is>
      </c>
      <c r="B1360" t="inlineStr">
        <is>
          <t>Floaters and visual snow after concussion? Help?</t>
        </is>
      </c>
      <c r="C1360" t="inlineStr">
        <is>
          <t>Hey there! I'm a 19 year old female and a month ago I stood up full force and smacked my head on a door. It hit the top of my head on the left side.
I couldn't walk without getting a headache for 2 weeks. I'm finally back to my normal self aside from my floaters. I noticed them when I went outside for the first time after hitting my head. I believe they've gotten worse since I first hit my head. I can't tell if they're getting worse or they're consistently the same now.
I see them constantly when I'm outside, looking up at the sky, looking at the sidewalk, or looking at a blank wall. There's usually a blurry black spot that bounces around for a few seconds and then disappears whenever I move my eyes. I also usually see a cluster of clear squiggly lines that appears to be "falling" every time I look down. I was thinking it was maybe visual snow?
I went to the optometrist at VisionWorks a few weeks ago and he said everything looked fine. No retinal tears or anything. I'm still paranoid and it's driving me nuts. I can't even enjoy walking around outside because I just see floaters. I'm thinking it's a neurological issue at this point but I'm not sure.
I may go to an ophthalmologist soon for a second opinion.
Has anyone experienced something similar? Any advice? Thanks so much!</t>
        </is>
      </c>
      <c r="D1360" t="n">
        <v>1</v>
      </c>
      <c r="E1360" t="n">
        <v>6</v>
      </c>
      <c r="F1360">
        <f>HYPERLINK("https://www.reddit.com/r/eyetriage/comments/fdzkfo/floaters_and_visual_snow_after_concussion_help/")</f>
        <v/>
      </c>
      <c r="G1360" t="inlineStr">
        <is>
          <t>2020-03-05 10:25:31</t>
        </is>
      </c>
      <c r="H1360" t="inlineStr"/>
    </row>
    <row r="1361">
      <c r="A1361" t="inlineStr">
        <is>
          <t>fe5cmy</t>
        </is>
      </c>
      <c r="B1361" t="inlineStr">
        <is>
          <t>Troxler effect/fading</t>
        </is>
      </c>
      <c r="C1361" t="inlineStr">
        <is>
          <t>I have just heard of this phenomenon and have read that you need to look at something for a prolonged amount of time for the image you are looking at to fade, though it seems with me when watching a tv show or reading, things fade instantly and become an empty part of my visual field, making it hard for me to do those things. Any answers to this? And for clarification, my eyes are healthy and neurologically healthy.</t>
        </is>
      </c>
      <c r="D1361" t="n">
        <v>1</v>
      </c>
      <c r="E1361" t="n">
        <v>1</v>
      </c>
      <c r="F1361">
        <f>HYPERLINK("https://www.reddit.com/r/eyetriage/comments/fe5cmy/troxler_effectfading/")</f>
        <v/>
      </c>
      <c r="G1361" t="inlineStr">
        <is>
          <t>2020-03-05 16:50:09</t>
        </is>
      </c>
      <c r="H1361" t="inlineStr"/>
    </row>
    <row r="1362">
      <c r="A1362" t="inlineStr">
        <is>
          <t>fe7ncr</t>
        </is>
      </c>
      <c r="B1362" t="inlineStr">
        <is>
          <t>Cause of cataracts under 30?</t>
        </is>
      </c>
      <c r="C1362" t="inlineStr">
        <is>
          <t>Anyone got any new info on what causes cataracts in young people under 30?</t>
        </is>
      </c>
      <c r="D1362" t="n">
        <v>1</v>
      </c>
      <c r="E1362" t="n">
        <v>19</v>
      </c>
      <c r="F1362">
        <f>HYPERLINK("https://www.reddit.com/r/eyetriage/comments/fe7ncr/cause_of_cataracts_under_30/")</f>
        <v/>
      </c>
      <c r="G1362" t="inlineStr">
        <is>
          <t>2020-03-05 19:45:51</t>
        </is>
      </c>
      <c r="H1362" t="inlineStr"/>
    </row>
    <row r="1363">
      <c r="A1363" t="inlineStr">
        <is>
          <t>fegtxt</t>
        </is>
      </c>
      <c r="B1363" t="inlineStr">
        <is>
          <t>Partial ptosis after crying a lot</t>
        </is>
      </c>
      <c r="C1363" t="inlineStr">
        <is>
          <t xml:space="preserve">
Woke up from a nap with sudden partial ptosis - previous extraocular weakness with both (albeit small) vertical and horizontal deviation. Currently waiting to be fitted with prisms. 
Should I go see a doctor ASAP or could the EOM weakness and general fatigue/inflammation explain the ptosis? Kinda concerned.</t>
        </is>
      </c>
      <c r="D1363" t="n">
        <v>1</v>
      </c>
      <c r="E1363" t="n">
        <v>0</v>
      </c>
      <c r="F1363">
        <f>HYPERLINK("https://www.reddit.com/r/eyetriage/comments/fegtxt/partial_ptosis_after_crying_a_lot/")</f>
        <v/>
      </c>
      <c r="G1363" t="inlineStr">
        <is>
          <t>2020-03-06 09:27:30</t>
        </is>
      </c>
      <c r="H1363" t="inlineStr"/>
    </row>
    <row r="1364">
      <c r="A1364" t="inlineStr">
        <is>
          <t>fen8x1</t>
        </is>
      </c>
      <c r="B1364" t="inlineStr">
        <is>
          <t>Jaundice and bloodshot eyes</t>
        </is>
      </c>
      <c r="C1364" t="inlineStr">
        <is>
          <t>I have very dry eyes/dry eye syndrome, and don't use eye drops very often, which isn't smart, I've noticed my eyes are a light yellow with it become darker on the edges of my eyeball, just wondering what it could be? Also my peripheral vision has become quite blurry/lacking clarity and eyes feel puffy.</t>
        </is>
      </c>
      <c r="D1364" t="n">
        <v>1</v>
      </c>
      <c r="E1364" t="n">
        <v>2</v>
      </c>
      <c r="F1364">
        <f>HYPERLINK("https://www.reddit.com/r/eyetriage/comments/fen8x1/jaundice_and_bloodshot_eyes/")</f>
        <v/>
      </c>
      <c r="G1364" t="inlineStr">
        <is>
          <t>2020-03-06 16:36:50</t>
        </is>
      </c>
      <c r="H1364" t="inlineStr"/>
    </row>
    <row r="1365">
      <c r="A1365" t="inlineStr">
        <is>
          <t>feunos</t>
        </is>
      </c>
      <c r="B1365" t="inlineStr">
        <is>
          <t>UV Protection eyeglasses changed my mood!</t>
        </is>
      </c>
      <c r="C1365" t="inlineStr">
        <is>
          <t>So I am a guy that wear eye glasses 24/7. In April 2019 I bought new eyeglasses lens, specifically from Zeiss Duravision, With full UV Protection (Both from sun/digital devices).
I wear them since Feb 2020 when I decided to took them of and get back my old eyeglasses (with normal green AR coating on it).
The pros of wearing the full UV protection glasses were 
-eyes always relaxed
-no headhace (by digital devices)
The cons:
-big impact on my general mood: i felt relaxed but tired, depressed, melancholic.
-eye were focusing on lights: i do not know why but my eyes were focusing more on lights in general, like i were captured by looking to lights.
-yellow tint: color misperception.
So after this i'm back to my normal glasses. Yes I maybe regret that i could use my pc for 4h without headhace, but feel more "happy" and "Want to do" something, I think its better.
Could you tell me how this is possible?
Thanks</t>
        </is>
      </c>
      <c r="D1365" t="n">
        <v>1</v>
      </c>
      <c r="E1365" t="n">
        <v>6</v>
      </c>
      <c r="F1365">
        <f>HYPERLINK("https://www.reddit.com/r/eyetriage/comments/feunos/uv_protection_eyeglasses_changed_my_mood/")</f>
        <v/>
      </c>
      <c r="G1365" t="inlineStr">
        <is>
          <t>2020-03-07 04:43:56</t>
        </is>
      </c>
      <c r="H1365" t="inlineStr"/>
    </row>
    <row r="1366">
      <c r="A1366" t="inlineStr">
        <is>
          <t>ffj4ky</t>
        </is>
      </c>
      <c r="B1366" t="inlineStr">
        <is>
          <t>[Cataract IOL] Question about "Negative Spherical Aberration" (Tecnis)</t>
        </is>
      </c>
      <c r="C1366" t="inlineStr">
        <is>
          <t xml:space="preserve"> 
How relevant is Negative Spherical Aberration (-.27um) of a Tecnis IOL?
Initially, I was to receive an AcrySof Toric in one eye (R) and an Alcon Clareon in the other (L) but it was reconsidered in favor of a non-tinted and glistening-free Tecnis Toric (ZCT150) in the right eye and in order to match tint in the other, a non-Toric Tecnis in the left eye.
I haven't been made aware of the differences between an IOL with neutral (Clareon) and one with negative aberration (the non-Toric Tecnis) or how that could impact me. I'm not sure what to expect from that negative spherical aberration of that IOL. Is this a trivial difference or one that could affect the outcome significantly? Is it a positive aspect, a negative one or what would it depend on to determine?
\[I'm not asking for a diagnosis, just a bit of insight before I go in and talk about it with my surgeon.\]</t>
        </is>
      </c>
      <c r="D1366" t="n">
        <v>1</v>
      </c>
      <c r="E1366" t="n">
        <v>22</v>
      </c>
      <c r="F1366">
        <f>HYPERLINK("https://www.reddit.com/r/eyetriage/comments/ffj4ky/cataract_iol_question_about_negative_spherical/")</f>
        <v/>
      </c>
      <c r="G1366" t="inlineStr">
        <is>
          <t>2020-03-08 14:04:35</t>
        </is>
      </c>
      <c r="H1366" t="inlineStr"/>
    </row>
    <row r="1367">
      <c r="A1367" t="inlineStr">
        <is>
          <t>ffjtmg</t>
        </is>
      </c>
      <c r="B1367" t="inlineStr">
        <is>
          <t>strange side effects after photocoagulation</t>
        </is>
      </c>
      <c r="C1367" t="inlineStr">
        <is>
          <t>I posted a while back on what to expect before my photocoagulation surgery (here: [https://www.reddit.com/r/eyetriage/comments/evnump/having\_photocoagulation\_what\_to\_expect/](https://www.reddit.com/r/eyetriage/comments/evnump/having_photocoagulation_what_to_expect/) ) for thin spots on my retina and (I think) asymptomatic lattice degeneration.
It's been a month and a half and I had some initial side effects that went away (dry eyes, double vision around streetlights and such at night), however I've had other side effects which come and go and have persisted and are such that at times I can't do my job and sometimes can't even use my computer since I literally can't read the words on the screen.  I saw the retina dr who performed the surgery and was told that the surgery seemed to have healed fine, but when I asked about the side effects was dismissed very abruptly without any further exam or questions.
I'm going to see an ophthalmology specialist to see what's going on and what can be done, but here are some of the symptoms, just hoping someone might have input/experience with this and hoping that these are temporary or can be fixed somehow if they're not.
Side effects: light sensitivity (varies, sometimes very painful, sometimes just annoying), monocular double vision/ghost images above/below things in both eyes that comes and goes (can't detect any patterns, sometimes it's in the morning, sometimes just out of the blue, sometimes at night... I thought it was eye tiredness but doesn't seem to be the case.  It gets so bad that I literally can't read the computer code or other text on my computer, which is bad since my work revolves around programming and computer use and working on applying for better jobs that are still focused on that), fuzzy/blurry vision periodically in one or both eyes (really fun when one of my eyes is doing the double vision thing and the other is fuzzy and/or has its own double vision thing going on), seemingly blind spots in the center and a few other areas in one eye (I have to move the eye around to read the text/see what's that's in those spots), dry eyes much more frequently than normal, and problems changing distance (if I'm looking at something close it takes an actual conscious effort to change distance to focus on and look at something further away, and vice versa).
Needless to say these are very disconcerting and I wasn't having any of these prior to the laser photocoagulation, and all the issues were this was supposed to take care of and prevent a possible future retinal tear or detachment were asymptomatic before the surgery.  Not asking for a diagnosis or medical advice, just personal advice or personal experiences.  I'll update after I see the ophthalmologist specialist - though that might be a few weeks or month away.
Thanks</t>
        </is>
      </c>
      <c r="D1367" t="n">
        <v>1</v>
      </c>
      <c r="E1367" t="n">
        <v>4</v>
      </c>
      <c r="F1367">
        <f>HYPERLINK("https://www.reddit.com/r/eyetriage/comments/ffjtmg/strange_side_effects_after_photocoagulation/")</f>
        <v/>
      </c>
      <c r="G1367" t="inlineStr">
        <is>
          <t>2020-03-08 14:50:02</t>
        </is>
      </c>
      <c r="H1367" t="inlineStr"/>
    </row>
    <row r="1368">
      <c r="A1368" t="inlineStr">
        <is>
          <t>ffktgm</t>
        </is>
      </c>
      <c r="B1368" t="inlineStr">
        <is>
          <t>[Cataract] Questions about Astigmatism Correction with Toric IOL</t>
        </is>
      </c>
      <c r="C1368" t="inlineStr">
        <is>
          <t xml:space="preserve"> I've been spending a lot of time researching everything related to my cataract surgery and still am a bit blurry about Astigmatism correction.
My corneal astigmatism is -1.67D or -1.49D (probably both, see [here](https://imgur.com/a/1eK4xKC)).
The IOL that is being considered is a Tecnis Toric ZCT150 with 1.5D or 1.03D correction (again, likely both just depending on where it's measured?).
Not sure where that leaves my expected residual astigmatism (before considering SIA). Is it 0.01D, -0.18D, -0.46D, -0.64D. Or is it not as simple as one single value?</t>
        </is>
      </c>
      <c r="D1368" t="n">
        <v>1</v>
      </c>
      <c r="E1368" t="n">
        <v>0</v>
      </c>
      <c r="F1368">
        <f>HYPERLINK("https://www.reddit.com/r/eyetriage/comments/ffktgm/cataract_questions_about_astigmatism_correction/")</f>
        <v/>
      </c>
      <c r="G1368" t="inlineStr">
        <is>
          <t>2020-03-08 15:57:15</t>
        </is>
      </c>
      <c r="H1368" t="inlineStr"/>
    </row>
    <row r="1369">
      <c r="A1369" t="inlineStr">
        <is>
          <t>ffmpfa</t>
        </is>
      </c>
      <c r="B1369" t="inlineStr">
        <is>
          <t>Floaters and Flashing circles in the mornings if overheated by exercise/shower.</t>
        </is>
      </c>
      <c r="C1369" t="inlineStr">
        <is>
          <t>For the last month or so I have noticed a weird visual phenomenon that I’ve been getting. It only seems to occur in particular circumstances:
* In the morning if I have not drunk any water or eaten, and have a really hot shower, or go for an intense run.
* If I go for a run in the afternoon, it does not seem to occur.
The symptoms are as follows:
Two circular white spots in central vision next to each other, each the size of a coin, with what seems to be a border radiating outwards slightly from them quickly in rapid succession. My vision does not seem to blur, I have no pain.
The phenomenon seems to disappear once I am cool. I have tried replicating this phenomenon in the evening with a hot shower but cannot seem to do so. Again, if I go for a run in the afternoon, it does not seem to occur also.
I went to an optometrist who dilated my pupils and did a retinal scan, and she noted nothing of concern. This appointment followed getting a marked increase of floaters in my vision about 3 weeks ago.
Any ideas?</t>
        </is>
      </c>
      <c r="D1369" t="n">
        <v>1</v>
      </c>
      <c r="E1369" t="n">
        <v>1</v>
      </c>
      <c r="F1369">
        <f>HYPERLINK("https://www.reddit.com/r/eyetriage/comments/ffmpfa/floaters_and_flashing_circles_in_the_mornings_if/")</f>
        <v/>
      </c>
      <c r="G1369" t="inlineStr">
        <is>
          <t>2020-03-08 18:14:15</t>
        </is>
      </c>
      <c r="H1369" t="inlineStr"/>
    </row>
    <row r="1370">
      <c r="A1370" t="inlineStr">
        <is>
          <t>ffoo1l</t>
        </is>
      </c>
      <c r="B1370" t="inlineStr">
        <is>
          <t>Oligocone Trichromacy? Complex case, ideas welcome</t>
        </is>
      </c>
      <c r="C1370" t="inlineStr">
        <is>
          <t>I'm a complex case, seen by ocular genetics 22F
&amp;amp;#x200B;
Visual complaints, unsure if caused by primary retinal cone dysfunction or neurological issue. mfERG abnormal, but ffERG is seemingly normal, pending final neuro opth report. Any thoughts on oligocone trichromacy or other cone dysfunction condition?
&amp;amp;#x200B;
\- Mildly abnormal multifocal electroretinogram with a mild decrease in amplitude consistent with mild central retinal cone dysfunction.
\- Normal color vision
\- Normal optic nerve, fundus
\- Photophobia since early childhood
\- No nystagmus
\- Accommodative esotropia OS, lens corrected starting at age 2. Worsening after 2 decades, possible new intermittent exotropia OS.
\- Binocular diplopia, near to mid range, restricted to narrow margins of central and peripheral vision; intermittent.
\- Possibly unrelated undiagnosed neuromuscular condition, negative exome and mtDNA testing, high suspicion of channelopathy. Normal/elevated electron transport chain components but deficient citric synthase in skeletal muscle (implicated in diabetes, but patient is not diabetic)
\- Suspect deleterious RPGR gene missense variant, clinically relevant to CRD if applicable.
&amp;amp;#x200B;
I have more redacted screenshots, but I have no clue how to post them here, i'm new to reddit.
![img](xouxfmisikl41 "part of mfERG results")</t>
        </is>
      </c>
      <c r="D1370" t="n">
        <v>1</v>
      </c>
      <c r="E1370" t="n">
        <v>1</v>
      </c>
      <c r="F1370">
        <f>HYPERLINK("https://www.reddit.com/r/eyetriage/comments/ffoo1l/oligocone_trichromacy_complex_case_ideas_welcome/")</f>
        <v/>
      </c>
      <c r="G1370" t="inlineStr">
        <is>
          <t>2020-03-08 20:42:27</t>
        </is>
      </c>
      <c r="H1370" t="inlineStr"/>
    </row>
    <row r="1371">
      <c r="A1371" t="inlineStr">
        <is>
          <t>fg0jtf</t>
        </is>
      </c>
      <c r="B1371" t="inlineStr">
        <is>
          <t>Prism glasses for Macular Degeneration?</t>
        </is>
      </c>
      <c r="C1371" t="inlineStr">
        <is>
          <t>Hello kind people!
My elderly mom is suffering from Macular Degeneration. Recently she saw an ad on TV for Prism glasses sold in Orlando that supposedly will help her. The company's name is Systems of Sight. I can't find much information on them online. Is this a scam? Are people really helped by this? What are some things we should be looking out for?
And if they are a legitimate thing, are they sold by different centers? The center she's traveling to is almost 2 hours away and she's convinced this the only place where share can buy such a thing.
Thanks very much for any insight you can share!</t>
        </is>
      </c>
      <c r="D1371" t="n">
        <v>1</v>
      </c>
      <c r="E1371" t="n">
        <v>2</v>
      </c>
      <c r="F1371">
        <f>HYPERLINK("https://www.reddit.com/r/eyetriage/comments/fg0jtf/prism_glasses_for_macular_degeneration/")</f>
        <v/>
      </c>
      <c r="G1371" t="inlineStr">
        <is>
          <t>2020-03-09 12:47:02</t>
        </is>
      </c>
      <c r="H1371" t="inlineStr"/>
    </row>
    <row r="1372">
      <c r="A1372" t="inlineStr">
        <is>
          <t>fg18kc</t>
        </is>
      </c>
      <c r="B1372" t="inlineStr">
        <is>
          <t>EHR code language</t>
        </is>
      </c>
      <c r="C1372" t="inlineStr">
        <is>
          <t>Hi guys, 
The hospital I’m working at is in a transition to a new EHR. Together with 2 people I’m in charge of ophthalmology files. The hospital however has set up some rules to which every speciality has to comply. 
One of these is the phases a pt. goed through in the clinic. As you can imagine these hospital-wide phases don’t fit too well in our routine. The hospital has said that we simply have to create some sort of code language where “pt is in room 1” could mean that the pt is with the optometrist, room 2 could mean that the pt has received dilatating drops and is ready for the ophthalmologist. 
My question to you is, how would you call this “code language”? I’m asking this because I want to look up some research on this matter because we’re against it. But we need some science to back up our opinion. 
Thanks in advance.</t>
        </is>
      </c>
      <c r="D1372" t="n">
        <v>1</v>
      </c>
      <c r="E1372" t="n">
        <v>1</v>
      </c>
      <c r="F1372">
        <f>HYPERLINK("https://www.reddit.com/r/eyetriage/comments/fg18kc/ehr_code_language/")</f>
        <v/>
      </c>
      <c r="G1372" t="inlineStr">
        <is>
          <t>2020-03-09 13:27:52</t>
        </is>
      </c>
      <c r="H1372" t="inlineStr"/>
    </row>
    <row r="1373">
      <c r="A1373" t="inlineStr">
        <is>
          <t>fg2lq7</t>
        </is>
      </c>
      <c r="B1373" t="inlineStr">
        <is>
          <t>Mystery eye condition, looking for suggestions.</t>
        </is>
      </c>
      <c r="C1373" t="inlineStr">
        <is>
          <t xml:space="preserve"> Hi everyone,   
Looking for some help and advice on what to do next, because I’m freaking out.   
I’m a 35 year old female, no known underlying health conditions. Astigmatism in both eyes, right eye highly myopic and the left around a -4.25. Suffered with migraine with brain stem aura since childhood. Have always had some floaters and odd flashes too. Mother and aunt with MS and family history of diabetes but I’m not a sufferer to my knowledge.   
For the past three weeks I’ve been seeing a bright crooked line in my left eye on the nose side of my central vision whenever I look side to side, it only appears on bright/white backgrounds and outside etc. No pain, redness. No headaches or anything like that. So far no real noticeable increase in floaters or shadows, or flashing lights, or anything like that.   
The line appears to blend in to whatever coloured background it's on, so if I look at a red screen it looks slightly lighter red, if I look at a blue screen, it's slightly lighter blue etc.   
It’s slightly changed shape since I first noticed it on the morning on Feb 17th and I’ll attach an image I cooked up that shows the “evolution” of this thing.  
I went to the optician who performed an OCT scan, retinal photography, tonometry and had a look in my eyes with an ophthalmoscope. Said all looked fine, but referred me to the specialist ophthalmology unit at a local hospital just to be on the safe side because my left eye is my only “good eye”.   
By the end of that week, I was checked out by a doctor (a consultant in ophthalmology) who did a dilated eye exam, and was very thorough. He said my eyes looked healthy and my vitreous motility was good and that he expected the line I’ve been seeing was some kind of floater associated with normal changes in the vitreous.   
I hoped he was right, but over the last three or four days things have got worse.    
On Thursday I went to the opticians for a sight test. Slight increase in strength as it has been three years since my last sight test, and my astigmatism went from -0.50 CYL/115.0 AXI to -1.0 CLY/110.0 AXIS. I had another OCT scan and a retinal image again.   
The optician showed me the scans and assured me that there didn’t appear to be any signs of macular degeneration or anything that suggested my eyes were less than healthy. I wish I could have been reassured but I’m not.   
Since Friday the “bright line” that only appeared when I look side to side, now appears to have a small patch of colour attached to/near it which I am seeing more and more, especially when blinking.   
The patch appears without the line and appears to possibly be based in the darker area on the third/most recent image in the diagram below. 
[ \(It's on a grey background to illustrate the brightness of the line, but generally the line blends with the background colour just looks slightly lighter\)](https://preview.redd.it/m4dzpeddwpl41.png?width=774&amp;amp;format=png&amp;amp;auto=webp&amp;amp;s=4f0ed0720d0602199c8fcee2dffab56535e8d7cf)
The colour patch also appears blue/green when trying to focus on dark backgrounds, and it almost seems like it gets “charged up” by looking at a bright screen and then looking away to a black curtain for example, the patch is more prominent and it appears on all colour backgrounds, but doesn’t seem to be visible in low light/the dark.   
Both the line and the patch look bigger when I’m focusing on something far away, and smaller when focusing close up too. The line and the patch do not move at all, they are completely static and do not float across my vision in anyway.   
I can’t explain what I’m seeing any better than that. I’m absolutely scared to death. I haven’t eaten properly in almost two weeks, I can barely sleep and I am in a constant state of anxiety and panic about what could be going on. My heart is constantly beating out of my chest and I’m suffering constant waves of nausea worrying about what this could be and if it will get worse/take my sight.   
Like I said, the specialist doctor and two opticians have told me (as of 107 hours ago) that my eyes appear healthy, but clearly there is something wrong here because I shouldn’t be seeing this kind of thing and I never had prior to Feb 17th.   
Does anyone have any idea what this could be?  
Are there any other tests I could insist on having that might actually give me an definitive explanation for what’s going on?   
Is there any way to categorically rule out anything sinister?  
Could what I’m experiencing be down to my astigmatism?  
I’m going to the hospital to be seen again tomorrow, I’m terrified but I hope in the meantime someone here might be able to offer a suggestion of what all this could be and what questions/tests I could push for with the doctors.   
Thanks for taking the time to read, any advice would be greatly appreciated.</t>
        </is>
      </c>
      <c r="D1373" t="n">
        <v>1</v>
      </c>
      <c r="E1373" t="n">
        <v>3</v>
      </c>
      <c r="F1373">
        <f>HYPERLINK("https://www.reddit.com/r/eyetriage/comments/fg2lq7/mystery_eye_condition_looking_for_suggestions/")</f>
        <v/>
      </c>
      <c r="G1373" t="inlineStr">
        <is>
          <t>2020-03-09 14:51:27</t>
        </is>
      </c>
      <c r="H1373" t="inlineStr"/>
    </row>
    <row r="1374">
      <c r="A1374" t="inlineStr">
        <is>
          <t>fge93j</t>
        </is>
      </c>
      <c r="B1374" t="inlineStr">
        <is>
          <t>General question - Glaucoma and corticosteroids for asthma and allergy control</t>
        </is>
      </c>
      <c r="C1374" t="inlineStr">
        <is>
          <t>I'm an early stage glaucoma patient in my 30's who also has asthma and chronic allergies. As a result, I'm taking normal doses of corticosteroids (Advair and Flonase) for both asthma and allergy control.
The information leaflets have a glaucoma caution listed on them. I was just curious if anyone could provide some general insight on this increased risk. Obviously for my specific medical case, I would bring up any questions or concerns with my optometrist. 
Thank you.</t>
        </is>
      </c>
      <c r="D1374" t="n">
        <v>1</v>
      </c>
      <c r="E1374" t="n">
        <v>11</v>
      </c>
      <c r="F1374">
        <f>HYPERLINK("https://www.reddit.com/r/eyetriage/comments/fge93j/general_question_glaucoma_and_corticosteroids_for/")</f>
        <v/>
      </c>
      <c r="G1374" t="inlineStr">
        <is>
          <t>2020-03-10 07:01:11</t>
        </is>
      </c>
      <c r="H1374" t="inlineStr"/>
    </row>
    <row r="1375">
      <c r="A1375" t="inlineStr">
        <is>
          <t>fgihqi</t>
        </is>
      </c>
      <c r="B1375" t="inlineStr">
        <is>
          <t>PVD and stronger glasses...</t>
        </is>
      </c>
      <c r="C1375" t="inlineStr">
        <is>
          <t>Hi everyone,   
Just a silly question - is there any increased risk of retinal detachment with PVD if you suddenly start wearing stronger glasses?   
Thanks.</t>
        </is>
      </c>
      <c r="D1375" t="n">
        <v>1</v>
      </c>
      <c r="E1375" t="n">
        <v>7</v>
      </c>
      <c r="F1375">
        <f>HYPERLINK("https://www.reddit.com/r/eyetriage/comments/fgihqi/pvd_and_stronger_glasses/")</f>
        <v/>
      </c>
      <c r="G1375" t="inlineStr">
        <is>
          <t>2020-03-10 11:30:27</t>
        </is>
      </c>
      <c r="H1375" t="inlineStr"/>
    </row>
    <row r="1376">
      <c r="A1376" t="inlineStr">
        <is>
          <t>fgpllx</t>
        </is>
      </c>
      <c r="B1376" t="inlineStr">
        <is>
          <t>With Retinitis Pigmentosa and risk for lens decentralization in mind, what are safest Cataract IOL designs?</t>
        </is>
      </c>
      <c r="C1376" t="inlineStr">
        <is>
          <t xml:space="preserve"> 
I've been told that as an RP patient I'm in general more likely to develop a condition that might lead to IOL decentralization. As far as I've been researching, I understand that those are not suitable for someone with my retinal pathologies:
* **Multifocal** IOLs
* **Extended Depth of Focus** lenses.
* Aspheric IOLs with **negative spherical aberration**
I'm not sure if the same applies to:
* **Aspheric** IOLs in general (aberration neutral)
* **Toric** lenses
Are those similar to spherical IOLs in terms of how tilt and decentralization would affect visual quality? i.e. not as significantly as the other options.</t>
        </is>
      </c>
      <c r="D1376" t="n">
        <v>1</v>
      </c>
      <c r="E1376" t="n">
        <v>2</v>
      </c>
      <c r="F1376">
        <f>HYPERLINK("https://www.reddit.com/r/eyetriage/comments/fgpllx/with_retinitis_pigmentosa_and_risk_for_lens/")</f>
        <v/>
      </c>
      <c r="G1376" t="inlineStr">
        <is>
          <t>2020-03-10 19:03:27</t>
        </is>
      </c>
      <c r="H1376" t="inlineStr"/>
    </row>
    <row r="1377">
      <c r="A1377" t="inlineStr">
        <is>
          <t>fgr399</t>
        </is>
      </c>
      <c r="B1377" t="inlineStr">
        <is>
          <t>Possible cataract?</t>
        </is>
      </c>
      <c r="C1377" t="inlineStr">
        <is>
          <t>I've noticed a tiny blurry spot lately in my left eye. It seemed to be a floater, but its position is fixed and it doesn't have the same colour per usual, e.g., my floaters always look grey, but this one stood out as a pale, almost greenish shade when I looked at a red apple as I ate it. It was somewhat half-moon shaped.
Does this sound like a potential cataract? It's quite small, just large enough to discern, but it's a concern, obviously, as it's affecting my sight. Thank you.</t>
        </is>
      </c>
      <c r="D1377" t="n">
        <v>1</v>
      </c>
      <c r="E1377" t="n">
        <v>2</v>
      </c>
      <c r="F1377">
        <f>HYPERLINK("https://www.reddit.com/r/eyetriage/comments/fgr399/possible_cataract/")</f>
        <v/>
      </c>
      <c r="G1377" t="inlineStr">
        <is>
          <t>2020-03-10 20:54:35</t>
        </is>
      </c>
      <c r="H1377" t="inlineStr"/>
    </row>
    <row r="1378">
      <c r="A1378" t="inlineStr">
        <is>
          <t>fgtj5q</t>
        </is>
      </c>
      <c r="B1378" t="inlineStr">
        <is>
          <t>TV static vision not normal?</t>
        </is>
      </c>
      <c r="C1378" t="inlineStr">
        <is>
          <t>I remember having this all my life. I seriously though that this was experienced by everyone. I cant believe I found out at my 18s. I actually experience this all the time especially when I wake up and I though this was happening  because of excessive screen use or high myopia(whicvi have 6.50).Also this justifies the ringing I have in my left ear all the time(which I read it causes it). So what to do now? I am not sensitive at light or something but there are often side effects. Like after images, photopsies etc. In fact, I did an MRI (for a completely different reason) some months ago and it was normal, also I had my eyes examined really precisely and it was pretty much normal with 40/40 and with no peripheral vision loss. The truth is that I play video games a lot. In fact if I don't play I watch something on my phone, I would say I DON'T  use a screen about 4 hours a day. What to do now? Visit otolaryngologist for the ringing? Or visit again an ophthalmologist for that exact reason, but I went there last week...</t>
        </is>
      </c>
      <c r="D1378" t="n">
        <v>1</v>
      </c>
      <c r="E1378" t="n">
        <v>4</v>
      </c>
      <c r="F1378">
        <f>HYPERLINK("https://www.reddit.com/r/eyetriage/comments/fgtj5q/tv_static_vision_not_normal/")</f>
        <v/>
      </c>
      <c r="G1378" t="inlineStr">
        <is>
          <t>2020-03-11 00:44:36</t>
        </is>
      </c>
      <c r="H1378" t="inlineStr"/>
    </row>
    <row r="1379">
      <c r="A1379" t="inlineStr">
        <is>
          <t>fgx57a</t>
        </is>
      </c>
      <c r="B1379" t="inlineStr">
        <is>
          <t>How to heal a small cut in inner tear duct?</t>
        </is>
      </c>
      <c r="C1379" t="inlineStr">
        <is>
          <t>I must have scratched my eye and caused the tear, but it’s been a while and it still hasn’t healed. It doesn’t help that I constantly use my finger to rub my eye there either since it pulls my skin apart and opens the cut. My under eye is starting to become really dry too and I’m a bit concerned if that has anything with to do with my cut that won’t heal.</t>
        </is>
      </c>
      <c r="D1379" t="n">
        <v>1</v>
      </c>
      <c r="E1379" t="n">
        <v>0</v>
      </c>
      <c r="F1379">
        <f>HYPERLINK("https://www.reddit.com/r/eyetriage/comments/fgx57a/how_to_heal_a_small_cut_in_inner_tear_duct/")</f>
        <v/>
      </c>
      <c r="G1379" t="inlineStr">
        <is>
          <t>2020-03-11 06:28:12</t>
        </is>
      </c>
      <c r="H1379" t="inlineStr"/>
    </row>
    <row r="1380">
      <c r="A1380" t="inlineStr">
        <is>
          <t>fh5u0a</t>
        </is>
      </c>
      <c r="B1380" t="inlineStr">
        <is>
          <t>Bilateral acute adenoviral follicular conjunctivitis</t>
        </is>
      </c>
      <c r="C1380" t="inlineStr">
        <is>
          <t>Hi folks I have a really viral conjunctivitis starting December 2019.
Well I didn’t know it was going to get this bad initially so I decided to wait it out and see if it goes away by itself. It didn’t and got worse.
Finally after 2 weeks I went to my first Ophthalmologist and I couldn’t even read anything from pinhole test. I was diagnosed with adenoviral conjunctivitis and keratitis. They noticed some membranes and immediately took them off from both eyes. Then I was prescribed prednisolone acetate ( 3 drops daily in both eyes for 2 weeks ). The drops definitely helped me and my vision was 50% back but not fully. Then was instructed to taper down in the next 2 weeks. End of January and I was off prednisolone and I could see better.
2 weeks later ( mid February ) I started noticing blurry vision again, so I scheduled another appointment. Turned out some of the cornea inflammation came back but it was not in the center so vision was still decent ( left eye had more spots on the cornea compared to right ). This time I was only diagnosed with keratitis and was told to start another round of prednisolone ( 2 drops daily for 2 weeks and then 1 drop daily for another 2 weeks ). So far I noticed vision improves as I am using the eye drops.
Questions I have are; how long does keratitis usually last for after conjunctivitis? What are the chances of keratitis(cornea inflammation) to reoccur again? Are there any other treatments/things that can help eliminate keratitis, I should ask my eye doctor about?</t>
        </is>
      </c>
      <c r="D1380" t="n">
        <v>1</v>
      </c>
      <c r="E1380" t="n">
        <v>13</v>
      </c>
      <c r="F1380">
        <f>HYPERLINK("https://www.reddit.com/r/eyetriage/comments/fh5u0a/bilateral_acute_adenoviral_follicular/")</f>
        <v/>
      </c>
      <c r="G1380" t="inlineStr">
        <is>
          <t>2020-03-11 15:37:08</t>
        </is>
      </c>
      <c r="H1380" t="inlineStr"/>
    </row>
    <row r="1381">
      <c r="A1381" t="inlineStr">
        <is>
          <t>fh8etf</t>
        </is>
      </c>
      <c r="B1381" t="inlineStr">
        <is>
          <t>Annual eye infection</t>
        </is>
      </c>
      <c r="C1381" t="inlineStr">
        <is>
          <t>3 or 4 years running now, and just happened again, I get an infection in my left eye at the beginning of spring. My doctor noticed in my history last year I'd been to see him the previous two years to the week for the same issue, same eye.
Additionally, year round, my left eye waters frequently but not always. More so when tired. Right eye never waters. I can accept that watery eye leads to wiping with fingers leads to infection.. but the timing is just uncanny. I don't get an infection any other time of the year. I'm not looking for medical advice, but I'm curious to hear speculation on potential causes.
I'm currently using antibiotic drops left over from the last time. If I don't see some improvement tomorrow, I'll go see my doctor again.</t>
        </is>
      </c>
      <c r="D1381" t="n">
        <v>1</v>
      </c>
      <c r="E1381" t="n">
        <v>1</v>
      </c>
      <c r="F1381">
        <f>HYPERLINK("https://www.reddit.com/r/eyetriage/comments/fh8etf/annual_eye_infection/")</f>
        <v/>
      </c>
      <c r="G1381" t="inlineStr">
        <is>
          <t>2020-03-11 18:33:10</t>
        </is>
      </c>
      <c r="H1381" t="inlineStr"/>
    </row>
    <row r="1382">
      <c r="A1382" t="inlineStr">
        <is>
          <t>fhe6zi</t>
        </is>
      </c>
      <c r="B1382" t="inlineStr">
        <is>
          <t>To what extent can anxiety affect vision?</t>
        </is>
      </c>
      <c r="C1382" t="inlineStr">
        <is>
          <t>This question is particularly aimed towards the optometrists and ophthalmologists here, although people suffering from visual disturbances as a result of anxiety, I'm also interested in what you are going through too.
I'm just wondering, how exactly and what symptoms can be common for someone like me who is quite anxious? As for me, my vision seems patchy, a little hazy in the peripheral, and find it hard to focus on things and blurriness. I've somewhat accepted what the optometrist, ophthalmologist, and neurologist have shown and told me ( I have healthy eyes and no neurological disorder), and would like to have a better understanding on the correlation between anxiety disorders, such as health anxiety(hypochondria) and visual disturbances. Might bring my mind closer to peace, thankyou.</t>
        </is>
      </c>
      <c r="D1382" t="n">
        <v>1</v>
      </c>
      <c r="E1382" t="n">
        <v>13</v>
      </c>
      <c r="F1382">
        <f>HYPERLINK("https://www.reddit.com/r/eyetriage/comments/fhe6zi/to_what_extent_can_anxiety_affect_vision/")</f>
        <v/>
      </c>
      <c r="G1382" t="inlineStr">
        <is>
          <t>2020-03-12 03:24:39</t>
        </is>
      </c>
      <c r="H1382" t="inlineStr"/>
    </row>
    <row r="1383">
      <c r="A1383" t="inlineStr">
        <is>
          <t>fhlogl</t>
        </is>
      </c>
      <c r="B1383" t="inlineStr">
        <is>
          <t>Darkening in one eye</t>
        </is>
      </c>
      <c r="C1383" t="inlineStr">
        <is>
          <t>I have a strange problem with my vision that I'm hoping somebody might have some ideas about.  I have three symptoms that may or may not be related, but hopefully they're helpful information:
1) My left eye will (sometimes gradually, sometimes quite rapidly) fill in black when I'm looking at something.  It doesn't seem to be Troxler's effect from what I can tell (and, actually, those Troxler's effect images don't even work with this eye, more on that below).  On extremely high-contrast situations, it's sometimes almost immediate (for example, on a vision test where they show the black text on white backgrounds, it's very difficult for me to read these because they turn black so quickly).  Looking away momentarily will help a little, and moving my eyes helps, but the longer I'm trying to look at something that involves little eye movement, the worse it gets and the more quickly this happens.  When I'm walking around or doing something that provides a large amount of motion in my vision, it doesn't seem to really much happen at all.  Looking at something like an Amsler's grid will create a nice, dark tunnel around the center point, and then shortly after even the center point disappears momentarily, moves a little bit and I can see it again for a split second, and then disappears again.
2) My left eye is also weird in other ways.  Annoyingly so.  Closing my right eye and trying to use it for pretty much anything is very frustrating.  When I try to walk around, the world feels weird.  I can't really put my finger on it.  It just looks.. wrong.  When trying to read, I get double vision, my entire field of vision seems to move around in annoying ways.  If I keep my eye moving quickly I can mostly read it with, but everything seems to float around and different parts of my vision don't really appear to move correctly with respect to other parts of my field of vision.  If I don't move my eye enough, my eye appears to lose focus mysteriously and what i'm looking at moves inward, and consciously trying to re-focus on it will snap it back into place and it will stay in focus for a very short time before again doing this.  If I video record my eye, I see it moving a little bit away from what I was looking at and then moving back into place.  It kind of jitters a little.
3) With both eyes open, things aren't quite so bad, which is why I generally don't care about the other two problems.  But, those problems it does cause seem to be getting worse over time.  Only real problem is things will kind of look out-of-focus, generally when doing something like reading.  Sometimes I'll see double.  Looking at something like graph paper is the worst.  Recording my eyes when this happens shows my left pupil just kind of slowly drifts inward a little bit.  If I put effort into trying to focus the image, I get a clear image momentarily (and my left eye then snaps back into place), but it again drifts apart and the image becomes less clear again.  And doing that hurts, which is one of the reasons I'm starting to care about it at a bit more.
Optically, my eyes are fine.  Very good, stable vision.  No detected problems with any of the main components of my eyes in so far as would be detected during a normal eye exam.  When I mentioned this to my optometrist, he had no idea, thought it sounded really weird, and referred me to a neuro-ophthalmologist.  It's going to take forever to get an appointment, though, so I'm curious if anybody has any ideas of what might be going on.
Thanks for any help!</t>
        </is>
      </c>
      <c r="D1383" t="n">
        <v>1</v>
      </c>
      <c r="E1383" t="n">
        <v>7</v>
      </c>
      <c r="F1383">
        <f>HYPERLINK("https://www.reddit.com/r/eyetriage/comments/fhlogl/darkening_in_one_eye/")</f>
        <v/>
      </c>
      <c r="G1383" t="inlineStr">
        <is>
          <t>2020-03-12 12:09:19</t>
        </is>
      </c>
      <c r="H1383" t="inlineStr"/>
    </row>
    <row r="1384">
      <c r="A1384" t="inlineStr">
        <is>
          <t>fhqapa</t>
        </is>
      </c>
      <c r="B1384" t="inlineStr">
        <is>
          <t>Dark room to light room</t>
        </is>
      </c>
      <c r="C1384" t="inlineStr">
        <is>
          <t>40yo healthy Caucasian 20/20 vision. As I walked out of a dark room and into a brightly lit room, it’s almost like everything looked gray for a couple seconds. I’m freaked out right now. Could this being something sinister??</t>
        </is>
      </c>
      <c r="D1384" t="n">
        <v>1</v>
      </c>
      <c r="E1384" t="n">
        <v>15</v>
      </c>
      <c r="F1384">
        <f>HYPERLINK("https://www.reddit.com/r/eyetriage/comments/fhqapa/dark_room_to_light_room/")</f>
        <v/>
      </c>
      <c r="G1384" t="inlineStr">
        <is>
          <t>2020-03-12 16:55:14</t>
        </is>
      </c>
      <c r="H1384" t="inlineStr"/>
    </row>
    <row r="1385">
      <c r="A1385" t="inlineStr">
        <is>
          <t>fi439n</t>
        </is>
      </c>
      <c r="B1385" t="inlineStr">
        <is>
          <t>Strange blurry spot that moves across eye - Need advice</t>
        </is>
      </c>
      <c r="C1385" t="inlineStr">
        <is>
          <t>Mid 20s Male
I need some advice. 
About 2 months ago I noticed a few large dark spots in my vision that move around. Figured they were just floaters. 
Then I noticed a blurry patch in my left eye. When I look from right to left, I see a blurry spot shoot across my left eye from the left side of the eye to the right. Almost like someone is moving an empty plastic bottle across my eye very quickly. If my eyes are still I don’t see it, vision is clear. It only shows up if I move my eyes. It’s there and gone. 
It’s super distracting when I am driving, anytime I look into the rear view and back at the road I see it for a split second. Blurry spot moves across my eye. 
Been to 2 ophthalmologists and an optometrist who have dilated my eyes. They all said I have a floater they can see in my left eye, but everything looks okay. No detachment or tears that they can see. 
I feel like it’s getting worse, what should I do?</t>
        </is>
      </c>
      <c r="D1385" t="n">
        <v>1</v>
      </c>
      <c r="E1385" t="n">
        <v>5</v>
      </c>
      <c r="F1385">
        <f>HYPERLINK("https://www.reddit.com/r/eyetriage/comments/fi439n/strange_blurry_spot_that_moves_across_eye_need/")</f>
        <v/>
      </c>
      <c r="G1385" t="inlineStr">
        <is>
          <t>2020-03-13 11:16:28</t>
        </is>
      </c>
      <c r="H1385" t="inlineStr"/>
    </row>
    <row r="1386">
      <c r="A1386" t="inlineStr">
        <is>
          <t>fi58dp</t>
        </is>
      </c>
      <c r="B1386" t="inlineStr">
        <is>
          <t>Cigarette Ash in eye.</t>
        </is>
      </c>
      <c r="C1386" t="inlineStr">
        <is>
          <t>Air blew of a little ash in my eye. It wasn't light up, it was in ashtray. No visions changes or anything. I didn't have water nearby It just got away. Should I be worried or I am exaggerating?No side effects as I said.</t>
        </is>
      </c>
      <c r="D1386" t="n">
        <v>1</v>
      </c>
      <c r="E1386" t="n">
        <v>1</v>
      </c>
      <c r="F1386">
        <f>HYPERLINK("https://www.reddit.com/r/eyetriage/comments/fi58dp/cigarette_ash_in_eye/")</f>
        <v/>
      </c>
      <c r="G1386" t="inlineStr">
        <is>
          <t>2020-03-13 12:26:04</t>
        </is>
      </c>
      <c r="H1386" t="inlineStr"/>
    </row>
    <row r="1387">
      <c r="A1387" t="inlineStr">
        <is>
          <t>fi92bz</t>
        </is>
      </c>
      <c r="B1387" t="inlineStr">
        <is>
          <t>Staph blepharitis resistant to antibiotics, causing a lot of distress</t>
        </is>
      </c>
      <c r="C1387" t="inlineStr">
        <is>
          <t>I’ve had blepharitis for 4 years now. Recently it had been getting better and I didn’t have any symptoms, but suddenly I got what I thought was conjunctivitis (sore, red irritated eyes) 6 months ago, and used chloramphenicol eye ointment (they’re available over the counter here in the UK) and it went away within 5 days. However it came back within a couple of weeks and got so bad (sore and red) that I went to the A&amp;amp;E. They told me it was conjunctivitis and I should use chloramphenicol again and it went away within a week. It came back gradually over a couple of weeks and I saw my GP who didn’t know what it was and referred me to a specialist, but that appointment is in 3 months. She told me to try chloramphenicol again, and I used it for 3 weeks (it took longer to clear up each time) and then I stopped using it. Again, it came back. During this time, after researching I realised that it was most likely blepharitis caused by staph bacteria, for which ophthalmology sites say to use topical antibiotics for 6-8 weeks. I started using chloramphenicol again but after 2 weeks there has been little to no improvement whereas previously within a couple of days the symptoms would clear up. I think I have become resistant to chloramphenicol as a result of overuse. I saw my GP to ask for Fusidic Acid eye drops (an alternative to chloramphenicol but on prescription only) but she was hesitant to prescribe antibiotics and instead told me to use hot compresses (which I have tried exhaustingly without results, and have been doing consistently before my infection started in order to manage my blepharitis).
Is there anything I could do in my position? I have tried so many things (lid hygiene, different eye drops) and the only thing that my eyes responded to was antibiotics. 
Any help would be very much appreciated</t>
        </is>
      </c>
      <c r="D1387" t="n">
        <v>1</v>
      </c>
      <c r="E1387" t="n">
        <v>5</v>
      </c>
      <c r="F1387">
        <f>HYPERLINK("https://www.reddit.com/r/eyetriage/comments/fi92bz/staph_blepharitis_resistant_to_antibiotics/")</f>
        <v/>
      </c>
      <c r="G1387" t="inlineStr">
        <is>
          <t>2020-03-13 16:29:35</t>
        </is>
      </c>
      <c r="H1387" t="inlineStr"/>
    </row>
    <row r="1388">
      <c r="A1388" t="inlineStr">
        <is>
          <t>fia4mj</t>
        </is>
      </c>
      <c r="B1388" t="inlineStr">
        <is>
          <t>Increased eye pressure</t>
        </is>
      </c>
      <c r="C1388" t="inlineStr">
        <is>
          <t>Hi guys. I’m a kidney transplant recipient, currently on 5mg of prednisolone a day. I have cataracts that are developing slowly and are under control. One thing, however, is my eye pressure. 
10 months ago it was 19/20 in left/right, and yesterday it was 24/25 with the puff test. My medication dosages have been stable for years now. My ophthalmologist wants me back in 3 months, to check if these levels are just my normal fluctuations or something more similar.
I’m just wondering whether or not an increase this big is normal?</t>
        </is>
      </c>
      <c r="D1388" t="n">
        <v>1</v>
      </c>
      <c r="E1388" t="n">
        <v>0</v>
      </c>
      <c r="F1388">
        <f>HYPERLINK("https://www.reddit.com/r/eyetriage/comments/fia4mj/increased_eye_pressure/")</f>
        <v/>
      </c>
      <c r="G1388" t="inlineStr">
        <is>
          <t>2020-03-13 17:44:01</t>
        </is>
      </c>
      <c r="H1388" t="inlineStr"/>
    </row>
    <row r="1389">
      <c r="A1389" t="inlineStr">
        <is>
          <t>fiah5r</t>
        </is>
      </c>
      <c r="B1389" t="inlineStr">
        <is>
          <t>Lower Eye Pressure?</t>
        </is>
      </c>
      <c r="C1389" t="inlineStr">
        <is>
          <t>Was told my eye pressure with a puff test was 24 in both eyes which my doctor told me was incredibly high. I’m going back in 3 months to see if it’s just normal or not. Wondering if exercise and diet will help? I’m obese, don’t really watch what I eat.</t>
        </is>
      </c>
      <c r="D1389" t="n">
        <v>1</v>
      </c>
      <c r="E1389" t="n">
        <v>0</v>
      </c>
      <c r="F1389">
        <f>HYPERLINK("https://www.reddit.com/r/eyetriage/comments/fiah5r/lower_eye_pressure/")</f>
        <v/>
      </c>
      <c r="G1389" t="inlineStr">
        <is>
          <t>2020-03-13 18:09:28</t>
        </is>
      </c>
      <c r="H1389" t="inlineStr"/>
    </row>
    <row r="1390">
      <c r="A1390" t="inlineStr">
        <is>
          <t>fig2vt</t>
        </is>
      </c>
      <c r="B1390" t="inlineStr">
        <is>
          <t>I think I may have messed up big time..</t>
        </is>
      </c>
      <c r="C1390" t="inlineStr">
        <is>
          <t>So just for starters, it’s super late and I can’t sleep because of my anxiety over this.. I was googling it.. BIG mistake. I have to ask somewhere for some peace of mind &amp;amp; maybe finally be able to ease my anxiety enough to fall sleep. 
BACKGROUND INFO: I have been wearing contacts for 4ish years. I tried them a bit in high school but had issues with them folding &amp;amp; going up into my eye (which I know now is because I wasn’t wearing astigmatisms lenses lol). I stepped away from them until I could afford them myself. You see I have an astigmatism in both eyes, and have found that Acuvue Oayases (sp) Astigmatism lenses worked the best for me.. the first whole 2.5 years I had my contacts I wasn’t responsible.. I wore them for months on end. Never took them out. Used the same pair for months without putting new lenses in. Like stupidity! I HAVE CHANGED MY WAYS NOW! For a bit I was having constant issues with what I assumed was a reoccurring stye or the other ones that start with a “C”and bought OTC treatment and successfully cleared them up(2 and a half years ago). After treating the eye issue 3 times in a row, I decided to grow up and I now take my contacts out every night and usually only wear them when I work.. 3-5 days a week worn for no longer than 5-8 hours on average. I am currently using an old pair that is missing a small chunk out of the edge (I KNOW! Bad bad bad, but I’ve been so depressed &amp;amp; haven’t wanted to even wear my contacts lately and my glasses have a huge crack in them.. I’m not gonna wear them in public! So I have been just going kinda blind, I don’t drive far) and because of this I have been wearing my contacts as little as possible and alternate them with some dailies that actually is my roommates. She gave me a new one of hers to see if it’ll work.. it does but not the best.. I’m going to call and make an appointment with my primary eye doctor on Monday regardless of any advice I am given here.. 
Okay skip to CURRENT: 
I have always noticed my eyes feel a little weird after I take my contacts out.. my left one is usually always fine after a bit and the right would take a little longer. It feels like there’s something in my eye.. my doctor said this is normal and takes a bit for your eye to get “used” to not having the contact in anymore. But the right one is still acting weird. It is also the one that the ripped one goes in.. could that missing chunk be stuck under my top lid somewhere even if this happened 2ish months ago (noticed the piece missing while putting my contacts in the next day) &amp;amp; if the answer is no or unlikely, then I think I compromised my right eye’s health by using my contacts irresponsibly.. &amp;amp; you should keep reading.. tell me honestly.. how screwed could I be?
SYMPTOMS:
I should add I’m a 27 year old female. Don’t know if weight or height matter, if they do I’ll add it! 
Feels like something is stuck in right eye after contact removal. (Seems to always be “stuck” in the same general area of my R eye every single time)
Drops made for contact irritation don’t work nor does solution or anything else I’ve tried. 
I have stringy eye gunk towards the end of my shift &amp;amp; after about 5 hours of lens wear. It is usually clear or a little bit of milky tint and it never smells odd, but is very sticky. 
My eye has often been gunked up in the morning. Has been stuck shut 2 times since symptoms started. 
Very very rarely I get a sudden very painful achy feeling like my eyeball is bruised when I rub my eye &amp;amp; the tenderness lasts about 15-20 mins after (could be cause I rub it too hard, but I always rub it hard it usually feels good)
Despite all this my eyes don’t seem any more irritated or dry (always a bit dry) than they usually are and my left eye seems to be completely fine.. they don’t look cloudy or discolored to me..?
I’m super afraid that my eye is all messed up and I can’t even feel sorry for myself when it was my own VERY stupid fault. &amp;amp; I will be making an appointment on Monday to have it looked at because I didn’t realize that this could be bad until I read an article about irresponsible contact lenses in a magazine today... 
TLDR: I think I messed my eye up by contact lense overuse.. now read Current &amp;amp; Symptoms.</t>
        </is>
      </c>
      <c r="D1390" t="n">
        <v>1</v>
      </c>
      <c r="E1390" t="n">
        <v>8</v>
      </c>
      <c r="F1390">
        <f>HYPERLINK("https://www.reddit.com/r/eyetriage/comments/fig2vt/i_think_i_may_have_messed_up_big_time/")</f>
        <v/>
      </c>
      <c r="G1390" t="inlineStr">
        <is>
          <t>2020-03-14 02:59:56</t>
        </is>
      </c>
      <c r="H1390" t="inlineStr"/>
    </row>
    <row r="1391">
      <c r="A1391" t="inlineStr">
        <is>
          <t>fik9k3</t>
        </is>
      </c>
      <c r="B1391" t="inlineStr">
        <is>
          <t>Uncontrollable eye closing</t>
        </is>
      </c>
      <c r="C1391" t="inlineStr">
        <is>
          <t>I’m a 37 yr old female, don’t drink or smoke. I’ve been having a few health problems the past 2 weeks, and they can’t figure out what it is. Shortness of breath, rapid heart rates, fatigue, weakness in right side, shakey, light headed. I have M.E for 11 years, and these are completely different symptoms. I was in A&amp;amp;E the other night, and after doctor did lots of bloods (all clear) and was talking to me I got an overwhelming feeling of fatigue like a wave in my head that closed my eyes and wouldn’t let me open them, no matter how hard I fought to get them open.. it took me a few minutes to come around to be able to open them. This happened on 2 different occasions. What could be causing this with my eyes and how do I solve?</t>
        </is>
      </c>
      <c r="D1391" t="n">
        <v>1</v>
      </c>
      <c r="E1391" t="n">
        <v>11</v>
      </c>
      <c r="F1391">
        <f>HYPERLINK("https://www.reddit.com/r/eyetriage/comments/fik9k3/uncontrollable_eye_closing/")</f>
        <v/>
      </c>
      <c r="G1391" t="inlineStr">
        <is>
          <t>2020-03-14 08:41:49</t>
        </is>
      </c>
      <c r="H1391" t="inlineStr"/>
    </row>
    <row r="1392">
      <c r="A1392" t="inlineStr">
        <is>
          <t>fikzcj</t>
        </is>
      </c>
      <c r="B1392" t="inlineStr">
        <is>
          <t>Eye spot</t>
        </is>
      </c>
      <c r="C1392" t="inlineStr">
        <is>
          <t>HI! I have had a feeling of something in my eye for the past two days and this morning I took a pic and noticed this spot. I am truly unsure whether it is new or not. My vision is the same. There is redness around where the spot is that is non existent in the other eye. My last eye exam was within the year and the doctor did not notice. I will be uninsured until April 1st because of a healthcare marketplace issue in January. What should my next steps be? Does this seem like something that can wait the two weeks until I can get covered? Should I ask my PCP to refer me now to be seen ASAP when I'm covered? Should I continue to panic and run screaming into an already overburdened ER? Help!</t>
        </is>
      </c>
      <c r="D1392" t="n">
        <v>1</v>
      </c>
      <c r="E1392" t="n">
        <v>9</v>
      </c>
      <c r="F1392">
        <f>HYPERLINK("https://www.reddit.com/r/eyetriage/comments/fikzcj/eye_spot/")</f>
        <v/>
      </c>
      <c r="G1392" t="inlineStr">
        <is>
          <t>2020-03-14 09:26:33</t>
        </is>
      </c>
      <c r="H1392" t="inlineStr"/>
    </row>
    <row r="1393">
      <c r="A1393" t="inlineStr">
        <is>
          <t>fiwy5n</t>
        </is>
      </c>
      <c r="B1393" t="inlineStr">
        <is>
          <t>Cateracts at 21 - Part 2</t>
        </is>
      </c>
      <c r="C1393" t="inlineStr">
        <is>
          <t>I wrote this post 1 month ago:  [https://www.reddit.com/r/eyetriage/comments/ez7te2/cateracts\_at\_21\_denied\_by\_eye\_doc/](https://www.reddit.com/r/eyetriage/comments/ez7te2/cateracts_at_21_denied_by_eye_doc/)   
And here I am 1 month later, 1 family doctor visit and 2  Ophthalmologist apps. 
My optometrist recommended me to a local Ophthalmologist, long story short. I waited a week or two (very eagerly), and finally saw the specialist. Yay. I thought I was going to get my eyes fixed soon and be ready for college classes in the summer. Wrong. he denied me treatment due to my eczema. That day I honestly lost a lot of hope, because I was (still am) blind in one eye (no vision but there's light and shadows). I just really thought I was doomed for treatment and I'll be stuck like this. 
A week later, I see my family doctor to ask for a referral to another specialist that my grandfather saw. This specialist is highly qualified, recommended, etc. etc. And I stress the importance of getting a consultation with this clinic. For the entire month of february, I was twiddling my thumbs waiting for a call or an appointment. I got nothing, and out of nowhere scared myself into thinking I was going to go blind. It scared me into calling the clinic myself and booking an appointment and wow, much surprise but I got my own appointment.
I didn't really know what to expect, I thought that due to the referral of a doctor it speeds up the consultation date. 
Anyway, my appointment was on March 9 and huzzah.. I am thoroughly examined and we had a proper conversation about my condition. Some things I learned at this appointment:
* I am able to get surgery (She didn't comment on my skin or that I had eczema in my childhood) so thank the lord that worry is gone!
* My right eye (the cataract) is very advanced, she said she couldn't believe it developed that quickly.
* My left eye is actually developing into cataract as well. Beginning to, and sadly I am seeing cloudiness and blurry vision.
* Laser cataract surgery is **expensive**.... like jesus. I think the cheapest option was 7k. 
* She said that due to my young age, she will expedite a surgery date because she believes by September (she is just scheduling surgeries for that month now) I will lose all vision
* Due to the coronavirus, patients are cancelling appointments. So I want to say that its good for me? I really don't know, but hey if I get a surgery date earlier the better. 
So in conclusion, I'm waiting for my next appointment to discuss with the surgeon and his thoughts on my scans, etc. That's at the end of march.
Now some scary things I need to get off my chest. 
Recently, I've fallen into a bit of a depression. I am scared. I am helplessly scared. I can't see most of the time, and my left eye is getting worse. It's hard to stay positive at a time like this. Like honestly, this is such a horrible situation, I'm in my 20s and I'm supposed to be at college right now and working, and all these things I was doing before. It's just so hard right now, mentally. I'm scared to wake up one day with no vision at all and at that point, what then. 
BUT. 
I'm holding on, because I got a lot of life to experience still and I can't let this get me down. Rant over. 
**TL;DR - I thought I lost hope for surgery but I saw a better doctor and I got approved and expedited!! I'm also sad and scared, but trying to stay strong.**</t>
        </is>
      </c>
      <c r="D1393" t="n">
        <v>1</v>
      </c>
      <c r="E1393" t="n">
        <v>16</v>
      </c>
      <c r="F1393">
        <f>HYPERLINK("https://www.reddit.com/r/eyetriage/comments/fiwy5n/cateracts_at_21_part_2/")</f>
        <v/>
      </c>
      <c r="G1393" t="inlineStr">
        <is>
          <t>2020-03-14 23:08:10</t>
        </is>
      </c>
      <c r="H1393" t="inlineStr"/>
    </row>
    <row r="1394">
      <c r="A1394" t="inlineStr">
        <is>
          <t>fj2gsu</t>
        </is>
      </c>
      <c r="B1394" t="inlineStr">
        <is>
          <t>Occasionally have strange black dots. Not floaters.</t>
        </is>
      </c>
      <c r="C1394" t="inlineStr">
        <is>
          <t>I've had floaters for almost a decade now so I'm pretty familiar with them, but I've been having a different issue for a few years that's hard to explain. I'm not sure if I only get it when outside, or can only notice when outside, but I'll start to see in my right eye a sort of "stream" of black dots that will move from the outside towards the center of my eye. The best way I can describe it is it almost looks like going warp speed, or if you were floating in a pipe and watching stuff stream by from behind.</t>
        </is>
      </c>
      <c r="D1394" t="n">
        <v>1</v>
      </c>
      <c r="E1394" t="n">
        <v>3</v>
      </c>
      <c r="F1394">
        <f>HYPERLINK("https://www.reddit.com/r/eyetriage/comments/fj2gsu/occasionally_have_strange_black_dots_not_floaters/")</f>
        <v/>
      </c>
      <c r="G1394" t="inlineStr">
        <is>
          <t>2020-03-15 07:53:41</t>
        </is>
      </c>
      <c r="H1394" t="inlineStr"/>
    </row>
    <row r="1395">
      <c r="A1395" t="inlineStr">
        <is>
          <t>fjm6yf</t>
        </is>
      </c>
      <c r="B1395" t="inlineStr">
        <is>
          <t>Worried about Acanthamoeba keratitis after coming into contact with Tilapia water at wet market</t>
        </is>
      </c>
      <c r="C1395" t="inlineStr">
        <is>
          <t>Hi All,
TLDR: Got splashed with water in a container full of live Tilapia. Googled possible damage. Now worried I have AK. Want to hear your experiences and looking for some consolation.
Part of me is writing this to vent my anxiety. Another part wants information from anyone who is willing to share their experience with Acanthamoeba keratitis.
I'm in the Philippines and over here there are wet markets where they sell live tilapia in deep circular trays filled with water. This morning I accidentally got splashed with this water and a droplet made it into my eye. I didn't have the chance to flush it out since I was in a busy market with no access to a reliable tap. I forgot all about it until this afternoon when my eye started to itch. The bottom half was red. I then dropped some artificial tears into my eye. It's better now, not itchy and less red. But I'm still unbelievably worried. Should I be though?
Some info I'm not sure is important: I wear glasses. I've worn contact lenses before but I stopped using them regularly for nearly 6 years now. The last occasion I had to wear contacts was 4 months ago. I had a little cry a few hours before my eye started to itch (movie). Now I'm wondering if I should get an opthalmologist to get a corneal stain to check for the amoeba.
If you've read this far, thank you for your patience. If you have/had AK, please share your story. I hope you're staying safe as we weather this COVID19.
Sincerely,
fatwombat</t>
        </is>
      </c>
      <c r="D1395" t="n">
        <v>1</v>
      </c>
      <c r="E1395" t="n">
        <v>4</v>
      </c>
      <c r="F1395">
        <f>HYPERLINK("https://www.reddit.com/r/eyetriage/comments/fjm6yf/worried_about_acanthamoeba_keratitis_after_coming/")</f>
        <v/>
      </c>
      <c r="G1395" t="inlineStr">
        <is>
          <t>2020-03-16 07:54:13</t>
        </is>
      </c>
      <c r="H1395" t="inlineStr"/>
    </row>
    <row r="1396">
      <c r="A1396" t="inlineStr">
        <is>
          <t>fjnlyw</t>
        </is>
      </c>
      <c r="B1396" t="inlineStr">
        <is>
          <t>Myopia: somewhat around -8 or 8.5 in both of my eyes, need advice</t>
        </is>
      </c>
      <c r="C1396" t="inlineStr">
        <is>
          <t>Hi everyone! Regarding current issues, I hope u and ur loved ones are safe and healthy :) 
I’m 18 and I need your advice. In 7th grade, I transferred to another school which required me to use my laptop almost every day, for 4-5 hours, and by the end of the year, it resulted in my eyesight going from 20/20 to -0.75 (RE) and -1 (LE), then, by the end of the 8th grade, it became -2 in both eyes, -3.5 in 9th grade, -4.5 in 10th and -6 in 11th grade. A year later, which is at the moment, it’s -7.5 or even 8, or even 8.5. When I was 16, I was told that my retina is very thin, and there might be a chance for retinal detachment to happen, and I can’t prevent it, because my organism is growing and developing, and it will continue as such until I am 22-23. They told me to consider undergoing retinal thickening surgery (idk the proper name, as English is not my first language), but I heard that it leaves the eye surface scarred and also that I won’t be able to do LASIK to fix my eyesight. I’m absolutely lost, bc I also am a woman, and I want to have kids, and how is my eyesight going to survive during the birth process... I also am passionate about tennis, and if I undergo such surgeries, I guess I might have to leave out such meaningful part of my life, just as I did it with programming. (and now majoring in finance, which also affects my eyesight 🙃, and I can’t choose arts, bc my parents don’t want me to haha)
thank you in advance and sorry for such a long text :’)</t>
        </is>
      </c>
      <c r="D1396" t="n">
        <v>1</v>
      </c>
      <c r="E1396" t="n">
        <v>11</v>
      </c>
      <c r="F1396">
        <f>HYPERLINK("https://www.reddit.com/r/eyetriage/comments/fjnlyw/myopia_somewhat_around_8_or_85_in_both_of_my_eyes/")</f>
        <v/>
      </c>
      <c r="G1396" t="inlineStr">
        <is>
          <t>2020-03-16 09:22:30</t>
        </is>
      </c>
      <c r="H1396" t="inlineStr"/>
    </row>
    <row r="1397">
      <c r="A1397" t="inlineStr">
        <is>
          <t>fjrrlf</t>
        </is>
      </c>
      <c r="B1397" t="inlineStr">
        <is>
          <t>Glaucoma suspect. Help pls</t>
        </is>
      </c>
      <c r="C1397" t="inlineStr">
        <is>
          <t>Hi guys!!
I was just at the doctor today for an eye check up
My IOP is Normal. 
He did tonometry (non dilated) and looked at my optic nerve. He saw something with my optic nerves that raised a red flag 🚩 for glaucoma. He then asked me to do more tests. 
One was the peripheral vision test and the other one was a machine that took a picture of my optic nerves. 
Both test results were good. I have to come back for dilated test next week. 
Can I possibly have glaucoma just based on what he saw on the tonometry test?
Or once I pass the peripheral vision test and my optic nerves pictures look normal, can one still he diagnosed with glaucoma?
Thank you everyone!</t>
        </is>
      </c>
      <c r="D1397" t="n">
        <v>1</v>
      </c>
      <c r="E1397" t="n">
        <v>18</v>
      </c>
      <c r="F1397">
        <f>HYPERLINK("https://www.reddit.com/r/eyetriage/comments/fjrrlf/glaucoma_suspect_help_pls/")</f>
        <v/>
      </c>
      <c r="G1397" t="inlineStr">
        <is>
          <t>2020-03-16 13:26:54</t>
        </is>
      </c>
      <c r="H1397" t="inlineStr"/>
    </row>
    <row r="1398">
      <c r="A1398" t="inlineStr">
        <is>
          <t>fju651</t>
        </is>
      </c>
      <c r="B1398" t="inlineStr">
        <is>
          <t>Scotoma like symptoms, can't go to hospital because coronavirus epidemic, need advice</t>
        </is>
      </c>
      <c r="C1398" t="inlineStr">
        <is>
          <t>[https://imgur.com/W0QztIh](https://imgur.com/W0QztIh)
I should go to a doctor, but my area affected with covid-19, and my only option is go to the large clinic where all sick people gathering. I understand that eye diagnosis is all about ophthalmoscopy and other examinations, but i maybe overlooked description of some non threatening disease like white spots syndrome.
I'm 28, male, have non-progressing -9D myopia and no significant retina complications last time i checked. Doctor even said that my axial eye length not that bad and probably i don't get any severe pathological myopia complications for a lifetime. He said i must check in a three years period.
About two weeks ago my workspace lighting conditions changed, i changed  glasses from kind of side-covered to old ones with opened sides, thin metal rims (same diopters), and i noticed large semi-transparent scotomas in both eyes.
It's much more to the periphery then i depicted, border of the affected area goes thicker when i squint, flashes when eye moves or blink. It doesn't glow in dark or after i close eyes. Looks like in a light conditions i used to brain can effectively hide this things.
I can't say for sure is it more cracks or borders of a damaged area. But i definitely can see through this. I tryed to find really blind spots around there with small objects and lights, or long strait things like rulers. No visual disturbances, no blurriness, no wavy lines it's just like on top of everything or even blends completely and not visible when i focus on object i see. And it's probably roughly match lens coverage of previous glasses, and right eye thing has bump in it's shape where visible part of nose located. I had no enormous sunlight or welding arcs exposure though.
Also i think i had some sort of repetitive anomaly light post image like things in that place in left eye years ago. Certainly no progress for two weeks, no other symptoms like flashes or floaters. Chances are this things are few years old and i just noticed.
Can it bee something urgent? And sorry for my bad english.</t>
        </is>
      </c>
      <c r="D1398" t="n">
        <v>1</v>
      </c>
      <c r="E1398" t="n">
        <v>9</v>
      </c>
      <c r="F1398">
        <f>HYPERLINK("https://www.reddit.com/r/eyetriage/comments/fju651/scotoma_like_symptoms_cant_go_to_hospital_because/")</f>
        <v/>
      </c>
      <c r="G1398" t="inlineStr">
        <is>
          <t>2020-03-16 15:51:41</t>
        </is>
      </c>
      <c r="H1398" t="inlineStr"/>
    </row>
    <row r="1399">
      <c r="A1399" t="inlineStr">
        <is>
          <t>fk8not</t>
        </is>
      </c>
      <c r="B1399" t="inlineStr">
        <is>
          <t>What do floaters look like from the ophthalmologist's POV?</t>
        </is>
      </c>
      <c r="C1399" t="inlineStr">
        <is>
          <t>Not a "triage" question, but i saw that /r/Ophthalmology is not for patient questions and the FAQ directed me here. 
Some background: I'm myopic and had a retinal detachment in my 20's that was repaired via a scleral buckle in one eye. In my other eye, a hole developed in my retina but I caught it early due to a burst of new floaters and they were able to repair that eye with what I think of as "the laser cannon" (never been more nervous about not moving my eye in my life, I have to say). Anyway, point being: I have a *lot* of floaters. Not just the little bits, but big clusters of "cobwebs" that float around. 
From what I understand, when I perceive the floaters in my vision, a lot of what I'm seeing is the shadow they cause on my retina, is that right? I was at an eye exam yesterday and I got to wondering what it looked like from the eye doctor's perspective, especially when doing a deep dive retinal exam like is usually the case for me. How magnified is the image when looking through with the head mounted and other lenses? Does it look like bits of junk floating around in the vitreous or does the image of the retina just get distorted or what?
Anyway, sorry for the unimportant question, just something I've been curious about for years. I tried searching for images online but I couldn't find anything, all the images I found were approximations of what floaters look like to ME. And frankly, I know all too well what they look like given I have eyes that feel like snowglobes sometimes. :)</t>
        </is>
      </c>
      <c r="D1399" t="n">
        <v>1</v>
      </c>
      <c r="E1399" t="n">
        <v>2</v>
      </c>
      <c r="F1399">
        <f>HYPERLINK("https://www.reddit.com/r/eyetriage/comments/fk8not/what_do_floaters_look_like_from_the/")</f>
        <v/>
      </c>
      <c r="G1399" t="inlineStr">
        <is>
          <t>2020-03-17 09:56:12</t>
        </is>
      </c>
      <c r="H1399" t="inlineStr"/>
    </row>
    <row r="1400">
      <c r="A1400" t="inlineStr">
        <is>
          <t>fk9lmr</t>
        </is>
      </c>
      <c r="B1400" t="inlineStr">
        <is>
          <t>Having to help my mom text or make a phone call on her phone and turn on the heater, the fan or the TV</t>
        </is>
      </c>
      <c r="C1400" t="inlineStr">
        <is>
          <t>I want my mom's vision issues fixed so I don't have to keep doing these things everyday. Something as simple as reading the label on the heater and moving the switch once to the right is something that I get asked to do and it frustrates me that she won't fix this to better the quality of her life.
My mom can't use her phone without using a magnifying glass. She wears reading glasses but that is not enough for her to be able to do any of those things. Reading small things like switches to turn things on and off such as the ice/water switch on the refrigerator, turning on the cable box before the TV, being able to go from the picture setting to the video setting on her phone, raising or lowering the thermostat temperature, and other tasks that require reading small words are too tough for her.
Is there a solution for all of the to be able to be solved for her? It's frustrating to do this everyday and it would be much better for her if she can do these things with ease.</t>
        </is>
      </c>
      <c r="D1400" t="n">
        <v>1</v>
      </c>
      <c r="E1400" t="n">
        <v>16</v>
      </c>
      <c r="F1400">
        <f>HYPERLINK("https://www.reddit.com/r/eyetriage/comments/fk9lmr/having_to_help_my_mom_text_or_make_a_phone_call/")</f>
        <v/>
      </c>
      <c r="G1400" t="inlineStr">
        <is>
          <t>2020-03-17 10:49:11</t>
        </is>
      </c>
      <c r="H1400" t="inlineStr"/>
    </row>
    <row r="1401">
      <c r="A1401" t="inlineStr">
        <is>
          <t>fkavbj</t>
        </is>
      </c>
      <c r="B1401" t="inlineStr">
        <is>
          <t>Vitreous Hemorrhage, revisited</t>
        </is>
      </c>
      <c r="C1401" t="inlineStr">
        <is>
          <t>I've had with vitreous hemorrhages since June 25, with the cause being HPB and PVD.
The first seven didn't clear entirely before the next happened.
The last was Sept 9, and by far the worst.  I've seen specialists who have told me my retina is good, and the blood will clear eventually.  
I'm now six months past the last hemorrhage, and a good deal of the blood has cleared, but it's been painfully slow.
I still have a puddle of blood in the top center of my visual field, and the rest of my vision is pretty good, but it's like looking through light smoke.
Question:  Does the blood always clear eventually?   My guess is the "smoke" is the blood disintegrating.  Will this eventually go away?</t>
        </is>
      </c>
      <c r="D1401" t="n">
        <v>1</v>
      </c>
      <c r="E1401" t="n">
        <v>7</v>
      </c>
      <c r="F1401">
        <f>HYPERLINK("https://www.reddit.com/r/eyetriage/comments/fkavbj/vitreous_hemorrhage_revisited/")</f>
        <v/>
      </c>
      <c r="G1401" t="inlineStr">
        <is>
          <t>2020-03-17 11:59:25</t>
        </is>
      </c>
      <c r="H1401" t="inlineStr"/>
    </row>
    <row r="1402">
      <c r="A1402" t="inlineStr">
        <is>
          <t>fkchgf</t>
        </is>
      </c>
      <c r="B1402" t="inlineStr">
        <is>
          <t>Cataract Surgery at ER</t>
        </is>
      </c>
      <c r="C1402" t="inlineStr">
        <is>
          <t>I haven’t found much on this topic. However, my cataract on my right eye is completely advanced and my left eye is growing worse. 
My fear is losing vision in both eyes before my cataract surgery with my Ophthalmologist. And even that hasn’t been scheduled yet due to the coronavirus. My guess it will be around summer time. 
I can feel that my left eye will soon become a full blown cataract before that time. It got worse very quickly in the past few weeks. 
My question is, can I go to a hospital (that has Ophthalmologists) for an emergency to get these removed? I’m from Toronto if that helps at all 👍🏼</t>
        </is>
      </c>
      <c r="D1402" t="n">
        <v>1</v>
      </c>
      <c r="E1402" t="n">
        <v>4</v>
      </c>
      <c r="F1402">
        <f>HYPERLINK("https://www.reddit.com/r/eyetriage/comments/fkchgf/cataract_surgery_at_er/")</f>
        <v/>
      </c>
      <c r="G1402" t="inlineStr">
        <is>
          <t>2020-03-17 13:30:28</t>
        </is>
      </c>
      <c r="H1402" t="inlineStr"/>
    </row>
    <row r="1403">
      <c r="A1403" t="inlineStr">
        <is>
          <t>fkfxkw</t>
        </is>
      </c>
      <c r="B1403" t="inlineStr">
        <is>
          <t>First time getting dilated ... questions about how it was done.</t>
        </is>
      </c>
      <c r="C1403" t="inlineStr">
        <is>
          <t>So I went to get an eye exam done and I was not really put at ease by the whole process.  The eye tech/nurse (before I even saw the doctor) put numbing drops (one drop in each eye) and then dilating drops (one drop in each eye).  
On neither of the drops did the tech say to press down on the inner corner of my eye with the tear duct to keep the drops from running into my throat and hence ingesting some.  I was told by others after the fact and looking up on the internet that the standard procedure is to push down on the inner corner to block the tear duct for a minute or two.
What is indeed the procedure for these drops and should I be worried that I didn't block the tear duct during either the numbing or the dilating drops?
I can't be sure what sort of drops exactly were used but I've read on the internet that atropine is a possible type and that this type of drop specifically can have toxicity if ingested.
Thanks in advance.</t>
        </is>
      </c>
      <c r="D1403" t="n">
        <v>1</v>
      </c>
      <c r="E1403" t="n">
        <v>3</v>
      </c>
      <c r="F1403">
        <f>HYPERLINK("https://www.reddit.com/r/eyetriage/comments/fkfxkw/first_time_getting_dilated_questions_about_how_it/")</f>
        <v/>
      </c>
      <c r="G1403" t="inlineStr">
        <is>
          <t>2020-03-17 17:01:11</t>
        </is>
      </c>
      <c r="H1403" t="inlineStr"/>
    </row>
    <row r="1404">
      <c r="A1404" t="inlineStr">
        <is>
          <t>fkgxo9</t>
        </is>
      </c>
      <c r="B1404" t="inlineStr">
        <is>
          <t>Dramatic increase in flashes after stopping immunosuppressants due to COVID-19 Symptoms</t>
        </is>
      </c>
      <c r="C1404" t="inlineStr">
        <is>
          <t>21 F, dx with posterior uveitis and chorioretinitis. I've been on cyclosporine for 8 months successfully with no flare ups. 4 days ago, under the guidance of my eye doctor and rhuemetologist, I stopped cyclosporine because I had symptoms of COVID-19. Please note that I am not able to get tested where I live, and I tried twice asking my pcp. He says there aren't enough tests.
4 days later, I noticed a dramatic increase in flashes. While on the cyclosporine I only had a small and infrequent flash in my left eye. Now, that flash is brighter and I have a very large patch in the lower right corner of my right eye that flashes. They start flashing whenever I look out the bright window, turn on the light, or go outside, or sometimes after standing up quickly. When I'm outside in the daytime they flash every time I blink. They are kind of like a strobe light.
What worries me is this type of flashing is very similar to when I first got uveitis before treatment. 
Does this most likely mean the inflammation has returned? Is it an emergency?
Thanks!</t>
        </is>
      </c>
      <c r="D1404" t="n">
        <v>1</v>
      </c>
      <c r="E1404" t="n">
        <v>5</v>
      </c>
      <c r="F1404">
        <f>HYPERLINK("https://www.reddit.com/r/eyetriage/comments/fkgxo9/dramatic_increase_in_flashes_after_stopping/")</f>
        <v/>
      </c>
      <c r="G1404" t="inlineStr">
        <is>
          <t>2020-03-17 18:08:36</t>
        </is>
      </c>
      <c r="H1404" t="inlineStr"/>
    </row>
    <row r="1405">
      <c r="A1405" t="inlineStr">
        <is>
          <t>fkz1ay</t>
        </is>
      </c>
      <c r="B1405" t="inlineStr">
        <is>
          <t>I have astigmatism but want to use regular contact lenses due to finances. Is this doable?</t>
        </is>
      </c>
      <c r="C1405" t="inlineStr">
        <is>
          <t>I have astigmatism but I’m tired of expensive contact lenses. Can I just use regular ones and colored ones?
Not sure but I guess I have astigmatism in both eyes. My prescription reads:
OD - sph: -4.00 cyl: -1.25 axis: 180 /
OS - sph: -4.00 cyl: -0.75 axis: 180
My contacts cost almost 200 dollars.</t>
        </is>
      </c>
      <c r="D1405" t="n">
        <v>1</v>
      </c>
      <c r="E1405" t="n">
        <v>2</v>
      </c>
      <c r="F1405">
        <f>HYPERLINK("https://www.reddit.com/r/eyetriage/comments/fkz1ay/i_have_astigmatism_but_want_to_use_regular/")</f>
        <v/>
      </c>
      <c r="G1405" t="inlineStr">
        <is>
          <t>2020-03-18 15:55:36</t>
        </is>
      </c>
      <c r="H1405" t="inlineStr"/>
    </row>
    <row r="1406">
      <c r="A1406" t="inlineStr">
        <is>
          <t>fl0l1i</t>
        </is>
      </c>
      <c r="B1406" t="inlineStr">
        <is>
          <t>Drugstore reading glasses?</t>
        </is>
      </c>
      <c r="C1406" t="inlineStr">
        <is>
          <t>I have no experience with glasses and I can read fine print such as this text that I am typing on mobile. This week, I found that while I CAN read the small print , it’s more comfortable with 1.5 reading glasses. Should I use them? Can they do more damage than good? Thanks</t>
        </is>
      </c>
      <c r="D1406" t="n">
        <v>2</v>
      </c>
      <c r="E1406" t="n">
        <v>6</v>
      </c>
      <c r="F1406">
        <f>HYPERLINK("https://www.reddit.com/r/eyetriage/comments/fl0l1i/drugstore_reading_glasses/")</f>
        <v/>
      </c>
      <c r="G1406" t="inlineStr">
        <is>
          <t>2020-03-18 17:35:03</t>
        </is>
      </c>
      <c r="H1406" t="inlineStr"/>
    </row>
    <row r="1407">
      <c r="A1407" t="inlineStr">
        <is>
          <t>fla5fv</t>
        </is>
      </c>
      <c r="B1407" t="inlineStr">
        <is>
          <t>Pain in eye post retinal detachment surgeries, cataract surgery, and yag</t>
        </is>
      </c>
      <c r="C1407" t="inlineStr">
        <is>
          <t>4 years ago (age 16), I had my first surgery to fix my retinal detachment. To date, I have had 3 surgeries and one yag procedure. I still experience pain from dry eye that causes headaches and eye pain. Any pain management tips? Artificial tears doesn’t help me much unfortunately.</t>
        </is>
      </c>
      <c r="D1407" t="n">
        <v>1</v>
      </c>
      <c r="E1407" t="n">
        <v>2</v>
      </c>
      <c r="F1407">
        <f>HYPERLINK("https://www.reddit.com/r/eyetriage/comments/fla5fv/pain_in_eye_post_retinal_detachment_surgeries/")</f>
        <v/>
      </c>
      <c r="G1407" t="inlineStr">
        <is>
          <t>2020-03-19 06:37:35</t>
        </is>
      </c>
      <c r="H1407" t="inlineStr"/>
    </row>
    <row r="1408">
      <c r="A1408" t="inlineStr">
        <is>
          <t>flkj29</t>
        </is>
      </c>
      <c r="B1408" t="inlineStr">
        <is>
          <t>Floaters at 25</t>
        </is>
      </c>
      <c r="C1408" t="inlineStr">
        <is>
          <t>Hello Reddit
I have a question. I am a 25 year Old male. For approx. 3 years I’ve had floaters. In addition to this i experience the following:
• Migraine aura (minus the pain) - also they have kind of reduced it seems
• Slight light sensitivity 
• Afterimages
• Blue Field Entoptic Phenomenon to an excessive degree where I also see it on light surfaces incl. computer screens - this might be my most annoying symptom.
Why am I experiencing all this? It seems like my vision “filter” just broke down and increased normal phenomenons.
I’ve been to several eye doctors and even my general MD just looks at me in a strange manner advising me to go to a psycho list.
Does anyone in here experience the same have any idea what is going on/ where i should go??
Sorry if the question does not belong here.</t>
        </is>
      </c>
      <c r="D1408" t="n">
        <v>1</v>
      </c>
      <c r="E1408" t="n">
        <v>7</v>
      </c>
      <c r="F1408">
        <f>HYPERLINK("https://www.reddit.com/r/eyetriage/comments/flkj29/floaters_at_25/")</f>
        <v/>
      </c>
      <c r="G1408" t="inlineStr">
        <is>
          <t>2020-03-19 16:45:55</t>
        </is>
      </c>
      <c r="H1408" t="inlineStr"/>
    </row>
    <row r="1409">
      <c r="A1409" t="inlineStr">
        <is>
          <t>fllwzm</t>
        </is>
      </c>
      <c r="B1409" t="inlineStr">
        <is>
          <t>Odd Vision Distortion</t>
        </is>
      </c>
      <c r="C1409" t="inlineStr">
        <is>
          <t xml:space="preserve"> Hello everybody, I'm a 1st year medical student and I'm on my school's  neuro block. Super fun and includes the eyes for obvious reason.  Anyways, I recently noticed that the right side of my binocular vision  seems to be a little bit bigger than the left side. I wear corrective  lenses and have an astigmatism in my right eye. Does anyone know what  that sounds like or if it would have to do the astigmatism? 
It's not causing me any daily problems, except for some anxiety. I am able to walk fine, read fine, and study fine minus being distracted by this. Thanks for your help!</t>
        </is>
      </c>
      <c r="D1409" t="n">
        <v>1</v>
      </c>
      <c r="E1409" t="n">
        <v>8</v>
      </c>
      <c r="F1409">
        <f>HYPERLINK("https://www.reddit.com/r/eyetriage/comments/fllwzm/odd_vision_distortion/")</f>
        <v/>
      </c>
      <c r="G1409" t="inlineStr">
        <is>
          <t>2020-03-19 18:14:11</t>
        </is>
      </c>
      <c r="H1409" t="inlineStr"/>
    </row>
    <row r="1410">
      <c r="A1410" t="inlineStr">
        <is>
          <t>flq73s</t>
        </is>
      </c>
      <c r="B1410" t="inlineStr">
        <is>
          <t>3 days ago I started experiencing waves of light suddenly flashing in the corner of my right eye...</t>
        </is>
      </c>
      <c r="C1410" t="inlineStr">
        <is>
          <t>40 / male / 6'3" / 220 lbs. Not on any meds. No allergies. No previous eye issues or eye surgeries.
After a quick Google search I read that I should see a specialist asap to ensure it was not something serious.
The specialist used ultrasound to check if I had a tear and also dialated my eye and use light I look in the back. He said from ultra sound there was no sign of tear, I also did a vision test and was able to read past the 20/20 line with both eyes.
He said he noticed the pressure in both eyes while just within acceptable limits, the right eye was slightly 2 points (or what ever measurement) higher pressure than the left. As such he wants me to come back in a week. He gave me anti inflammatory eye drops, 1 drop 3 times a day and said that since I'm over 40 it could be some some of temporary stage the eye is going through and he just wants to reduce the pressure and watch.
He said he saw a very small area when looking with the light that was not orange but a little grey and that he wants to follow up to keep watching that area for any changes. But that due to 20/20 vision he was going to wait. He also took my pressure and a tested my blood sugar.
Does this sound all ok? Anything jumps out that I should worry about? Anyone else have experience similar issue?</t>
        </is>
      </c>
      <c r="D1410" t="n">
        <v>1</v>
      </c>
      <c r="E1410" t="n">
        <v>6</v>
      </c>
      <c r="F1410">
        <f>HYPERLINK("https://www.reddit.com/r/eyetriage/comments/flq73s/3_days_ago_i_started_experiencing_waves_of_light/")</f>
        <v/>
      </c>
      <c r="G1410" t="inlineStr">
        <is>
          <t>2020-03-19 23:28:03</t>
        </is>
      </c>
      <c r="H1410" t="inlineStr"/>
    </row>
    <row r="1411">
      <c r="A1411" t="inlineStr">
        <is>
          <t>fm683o</t>
        </is>
      </c>
      <c r="B1411" t="inlineStr">
        <is>
          <t>Weird round distorted shape in my vision</t>
        </is>
      </c>
      <c r="C1411" t="inlineStr">
        <is>
          <t>So a couple minutes ago a weird shape appeared in vision. The edges are colorful but look like a kaleidoscope and the middle is just blurry. It was small but it’s getting bigger. What’s happening?</t>
        </is>
      </c>
      <c r="D1411" t="n">
        <v>1</v>
      </c>
      <c r="E1411" t="n">
        <v>0</v>
      </c>
      <c r="F1411">
        <f>HYPERLINK("https://www.reddit.com/r/eyetriage/comments/fm683o/weird_round_distorted_shape_in_my_vision/")</f>
        <v/>
      </c>
      <c r="G1411" t="inlineStr">
        <is>
          <t>2020-03-20 17:40:45</t>
        </is>
      </c>
      <c r="H1411" t="inlineStr"/>
    </row>
    <row r="1412">
      <c r="A1412" t="inlineStr">
        <is>
          <t>fm684o</t>
        </is>
      </c>
      <c r="B1412" t="inlineStr">
        <is>
          <t>Weird round distorted shape in my vision</t>
        </is>
      </c>
      <c r="C1412" t="inlineStr">
        <is>
          <t>So a couple minutes ago a weird shape appeared in vision. The edges are colorful but look like a kaleidoscope and the middle is just blurry. It was small but it’s getting bigger. What’s happening?</t>
        </is>
      </c>
      <c r="D1412" t="n">
        <v>1</v>
      </c>
      <c r="E1412" t="n">
        <v>1</v>
      </c>
      <c r="F1412">
        <f>HYPERLINK("https://www.reddit.com/r/eyetriage/comments/fm684o/weird_round_distorted_shape_in_my_vision/")</f>
        <v/>
      </c>
      <c r="G1412" t="inlineStr">
        <is>
          <t>2020-03-20 17:40:48</t>
        </is>
      </c>
      <c r="H1412" t="inlineStr"/>
    </row>
    <row r="1413">
      <c r="A1413" t="inlineStr">
        <is>
          <t>fm6n5j</t>
        </is>
      </c>
      <c r="B1413" t="inlineStr">
        <is>
          <t>Weird round distorted shape in my vision</t>
        </is>
      </c>
      <c r="C1413" t="inlineStr">
        <is>
          <t>So a couple minutes ago a weird shape appeared in vision. The edges are colorful but look like a kaleidoscope and the middle is just blurry. It was small but it’s getting bigger. What’s happening?</t>
        </is>
      </c>
      <c r="D1413" t="n">
        <v>1</v>
      </c>
      <c r="E1413" t="n">
        <v>5</v>
      </c>
      <c r="F1413">
        <f>HYPERLINK("https://www.reddit.com/r/eyetriage/comments/fm6n5j/weird_round_distorted_shape_in_my_vision/")</f>
        <v/>
      </c>
      <c r="G1413" t="inlineStr">
        <is>
          <t>2020-03-20 18:08:48</t>
        </is>
      </c>
      <c r="H1413" t="inlineStr"/>
    </row>
    <row r="1414">
      <c r="A1414" t="inlineStr">
        <is>
          <t>fmlndh</t>
        </is>
      </c>
      <c r="B1414" t="inlineStr">
        <is>
          <t>Can applying peppermint oil on my scalp give me pinguecula (red veins) on my eyes?</t>
        </is>
      </c>
      <c r="C1414" t="inlineStr">
        <is>
          <t>Is it possible that the vasodilatory effects of the peppermint oil in my scalp effect my eyes somehow and make them more red after application in comparison to before application? y reasoning comes from vasodilation, constricting blood vessels and ultimately making the veins more visible. Also is it possible that the peppermint oil has affected my eyes like debris would resulting in pinguecula?</t>
        </is>
      </c>
      <c r="D1414" t="n">
        <v>1</v>
      </c>
      <c r="E1414" t="n">
        <v>23</v>
      </c>
      <c r="F1414">
        <f>HYPERLINK("https://www.reddit.com/r/eyetriage/comments/fmlndh/can_applying_peppermint_oil_on_my_scalp_give_me/")</f>
        <v/>
      </c>
      <c r="G1414" t="inlineStr">
        <is>
          <t>2020-03-21 13:21:53</t>
        </is>
      </c>
      <c r="H1414" t="inlineStr"/>
    </row>
    <row r="1415">
      <c r="A1415" t="inlineStr">
        <is>
          <t>fmuhzj</t>
        </is>
      </c>
      <c r="B1415" t="inlineStr">
        <is>
          <t>Eye itches + headaches when studying (table lamp?)</t>
        </is>
      </c>
      <c r="C1415" t="inlineStr">
        <is>
          <t>Hello everyone,
For some reason, I am photo-sensitive to the lamps in my room, so when I study I find I need to wear sunglasses otherwise I get headaches and eye itching. I have no clue why this is happening, and obviously it's annoying, and lowers my productivity, making me too anxious to read books or study. I need help to stop this photo-sensitivity, as I've had it for around a year or two now (can't remember when it first started). Also this only happens with my table lamps, never with sunlight or other types of indoor light, and I have no other eye-pain/strain, just this photo-sensitivity. Thanks for the help.</t>
        </is>
      </c>
      <c r="D1415" t="n">
        <v>1</v>
      </c>
      <c r="E1415" t="n">
        <v>6</v>
      </c>
      <c r="F1415">
        <f>HYPERLINK("https://www.reddit.com/r/eyetriage/comments/fmuhzj/eye_itches_headaches_when_studying_table_lamp/")</f>
        <v/>
      </c>
      <c r="G1415" t="inlineStr">
        <is>
          <t>2020-03-21 22:09:33</t>
        </is>
      </c>
      <c r="H1415" t="inlineStr"/>
    </row>
    <row r="1416">
      <c r="A1416" t="inlineStr">
        <is>
          <t>fmv442</t>
        </is>
      </c>
      <c r="B1416" t="inlineStr">
        <is>
          <t>What could it be? *scared*</t>
        </is>
      </c>
      <c r="C1416" t="inlineStr">
        <is>
          <t>Hey, I'm 30 year old male with regular astigmatism, never realy needed eyeglasses until the past year. In past months I suffer from these things (I've already visited 2 opto docs specialists , been through oct scan and corneal topography imaging, cataracts, kertokonus and dry eye were ruled out):  
1. eye floaters 
2. starbursts and glare - at day light and at night
3. halos around flash light
4. decreased vision at night
5. uncomfterable feeling in my eyes
6. feeling that my right eyebrow is "heavy" (the right eye is an lazy eye).
thank you.</t>
        </is>
      </c>
      <c r="D1416" t="n">
        <v>1</v>
      </c>
      <c r="E1416" t="n">
        <v>2</v>
      </c>
      <c r="F1416">
        <f>HYPERLINK("https://www.reddit.com/r/eyetriage/comments/fmv442/what_could_it_be_scared/")</f>
        <v/>
      </c>
      <c r="G1416" t="inlineStr">
        <is>
          <t>2020-03-21 23:01:53</t>
        </is>
      </c>
      <c r="H1416" t="inlineStr"/>
    </row>
    <row r="1417">
      <c r="A1417" t="inlineStr">
        <is>
          <t>fmzzat</t>
        </is>
      </c>
      <c r="B1417" t="inlineStr">
        <is>
          <t>Unilateral Accommodative Issues</t>
        </is>
      </c>
      <c r="C1417" t="inlineStr">
        <is>
          <t>I’ll preface this with I’m a tech in an optometry/ophthalmology practice and my optom has been trying a few different things but I was curious to see if anyone had any other input. 
I’m a 22 y/o female with chronic migraines and myopia (-3.00sph OD and -3.50 +.50 OS). For the last 6 or so months I have noticed decreased near vision in my right eye. It is fine without my glasses, but with my glasses or contacts on I notice it’s easier to see my phone or computer or read something if I close my right eye. Last time I checked my near vision with my glasses on I was j16 OD and j2 OS. 
My glasses rx has changed quite a bit in the last year and a half. When I first started getting migraines we realized I was over-refracted and no longer able to accommodate to a nearly -5.00 rx. Since then I’ve bounced around anywhere from -2.00 to -4.00 in either eye give or take. No issues with diabetes. 
My nerves are slightly asymmetrical but my octs were fine as well as my mac oct. visual fields are mostly full in both eyes. I think it’s important to note that my migraines are always on my right side right by my eye. My doctor is questioning a accommodative spasm or insufficiency but with all the craziness going on we haven’t been able to do any testing. Anyone have any idea of what could be causing this? 
Thanks (:</t>
        </is>
      </c>
      <c r="D1417" t="n">
        <v>1</v>
      </c>
      <c r="E1417" t="n">
        <v>9</v>
      </c>
      <c r="F1417">
        <f>HYPERLINK("https://www.reddit.com/r/eyetriage/comments/fmzzat/unilateral_accommodative_issues/")</f>
        <v/>
      </c>
      <c r="G1417" t="inlineStr">
        <is>
          <t>2020-03-22 06:29:19</t>
        </is>
      </c>
      <c r="H1417" t="inlineStr"/>
    </row>
    <row r="1418">
      <c r="A1418" t="inlineStr">
        <is>
          <t>fn01aq</t>
        </is>
      </c>
      <c r="B1418" t="inlineStr">
        <is>
          <t>Shade on the lower part of my eye after photocoagulation.</t>
        </is>
      </c>
      <c r="C1418" t="inlineStr">
        <is>
          <t>Hi all. Yesterday I had a laser photocoagulation procedure to repair a hole in my retina. Today I woke up noticing that I see an small shade on the lower part of my eye, that moves as I move it.
My Dr. is not answering and I don't want to go to ER unless necessary, given the Covid situation. 
Is this normal??</t>
        </is>
      </c>
      <c r="D1418" t="n">
        <v>1</v>
      </c>
      <c r="E1418" t="n">
        <v>7</v>
      </c>
      <c r="F1418">
        <f>HYPERLINK("https://www.reddit.com/r/eyetriage/comments/fn01aq/shade_on_the_lower_part_of_my_eye_after/")</f>
        <v/>
      </c>
      <c r="G1418" t="inlineStr">
        <is>
          <t>2020-03-22 06:33:29</t>
        </is>
      </c>
      <c r="H1418" t="inlineStr"/>
    </row>
    <row r="1419">
      <c r="A1419" t="inlineStr">
        <is>
          <t>fn0tso</t>
        </is>
      </c>
      <c r="B1419" t="inlineStr">
        <is>
          <t>One eye constantly strains</t>
        </is>
      </c>
      <c r="C1419" t="inlineStr">
        <is>
          <t>I have astigmatism in my left eye and I've also been told I have amblyopia. This causes my right eye to strain/tense up constantly regardless of what I'm doing, and it normally takes quite a few visits to find a prescription that will stop my eye from tensing up/straining which can be a bit annoying. Is this a normal symptom of amblyopia, and is there anything I can do other than contacts/glasses to permanently stop the straining?</t>
        </is>
      </c>
      <c r="D1419" t="n">
        <v>1</v>
      </c>
      <c r="E1419" t="n">
        <v>7</v>
      </c>
      <c r="F1419">
        <f>HYPERLINK("https://www.reddit.com/r/eyetriage/comments/fn0tso/one_eye_constantly_strains/")</f>
        <v/>
      </c>
      <c r="G1419" t="inlineStr">
        <is>
          <t>2020-03-22 07:37:11</t>
        </is>
      </c>
      <c r="H1419" t="inlineStr"/>
    </row>
    <row r="1420">
      <c r="A1420" t="inlineStr">
        <is>
          <t>fn5nrn</t>
        </is>
      </c>
      <c r="B1420" t="inlineStr">
        <is>
          <t>Flashes in view (tiny white dot moving fastly) ONLY with strong illumination</t>
        </is>
      </c>
      <c r="C1420" t="inlineStr">
        <is>
          <t>It is normal to see flashes of light (like tiny dots moving fastly in different direction) ONLY when I look at a heavily lit wall and expecially when I look the sky? I readed that retinal's problem causes flashing light perceivable expecially the night with low illumination, so The fact that this flashes are not present with normal illumination or when there isn't illumination and only when the light is strong and when I look an uniform surface is the proof that there isn't a serious problem like retinal detachment?</t>
        </is>
      </c>
      <c r="D1420" t="n">
        <v>1</v>
      </c>
      <c r="E1420" t="n">
        <v>2</v>
      </c>
      <c r="F1420">
        <f>HYPERLINK("https://www.reddit.com/r/eyetriage/comments/fn5nrn/flashes_in_view_tiny_white_dot_moving_fastly_only/")</f>
        <v/>
      </c>
      <c r="G1420" t="inlineStr">
        <is>
          <t>2020-03-22 12:37:12</t>
        </is>
      </c>
      <c r="H1420" t="inlineStr"/>
    </row>
    <row r="1421">
      <c r="A1421" t="inlineStr">
        <is>
          <t>fnarcv</t>
        </is>
      </c>
      <c r="B1421" t="inlineStr">
        <is>
          <t>What could it be? *scared*</t>
        </is>
      </c>
      <c r="C1421" t="inlineStr">
        <is>
          <t xml:space="preserve"> Hey, I'm 30 year old male with regular astigmatism, never realy needed eyeglasses until the past year. In past months I suffer from these things (I've already visited 2 opto docs specialists , been through oct scan and corneal topography imaging and a brain MRI - **cataracts, kertoconus and dry eye were ruled out**):
1. eye floaters
2. starbursts and glare - at day light and at night
3. halos around light sources
4. decreased vision at night
5. double vision at times
6. uncomfortable feeling in my eyes
7. feeling that my right eyebrow is "heavy" (the right eye is an lazy eye).
thank you.</t>
        </is>
      </c>
      <c r="D1421" t="n">
        <v>1</v>
      </c>
      <c r="E1421" t="n">
        <v>9</v>
      </c>
      <c r="F1421">
        <f>HYPERLINK("https://www.reddit.com/r/eyetriage/comments/fnarcv/what_could_it_be_scared/")</f>
        <v/>
      </c>
      <c r="G1421" t="inlineStr">
        <is>
          <t>2020-03-22 17:42:51</t>
        </is>
      </c>
      <c r="H1421" t="inlineStr"/>
    </row>
    <row r="1422">
      <c r="A1422" t="inlineStr">
        <is>
          <t>fnjjru</t>
        </is>
      </c>
      <c r="B1422" t="inlineStr">
        <is>
          <t>Severe astigmatism: reducing the astigmatism of my lense from 450 to 400</t>
        </is>
      </c>
      <c r="C1422" t="inlineStr">
        <is>
          <t>I went to a spectacle shop to have my eye checked. My current glasses are 450 for astigmatism on the left side. The shop did a check and after testing between 450 and 400, I could barely tell the difference either between 450 and 400.
So the spectacle shop  recommended I go for a lense of 400.
I am just wondering if I made a bad decision or If I just underwent a badly-run eye exam.</t>
        </is>
      </c>
      <c r="D1422" t="n">
        <v>1</v>
      </c>
      <c r="E1422" t="n">
        <v>9</v>
      </c>
      <c r="F1422">
        <f>HYPERLINK("https://www.reddit.com/r/eyetriage/comments/fnjjru/severe_astigmatism_reducing_the_astigmatism_of_my/")</f>
        <v/>
      </c>
      <c r="G1422" t="inlineStr">
        <is>
          <t>2020-03-23 05:59:37</t>
        </is>
      </c>
      <c r="H1422" t="inlineStr"/>
    </row>
    <row r="1423">
      <c r="A1423" t="inlineStr">
        <is>
          <t>fnjyl8</t>
        </is>
      </c>
      <c r="B1423" t="inlineStr">
        <is>
          <t>Question about retinal exam</t>
        </is>
      </c>
      <c r="C1423" t="inlineStr">
        <is>
          <t>Question about retinal exam
My medical clinic recently offered a retinal exam. I asked the person doing the exam if it’s “the one with the air blast.” She said “ No. We don’t use dilating drops. We just use a stronger light.” 
After the exam, I wasn’t given protective eyewear or given any warning about being outdoors. I took a ten minute walk home since I walked to the clinic. My glasses have progressive lenses that become somewhat dark although not as dark as regular sunglasses. I worked four hours outdoors at my job the next day. 
That night I had a headache going to bed. After closing my eyes, I had a solar eclipse effect on each eyelid like two dark circles with a white circle around them. It would be more noticeable when I blinked my eyes or moved my eyebrows up and down. 
After a few weeks, I’m still getting these effects and little red lights such as on a DVD player have a large round reddish halo around them. I’m now having difficulty reading smaller movie credits.  I had a bad headache last night and I seldom have headaches.
I called the clinic about five days afterwards and they said I should be fine. Any thoughts about this? I’m a patient.</t>
        </is>
      </c>
      <c r="D1423" t="n">
        <v>1</v>
      </c>
      <c r="E1423" t="n">
        <v>0</v>
      </c>
      <c r="F1423">
        <f>HYPERLINK("https://www.reddit.com/r/eyetriage/comments/fnjyl8/question_about_retinal_exam/")</f>
        <v/>
      </c>
      <c r="G1423" t="inlineStr">
        <is>
          <t>2020-03-23 06:28:35</t>
        </is>
      </c>
      <c r="H1423" t="inlineStr"/>
    </row>
    <row r="1424">
      <c r="A1424" t="inlineStr">
        <is>
          <t>fnlj3v</t>
        </is>
      </c>
      <c r="B1424" t="inlineStr">
        <is>
          <t>Are these floaters?</t>
        </is>
      </c>
      <c r="C1424" t="inlineStr">
        <is>
          <t>This morning as I was stepping into the shower, I noticed what looked like a "fold" in the vision of my left eye that would move around whenever I'd move my eye. When I got out of the shower, I saw that it was actually a tangle of these folds with a light veil behind them. Are these eye floaters? If it helps, I wear prescription glasses, feel no discomfort, or blurriness. I'm a 36 year old male if that also helps. I have never experienced any sort of trauma in my eyes, ever. It just showed up out of the blue this morning. I also have astigmatism in the same eye.
Thanks so much.</t>
        </is>
      </c>
      <c r="D1424" t="n">
        <v>1</v>
      </c>
      <c r="E1424" t="n">
        <v>3</v>
      </c>
      <c r="F1424">
        <f>HYPERLINK("https://www.reddit.com/r/eyetriage/comments/fnlj3v/are_these_floaters/")</f>
        <v/>
      </c>
      <c r="G1424" t="inlineStr">
        <is>
          <t>2020-03-23 08:11:09</t>
        </is>
      </c>
      <c r="H1424" t="inlineStr"/>
    </row>
    <row r="1425">
      <c r="A1425" t="inlineStr">
        <is>
          <t>fo0q8c</t>
        </is>
      </c>
      <c r="B1425" t="inlineStr">
        <is>
          <t>Can childhood amblyopia worsen and change as an adult? Concerning new issues</t>
        </is>
      </c>
      <c r="C1425" t="inlineStr">
        <is>
          <t>I was born with accomodative esotropia amblyopia in my left eye. I have strong lenses rather than patching, which I was told was successful. For two decades my eye would only cross-in a bit when tired, but I could correct/prevent/control it so I didn't ever anything more than transient double vision..
Now in the last year, my left eye also seems to drift outwards, and I can't control it. This is new, it's never happened before. If I focus on something with just my left eye, it drifts toward my ear and the image goes dark by my nose and in the center (kinda in a donut  tunnel vision way), but I have some peripheral vision toward my ear. I quick blink to refocus on whatever I'm looking at, which makes my vision go back to normal, but within a second the drift starts again. I don't know if the drift happens just with one eye (my left eye) open, or if it also happens with both eyes open. I only figured out it was drifting outwards because people witnessed it happening, then I was able to take videos and kinda see it myself. The refocusing sometimes makes my eye have a few quick jerks, if I strain to keep my eye open when refocusing rather than blink.
I also have binocular double vision nearly constantly now, the severity and degree to which I notice it fluctuates, and it's restricted to narrow margins near my nose and mid-peripheral (when looking at a lecture hall with both eyes open and facing center for example, a desk in the center of the room might be doubled and skewed to the left, and the blinds on a window right next to my head will also be horizontally skewed/doubled). I assume the worsened double vision is related to the eye crossing in and drifting out, but it's really hard to strain to get it to go away now.
It was my understanding that congenital amblyopia doesn't get worse, once it's successfully corrected - if this is true, what could possibly explain the new exotropia? Is it related to the esotropia, or a new and different unrelated issue?
If esotropia is caused by muscle imbalances of the eye, does development of exotropia mean my eye muscles are changing (in a pathologic nerve or muscle weakness way)?
I have a generalized undiagnosed rare neuromuscular condition, but is generally marked by nerve hyperexcitability (negative exome sequencing, secondary mitochondrial deficits, CNS and PNS issues). But no one knows if my eye stuff is related to it or not.
Any thoughts greatly appreciated.</t>
        </is>
      </c>
      <c r="D1425" t="n">
        <v>1</v>
      </c>
      <c r="E1425" t="n">
        <v>4</v>
      </c>
      <c r="F1425">
        <f>HYPERLINK("https://www.reddit.com/r/eyetriage/comments/fo0q8c/can_childhood_amblyopia_worsen_and_change_as_an/")</f>
        <v/>
      </c>
      <c r="G1425" t="inlineStr">
        <is>
          <t>2020-03-24 00:05:34</t>
        </is>
      </c>
      <c r="H1425" t="inlineStr"/>
    </row>
    <row r="1426">
      <c r="A1426" t="inlineStr">
        <is>
          <t>fopuw7</t>
        </is>
      </c>
      <c r="B1426" t="inlineStr">
        <is>
          <t>Eyeball smushing update...and another question!</t>
        </is>
      </c>
      <c r="C1426" t="inlineStr">
        <is>
          <t>Hi all – it's the eyeball smusher again. I took all your replies to heart and did my own research, and I am working hard to try and reduce my eye pressing behavior. It's hard, since the virus outbreak means I'm home and idle more and don't have access to my therapist, but I am trying my best!
Doing all this left me with a question, though – in theory, how long could one press their eyes before causing permanent damage? Someone commented that the reason vision goes dark is because the optic nerve can't get enough oxygen, but the vision always comes back. Is there a point at which it wouldn't? I've tried to research this, but haven't been able to find anything.
Thank you for sharing!</t>
        </is>
      </c>
      <c r="D1426" t="n">
        <v>1</v>
      </c>
      <c r="E1426" t="n">
        <v>6</v>
      </c>
      <c r="F1426">
        <f>HYPERLINK("https://www.reddit.com/r/eyetriage/comments/fopuw7/eyeball_smushing_updateand_another_question/")</f>
        <v/>
      </c>
      <c r="G1426" t="inlineStr">
        <is>
          <t>2020-03-25 05:59:55</t>
        </is>
      </c>
      <c r="H1426" t="inlineStr"/>
    </row>
    <row r="1427">
      <c r="A1427" t="inlineStr">
        <is>
          <t>foteus</t>
        </is>
      </c>
      <c r="B1427" t="inlineStr">
        <is>
          <t>Left eye is fine, right eye tries to close when trying to read (hx of seizures, ECT, nearsightedness) referred to neuro-opthamologist</t>
        </is>
      </c>
      <c r="C1427" t="inlineStr">
        <is>
          <t>pt is 30-year-old, 200 lb male. I've been sort of unable to read properly since electroshock therapy series for depression (like two years ago). Used to be a voracious reader.
Today I noticed on a whim if I close my right eye, my left is working great and can focus and read. If I close my left eye, my right eye wants to close/can't read words in a line if I tried. I'm nearsighted, wear glasses. I called my neuropsychiatrist who referred me to the director of the eye institute of the university I am at (and professor of neurology, othepmathology and neurosurgery) I am near. That appointment is not until two months...anything I should worry about until then? Anything else I should know?
(I just got all As in a master's program, so I'm not super impaired but I'm still not firing on all cylinders as I feel more erratic with what I can comprehend)
hx of petit mal seizures as a child, (seizure from rx benzo withdrawal/ECT series.) No seizures at this time
medication: klonopin 1 mg twice a day, clozipine (therapeutic dose 25mg 1x), viibryd 25mg 1x a day</t>
        </is>
      </c>
      <c r="D1427" t="n">
        <v>1</v>
      </c>
      <c r="E1427" t="n">
        <v>2</v>
      </c>
      <c r="F1427">
        <f>HYPERLINK("https://www.reddit.com/r/eyetriage/comments/foteus/left_eye_is_fine_right_eye_tries_to_close_when/")</f>
        <v/>
      </c>
      <c r="G1427" t="inlineStr">
        <is>
          <t>2020-03-25 09:37:38</t>
        </is>
      </c>
      <c r="H1427" t="inlineStr"/>
    </row>
    <row r="1428">
      <c r="A1428" t="inlineStr">
        <is>
          <t>fp06io</t>
        </is>
      </c>
      <c r="B1428" t="inlineStr">
        <is>
          <t>Weird spot at the corner of the eye..help!!</t>
        </is>
      </c>
      <c r="C1428" t="inlineStr">
        <is>
          <t>Hello..im a 27 y M. Ive been 3 years ago to the opthalmologist and got a pair of glasses which i use just when i work at the computer. Now i have a spot in the left corner of the left eye just when i roll my eyes to the right. It appears and just when i set the eyes straight again it disappears. It looks sometimes like a white spot, sometimes a dark one i cant sort it out.. it just disappears when i roll the eyes back straight. Is it a floater? Or something serious? Thanks</t>
        </is>
      </c>
      <c r="D1428" t="n">
        <v>1</v>
      </c>
      <c r="E1428" t="n">
        <v>0</v>
      </c>
      <c r="F1428">
        <f>HYPERLINK("https://www.reddit.com/r/eyetriage/comments/fp06io/weird_spot_at_the_corner_of_the_eyehelp/")</f>
        <v/>
      </c>
      <c r="G1428" t="inlineStr">
        <is>
          <t>2020-03-25 15:57:43</t>
        </is>
      </c>
      <c r="H1428" t="inlineStr"/>
    </row>
    <row r="1429">
      <c r="A1429" t="inlineStr">
        <is>
          <t>fp21wj</t>
        </is>
      </c>
      <c r="B1429" t="inlineStr">
        <is>
          <t>Does this sound like eye trauma? 10+ ophthalmologists I saw disagree</t>
        </is>
      </c>
      <c r="C1429" t="inlineStr">
        <is>
          <t>Healthy 30/M (high ANA and early atherosclerosis for which I’m on statin). I’ve always had 20/20 vision with no complaints. Two years ago, I underwent [sublative RF](https://electralaser.com/sublative-rejuvenation-faqs/) (disclaimer: link is just for reference - this is not where I went for the procedure) on my eyebrows to help remove scarring from a previous cosmetic operation. Despite wearing ocular shields during the procedure, I’ve had a lot of problems with my vision. My symptoms categorized as follows:
Immediate:
* Mild reduction in VA (prescription changed from 0 to -0.5)
* Reduced ability to see close-up
* Clicking noise and discomfort when moving eyes
* Light sensitivity
* Distinct 2-3 lines in my vision
* Slow accommodation
* Dry eye (getting worse)
* Floaters (getting worse)
* Dripping sound coming from behind my eyes when lying in bed (\~30 secs frequency) - ongoing until today
Slowly progressing:
* Difficulty seeing at night
* Halos/glare
* After image
* Blurring and reduction in peripheral vision
* Gradual loss in contrast/motion sensitivity
* Double vision only when looking at reflection in glass
* Increase in number and length of veins showing in the white of my eye
All ophthalmologists I saw can’t relate my symptoms to the incident that caused the on-set, however, I’m being followed for the following:
* De-pigmentation in my retina 
* Optic nerve cupping 
* Keratoconus
* Ocular rosacea
* Dry eye
I’m wondering what the members of the community here think. Does this sound like an eye trauma? I believe it clearly does but not sure how all the MDs I'm seeing are dismissing it. What would be the best course of action in my case?
Any comments/advice would be highly appreciated.</t>
        </is>
      </c>
      <c r="D1429" t="n">
        <v>1</v>
      </c>
      <c r="E1429" t="n">
        <v>3</v>
      </c>
      <c r="F1429">
        <f>HYPERLINK("https://www.reddit.com/r/eyetriage/comments/fp21wj/does_this_sound_like_eye_trauma_10/")</f>
        <v/>
      </c>
      <c r="G1429" t="inlineStr">
        <is>
          <t>2020-03-25 17:50:47</t>
        </is>
      </c>
      <c r="H1429" t="inlineStr"/>
    </row>
    <row r="1430">
      <c r="A1430" t="inlineStr">
        <is>
          <t>fpcdsp</t>
        </is>
      </c>
      <c r="B1430" t="inlineStr">
        <is>
          <t>Refractive Lens Exchange versus Lasik/SMILE</t>
        </is>
      </c>
      <c r="C1430" t="inlineStr">
        <is>
          <t xml:space="preserve"> 
Opthalmologists of reddit, what are your thoughts on doing a Refractive Lens Exchange surgery -- as compared to Lasik or SMILE?
My cousin has high myopia (more than 10 diopters). This has really not affected his life in any significant way. However it has always been a dream of his to live free of glasses.
A few questions:
* How good is Refractive Lens Exchange as compared to Lasik and SMILE?
* Is it true that we don't have long-term data on the benefits/dangers of SMILE?
* If they cannot run a 10 year study on SMILE, is the data really any good? In terms of indicating whether there could be complications, serious or otherwise.
As I understand, refractive lens exchange surgery is very similar to a cataract surgery. In fact, almost exactly the same.
The reason RLE makes sense here is that my cousin is a bit on the older side. He is 40+. Even if he doesn't do cataract surgery now, he will have to do it later. This cuts down the number of surgeries down from two to one. This, in my opinion, is huge. Supossing here are complications after a cataract surgery (for example, retinal detachment), then that is two surgeries. Three surgeries on a single eye seems like a lot.
About self: I am the friend of a patient.</t>
        </is>
      </c>
      <c r="D1430" t="n">
        <v>1</v>
      </c>
      <c r="E1430" t="n">
        <v>4</v>
      </c>
      <c r="F1430">
        <f>HYPERLINK("https://www.reddit.com/r/eyetriage/comments/fpcdsp/refractive_lens_exchange_versus_lasiksmile/")</f>
        <v/>
      </c>
      <c r="G1430" t="inlineStr">
        <is>
          <t>2020-03-26 07:26:29</t>
        </is>
      </c>
      <c r="H1430" t="inlineStr"/>
    </row>
    <row r="1431">
      <c r="A1431" t="inlineStr">
        <is>
          <t>fphot0</t>
        </is>
      </c>
      <c r="B1431" t="inlineStr">
        <is>
          <t>Ofloxacin eye drops for suspected conjuctivitis safe?</t>
        </is>
      </c>
      <c r="C1431" t="inlineStr">
        <is>
          <t>Hey all,
&amp;amp;#x200B;
I had an inflamed, pink-ish deal in the right eye for several months. Clear discharge and watery at times. Crust in the morning. Initially diagnosed a couple years ago as blepharitis(still have some buildup on eyelashes but when I use cleaning solution it seems to help). Had it looked at again and PCP said it didn't look viral. Prescribed antibiotics combination (Ofloxacin opthalmic drops 4 times a day and cephalexin pills 4 times a day).
&amp;amp;#x200B;
Went to begin using the drops and there's a laundry list of harsh potential side effects. Mood swings, joint pain, what the hell? Has anyone experienced any of these side effects?
&amp;amp;#x200B;
It sounded like both the eye drops and pills should be taken for a week. Is this combination safe? I don't smoke or drink much but can I have coffee while taking this stuff? Anyone have any advice or words of warning here? I want my eye to get better but don't want to risk something long-term if the side effects are that serious. Am I just being paranoid about this?</t>
        </is>
      </c>
      <c r="D1431" t="n">
        <v>1</v>
      </c>
      <c r="E1431" t="n">
        <v>4</v>
      </c>
      <c r="F1431">
        <f>HYPERLINK("https://www.reddit.com/r/eyetriage/comments/fphot0/ofloxacin_eye_drops_for_suspected_conjuctivitis/")</f>
        <v/>
      </c>
      <c r="G1431" t="inlineStr">
        <is>
          <t>2020-03-26 12:16:42</t>
        </is>
      </c>
      <c r="H1431" t="inlineStr"/>
    </row>
    <row r="1432">
      <c r="A1432" t="inlineStr">
        <is>
          <t>fpjwr3</t>
        </is>
      </c>
      <c r="B1432" t="inlineStr">
        <is>
          <t>Involuntary eye movements.</t>
        </is>
      </c>
      <c r="C1432" t="inlineStr">
        <is>
          <t>Hey all! Hoping this is suitable for the subreddit, I'm 24, female and for the past year I've been suffering with involuntary eye spasms.
It mainly occurs when im writing, colouring or reading, when my eyes need to focus. My eyes will dart left and right every few seconds, which is becoming increasingly frustrating. I've tried with and without my glasses, tried after relaxation and after a good nights sleep but nothing seems to improve the situation.
My doctor told me to see the optician, which I have done and they have said my eyesight is fine and glasses are still suitable prescription.
Has anyone experienced this before? Any advice or anything would be greatly appreciated.
Thank you.</t>
        </is>
      </c>
      <c r="D1432" t="n">
        <v>2</v>
      </c>
      <c r="E1432" t="n">
        <v>6</v>
      </c>
      <c r="F1432">
        <f>HYPERLINK("https://www.reddit.com/r/eyetriage/comments/fpjwr3/involuntary_eye_movements/")</f>
        <v/>
      </c>
      <c r="G1432" t="inlineStr">
        <is>
          <t>2020-03-26 14:19:17</t>
        </is>
      </c>
      <c r="H1432" t="inlineStr"/>
    </row>
    <row r="1433">
      <c r="A1433" t="inlineStr">
        <is>
          <t>fpk1m1</t>
        </is>
      </c>
      <c r="B1433" t="inlineStr">
        <is>
          <t>Flashes or detachment?</t>
        </is>
      </c>
      <c r="C1433" t="inlineStr">
        <is>
          <t>Hello..im a 27 y M. Ive been 3 years ago to the opthalmologist and got a pair of glasses which i use just when i work at the computer. Now i have a spot in the left corner of the left eye just when i roll my eyes to the right. It appears and just when i set the eyes straight again it disappears. It looks sometimes like a white spot, sometimes a dark one i cant sort it out.. it just disappears when i roll the eyes back straight. Is it a floater? Or something serious? Thanks</t>
        </is>
      </c>
      <c r="D1433" t="n">
        <v>1</v>
      </c>
      <c r="E1433" t="n">
        <v>1</v>
      </c>
      <c r="F1433">
        <f>HYPERLINK("https://www.reddit.com/r/eyetriage/comments/fpk1m1/flashes_or_detachment/")</f>
        <v/>
      </c>
      <c r="G1433" t="inlineStr">
        <is>
          <t>2020-03-26 14:26:37</t>
        </is>
      </c>
      <c r="H1433" t="inlineStr"/>
    </row>
    <row r="1434">
      <c r="A1434" t="inlineStr">
        <is>
          <t>fpsf6v</t>
        </is>
      </c>
      <c r="B1434" t="inlineStr">
        <is>
          <t>Big floater/blur/shadow in the corner of left eye</t>
        </is>
      </c>
      <c r="C1434" t="inlineStr">
        <is>
          <t xml:space="preserve"> 
Recently  I often see a huge floater in the bottom left corner of my left eye, I  always had floaters but this one is huge, kind of hard to describe it it  appears randomly, kinda like a big floater that goes by pretty fast, or  kind of like a blurred out section in the bottom left corner but not  really blurred, or kind of like a shadow but it's not dark, maybe kind  of a combination of all 3 but it's big, size maybe if I move my fist  near the bottom left corner the size is kind of like that. Way way  bigger than regular floaters. But it's not a flash of light, I know if  it's flash of light then it's bad.
Also  recently I have been reading and get pretty close to the pc monitor,  and the duration is kind of longer than usual, could that be it and if I  reduce the time maybe it will get better? or is this serious and I need  to get help asap. Also my nearsightedness is pretty bad ,  something  like   R -1500 400  L -1500 300 . Thanks for your help.</t>
        </is>
      </c>
      <c r="D1434" t="n">
        <v>1</v>
      </c>
      <c r="E1434" t="n">
        <v>10</v>
      </c>
      <c r="F1434">
        <f>HYPERLINK("https://www.reddit.com/r/eyetriage/comments/fpsf6v/big_floaterblurshadow_in_the_corner_of_left_eye/")</f>
        <v/>
      </c>
      <c r="G1434" t="inlineStr">
        <is>
          <t>2020-03-26 23:59:07</t>
        </is>
      </c>
      <c r="H1434" t="inlineStr"/>
    </row>
    <row r="1435">
      <c r="A1435" t="inlineStr">
        <is>
          <t>fptv6c</t>
        </is>
      </c>
      <c r="B1435" t="inlineStr">
        <is>
          <t>Help me understand the various vision correction options</t>
        </is>
      </c>
      <c r="C1435" t="inlineStr">
        <is>
          <t>Help me understand the various vision correction options.
When I lived in Canada, I was always under the impression that Lasik is the best choice. I later came to know about PRK and from that point onwards, I have ust not been sure which one is better.
Following up from here:
 [https://www.reddit.com/r/eyetriage/comments/fpcdsp/refractive\_lens\_exchange\_versus\_lasiksmile/](https://www.reddit.com/r/eyetriage/comments/fpcdsp/refractive_lens_exchange_versus_lasiksmile/)   
Recently, I came to know about various IOL (Intra Ocular Lens) procedures. Do I have the hierarchy right?
\- Lasik / SMILE
\- PRK
\- IOL procedures such as phakic IOL, et cetera.</t>
        </is>
      </c>
      <c r="D1435" t="n">
        <v>1</v>
      </c>
      <c r="E1435" t="n">
        <v>4</v>
      </c>
      <c r="F1435">
        <f>HYPERLINK("https://www.reddit.com/r/eyetriage/comments/fptv6c/help_me_understand_the_various_vision_correction/")</f>
        <v/>
      </c>
      <c r="G1435" t="inlineStr">
        <is>
          <t>2020-03-27 02:15:47</t>
        </is>
      </c>
      <c r="H1435" t="inlineStr"/>
    </row>
    <row r="1436">
      <c r="A1436" t="inlineStr">
        <is>
          <t>fpzlvf</t>
        </is>
      </c>
      <c r="B1436" t="inlineStr">
        <is>
          <t>What are some of the complications associated with Refractive Lens Exchange (RLE)?</t>
        </is>
      </c>
      <c r="C1436" t="inlineStr">
        <is>
          <t>What are some of the complications associated with Refractive Lens Exchange (RLE)?
This is for a cousin. My cousin is a 40+ year old male, who has 10+ diopters of power in both eyes. He has adequate corneal thickness for both Lasik and Smile.
A commenter on reddit said the following: "For your -10.00, 40+ year-old friend, I'd think most surgeons would prefer an RLE. Some of the newer premium IOLs are quite good at getting good distance and near vision. But again, s/he should ask the surgeon who is doing the procedure."
Here are my comments:
\&amp;gt; For your -10.00, 40+ year-old friend, I'd think most surgeons would prefer an&amp;gt; RLE.&amp;gt; Some of the newer premium IOLs are quite good at getting good distance and&amp;gt; near vision. But again, s/he should ask the surgeon who is doing the procedure.
You know, this is exactly what the surgeon recommended: RLE.
Some of the reasons for the RLE:
\-a- with LASIK/SMILE, there is a chance of regression (the power might come back). ((Question: in what percentage of cases does the power come back?))- it is not usually possible to fully correct the myopia with LASIK/SMILE, since the power is so high.
\-b- there is a chance of dryness with LASIK. And this is not miniscule.-c- also, by getting RLE, you are reducing the number of operations on your eye by one. Most people are going to need cataract surgery, in any case. So, instead of two surgeries, with RLE, you have only one. (If there is a complication such as retinal detachment after RLE, then that still reduces the number of surgeries from three to two.)
Main question: what are the complications with RLE? The surgeon said that RLE is a very well understood procedure and so there are basically negligible chances of complications (less than 1 percent).
I am particularly interested in the answer to this question of complications with RLE. If you have any opthalmology research papers you could point to (or even general medicine journals such as JAMA or NEJM), I would love to take a look.</t>
        </is>
      </c>
      <c r="D1436" t="n">
        <v>1</v>
      </c>
      <c r="E1436" t="n">
        <v>11</v>
      </c>
      <c r="F1436">
        <f>HYPERLINK("https://www.reddit.com/r/eyetriage/comments/fpzlvf/what_are_some_of_the_complications_associated/")</f>
        <v/>
      </c>
      <c r="G1436" t="inlineStr">
        <is>
          <t>2020-03-27 09:06:48</t>
        </is>
      </c>
      <c r="H1436" t="inlineStr"/>
    </row>
    <row r="1437">
      <c r="A1437" t="inlineStr">
        <is>
          <t>fq0v15</t>
        </is>
      </c>
      <c r="B1437" t="inlineStr">
        <is>
          <t>Freaking out about my mom and her glaucoma please comment I’m anxious</t>
        </is>
      </c>
      <c r="C1437" t="inlineStr">
        <is>
          <t>My mother has had it for 25 years and she told me the pressure in her eye is high and the medication they gave her last month didn’t work to lower the pressure. And I’m really anxious about it because the doctor prescribed a new medication that will work but if it doesn’t my mom could go blind. I’m upset and freaking out I don’t know if I’m overthinking. Like I’m not sure if I’m just overthinking but I’m so scared like I don’t wanna lose my mom yet alone I don’t want her to go blind.  I’m so worried If the medicine doesn’t work she would have to get surgery to fix it. Has anyone else experienced this? Rocklitan is what my eye doctor  wants her to go on has anyone taken this? Does it work? Freaking out. I know nothing about glaucoma.</t>
        </is>
      </c>
      <c r="D1437" t="n">
        <v>1</v>
      </c>
      <c r="E1437" t="n">
        <v>15</v>
      </c>
      <c r="F1437">
        <f>HYPERLINK("https://www.reddit.com/r/eyetriage/comments/fq0v15/freaking_out_about_my_mom_and_her_glaucoma_please/")</f>
        <v/>
      </c>
      <c r="G1437" t="inlineStr">
        <is>
          <t>2020-03-27 10:07:55</t>
        </is>
      </c>
      <c r="H1437" t="inlineStr"/>
    </row>
    <row r="1438">
      <c r="A1438" t="inlineStr">
        <is>
          <t>fq45zx</t>
        </is>
      </c>
      <c r="B1438" t="inlineStr">
        <is>
          <t>Retinal hemorrhage question</t>
        </is>
      </c>
      <c r="C1438" t="inlineStr">
        <is>
          <t>A year ago, I started seeing a small black spot in my vision in one eye, most noticeable when blinking. I went to the eye doc, who referred me to a retinal specialist, who said I had a retinal hemorrhage. Since I'm young and healthy, he said it was probably just a fluke thing and would go away. And it did, but now the spot is back. Is this something I should get checked out? I'm reluctant to go in during the pandemic unless it's really necessary. Mainly, it is just annoying to see this spot all the time.</t>
        </is>
      </c>
      <c r="D1438" t="n">
        <v>1</v>
      </c>
      <c r="E1438" t="n">
        <v>0</v>
      </c>
      <c r="F1438">
        <f>HYPERLINK("https://www.reddit.com/r/eyetriage/comments/fq45zx/retinal_hemorrhage_question/")</f>
        <v/>
      </c>
      <c r="G1438" t="inlineStr">
        <is>
          <t>2020-03-27 12:48:08</t>
        </is>
      </c>
      <c r="H1438" t="inlineStr"/>
    </row>
    <row r="1439">
      <c r="A1439" t="inlineStr">
        <is>
          <t>fq87yf</t>
        </is>
      </c>
      <c r="B1439" t="inlineStr">
        <is>
          <t>Bloodshot eyes all the time and itchy eyes.</t>
        </is>
      </c>
      <c r="C1439" t="inlineStr">
        <is>
          <t>I have noticed that the last year my eyes get tired very easy when playing video games. When I was younger I didn't have this but now I do. I play video games all day now that there is the quarantine and I can't go out. I am not addicted but now I don't have something else to do. The problem is I have red eyes all day long. I wake up and sleep with red eyes. I'm the morning tgey are on but after 4-5 hours of gameplay they start itching af and I am closing them very often. Also they become very red and burn. Now you will say 4 hours are a lot but when I was younger I could sit 12 hours without having any symptoms. I have been to the ophthalmologist(for another reason) and the noticed I have bloodshot eyes,he said I should take some eye drops witch did sh*t.i am worried that this is going to get worse and cause problems. Is my eyesight in danger like this? Like getting blind or something?</t>
        </is>
      </c>
      <c r="D1439" t="n">
        <v>1</v>
      </c>
      <c r="E1439" t="n">
        <v>11</v>
      </c>
      <c r="F1439">
        <f>HYPERLINK("https://www.reddit.com/r/eyetriage/comments/fq87yf/bloodshot_eyes_all_the_time_and_itchy_eyes/")</f>
        <v/>
      </c>
      <c r="G1439" t="inlineStr">
        <is>
          <t>2020-03-27 16:13:40</t>
        </is>
      </c>
      <c r="H1439" t="inlineStr"/>
    </row>
    <row r="1440">
      <c r="A1440" t="inlineStr">
        <is>
          <t>fql31x</t>
        </is>
      </c>
      <c r="B1440" t="inlineStr">
        <is>
          <t>Pain just UNDER eye when blinking</t>
        </is>
      </c>
      <c r="C1440" t="inlineStr">
        <is>
          <t>Hi all
It's hard to describe, but when I blink it hurts right about where the bone is. Some blinks feel like my eyeball itself hurts too. I can't pinpoint it exactly. It doesn't hurt to touch or anything. It's overall a weird sensation. I was wondering whether this is an eye problem or is more likely to maybe be a sinus problem or similar - that area feels a little uncomfortable when not blinking</t>
        </is>
      </c>
      <c r="D1440" t="n">
        <v>1</v>
      </c>
      <c r="E1440" t="n">
        <v>3</v>
      </c>
      <c r="F1440">
        <f>HYPERLINK("https://www.reddit.com/r/eyetriage/comments/fql31x/pain_just_under_eye_when_blinking/")</f>
        <v/>
      </c>
      <c r="G1440" t="inlineStr">
        <is>
          <t>2020-03-28 07:23:34</t>
        </is>
      </c>
      <c r="H1440" t="inlineStr"/>
    </row>
    <row r="1441">
      <c r="A1441" t="inlineStr">
        <is>
          <t>fqqn3q</t>
        </is>
      </c>
      <c r="B1441" t="inlineStr">
        <is>
          <t>I had a cataract surgery two weeks ago. What to expect?</t>
        </is>
      </c>
      <c r="C1441" t="inlineStr">
        <is>
          <t>I see better than ever before without glasses. The eyes are kind of weird still, sensitive to light and in bright light I have difficulties to focus. I also noticed that in my peripheral vision the colors are slightly more reddish. I can only see that against really white surface. Is this normal?  
Had also darkish floaters, but not that much anymore. I have a background of retinal detachment in my other eye, but this redness does not feel the same. I’ve got used to minor flashes in my peripheral vision, I had them after the surgery. I asked about them, but they’re probably because my eye is sensitive after the detachment. But the flashes are going away.</t>
        </is>
      </c>
      <c r="D1441" t="n">
        <v>1</v>
      </c>
      <c r="E1441" t="n">
        <v>0</v>
      </c>
      <c r="F1441">
        <f>HYPERLINK("https://www.reddit.com/r/eyetriage/comments/fqqn3q/i_had_a_cataract_surgery_two_weeks_ago_what_to/")</f>
        <v/>
      </c>
      <c r="G1441" t="inlineStr">
        <is>
          <t>2020-03-28 12:24:46</t>
        </is>
      </c>
      <c r="H1441" t="inlineStr"/>
    </row>
    <row r="1442">
      <c r="A1442" t="inlineStr">
        <is>
          <t>fqro6o</t>
        </is>
      </c>
      <c r="B1442" t="inlineStr">
        <is>
          <t>Is it possible to be colorblind to only certain shades of red?</t>
        </is>
      </c>
      <c r="C1442" t="inlineStr">
        <is>
          <t>I’ve passed colorblindness tests my entire life, but my girlfriend was wearing a shirt recently that she called “red” which I thought was a joke because to me it was definitely pink.
Fast forward, we’re watching a tv show today where a character referenced something red that I thought was purple. Twice in a very short period of time just seems a bit weird to have never had this before.
I looked for colorblindness tests online and found one that was mostly made up of shades of reds, pinks, purples where it said, “point to the gap” in the ring. I successfully identified about 5/10...which it said was normal?
Just trying to figure out how I’ve lived almost 40 years and all of a sudden I’ve either developed this or never picked up on it.
Thanks, in advance!</t>
        </is>
      </c>
      <c r="D1442" t="n">
        <v>1</v>
      </c>
      <c r="E1442" t="n">
        <v>2</v>
      </c>
      <c r="F1442">
        <f>HYPERLINK("https://www.reddit.com/r/eyetriage/comments/fqro6o/is_it_possible_to_be_colorblind_to_only_certain/")</f>
        <v/>
      </c>
      <c r="G1442" t="inlineStr">
        <is>
          <t>2020-03-28 13:19:13</t>
        </is>
      </c>
      <c r="H1442" t="inlineStr"/>
    </row>
    <row r="1443">
      <c r="A1443" t="inlineStr">
        <is>
          <t>fqvjow</t>
        </is>
      </c>
      <c r="B1443" t="inlineStr">
        <is>
          <t>Could I get presentable cellulitis from junk getting in eye?</t>
        </is>
      </c>
      <c r="C1443" t="inlineStr">
        <is>
          <t>I was using the weed eater today and even though it has a guard, something flew up right into the corner of my eye. 
[Here’s](https://i.imgur.com/iHaKVWT.jpg) a picture of the area that the junk flew into.
It was either a small piece of grass, dirt, or some type of junk in the grass. 
I immediately went inside and cleaned my hands and gently lifted my upper and lower eyelids looking for the object and couldn’t see anything.
I eventually put some eye drops in - but I can still “feel” something in there. I just feel like there’s something in my eyelid moving around (but couldn’t see anything). 
1) Is it possible to get something behind the eyeball? Or will it stay in front of the eyeball and work it’s way out if it’s in there?
2) Would think put me at risk or preseptal cellulitis or orbital cellulitis?
I had a case of preseptal cellulitis about 6 months ago and my ophthalmologist had to drain it and give me oral antibiotics with eye drops. A little worried with all this quarantine stuff if something happens since it can get serious fast.</t>
        </is>
      </c>
      <c r="D1443" t="n">
        <v>1</v>
      </c>
      <c r="E1443" t="n">
        <v>4</v>
      </c>
      <c r="F1443">
        <f>HYPERLINK("https://www.reddit.com/r/eyetriage/comments/fqvjow/could_i_get_presentable_cellulitis_from_junk/")</f>
        <v/>
      </c>
      <c r="G1443" t="inlineStr">
        <is>
          <t>2020-03-28 16:50:34</t>
        </is>
      </c>
      <c r="H1443" t="inlineStr"/>
    </row>
    <row r="1444">
      <c r="A1444" t="inlineStr">
        <is>
          <t>frcni5</t>
        </is>
      </c>
      <c r="B1444" t="inlineStr">
        <is>
          <t>Is using hot water on my eyelid/around my eye a safe hot-compress substitute?</t>
        </is>
      </c>
      <c r="C1444" t="inlineStr">
        <is>
          <t>Hi, I’m a 25 year old male and I suffer from meibomian gland dysfunction.  Lately or the past couple of months I’ve been using hot water from the tap mixed with a small amount of epsom salt in a small glass cup, and then holding the mixture to my closed eye for 5 minutes as a substitute for a hot compress since they are harder to keep warm.  However I wondered if this was safe, because within this time period I’ve noticed some vertical ghosting/streaking in my affected eye, mainly at night.  I have read some evidence that heat can abnormally deform the cornea and possibly cause keratoconus?  However, my ghosting symptoms come and go and fluctuate almost daily.  For example a couple weeks ago I was driving home from work at night and I noticed really bad ghosting in my vision, only to have really clear vision a couple of nights later while driving.  I have since stopped the epsom salt soak because I don’t think it was really helping my MGD.  Also, I think it’s worth mentioning that I also have Thygeson’s Keratitis and my vision has been generally poor most of my life although it was correctable to 20/20 at my last eye exam a couple years ago.  My prescription is like -3.25 in my right eye and -1.25 in my left.  I also work with computers a lot at my job.  Also, I’m really only looking for ophthalmologists opinion so please only comment if you’re a doctor, thank you.</t>
        </is>
      </c>
      <c r="D1444" t="n">
        <v>1</v>
      </c>
      <c r="E1444" t="n">
        <v>8</v>
      </c>
      <c r="F1444">
        <f>HYPERLINK("https://www.reddit.com/r/eyetriage/comments/frcni5/is_using_hot_water_on_my_eyelidaround_my_eye_a/")</f>
        <v/>
      </c>
      <c r="G1444" t="inlineStr">
        <is>
          <t>2020-03-29 13:27:20</t>
        </is>
      </c>
      <c r="H1444" t="inlineStr"/>
    </row>
    <row r="1445">
      <c r="A1445" t="inlineStr">
        <is>
          <t>frfjd9</t>
        </is>
      </c>
      <c r="B1445" t="inlineStr">
        <is>
          <t>wtf is that blood in the white part of my eye</t>
        </is>
      </c>
      <c r="C1445" t="inlineStr">
        <is>
          <t>Just noticed that there is blood in the white part of my eye - [pic here](https://i.imgur.com/8B7k6j1.jpg) , need to lift the eyelid to see it, so no idea how long its been like this, no pain or change in the vision. Can too much coffe cause something like this ?</t>
        </is>
      </c>
      <c r="D1445" t="n">
        <v>3</v>
      </c>
      <c r="E1445" t="n">
        <v>5</v>
      </c>
      <c r="F1445">
        <f>HYPERLINK("https://www.reddit.com/r/eyetriage/comments/frfjd9/wtf_is_that_blood_in_the_white_part_of_my_eye/")</f>
        <v/>
      </c>
      <c r="G1445" t="inlineStr">
        <is>
          <t>2020-03-29 16:17:07</t>
        </is>
      </c>
      <c r="H1445" t="inlineStr"/>
    </row>
    <row r="1446">
      <c r="A1446" t="inlineStr">
        <is>
          <t>frhbnq</t>
        </is>
      </c>
      <c r="B1446" t="inlineStr">
        <is>
          <t>Eye sight</t>
        </is>
      </c>
      <c r="C1446" t="inlineStr">
        <is>
          <t>Eye sight.
Female 40. Hypopiturism. Glaucoma Non smoker. England. Hydrocortisone and growth hormone
Since the beginning of this year. I was seeing a neurologist for one sided sweating. But this year. My eyesight has gradually been getting worse. When I look at text. It doesn’t look right. It’s almost as if I can see anything flat. My brain just won’t register it. The words jump out at me 3D wise. The lines don’t look flat. Nothing really looks straight. This also has given me horrific headaches. Always in the same place and with each day get worse. No coming or going. A constant pain. In the right side of my head. I’ve tried to stay away from the hospital. But is this something that needs checking? Or can I leave this? Till the lockdown is over. The hearing on my right side is also going more and more. Leaving me almost dead now on my right ear. Came on the same time as the head pains. I was diagnosed with glaucoma around 2 years ago. Not sure. Text is also missing. Like I can’t see the bottom of it. 
Thank you all for reading.  Was told to post here too.</t>
        </is>
      </c>
      <c r="D1446" t="n">
        <v>1</v>
      </c>
      <c r="E1446" t="n">
        <v>3</v>
      </c>
      <c r="F1446">
        <f>HYPERLINK("https://www.reddit.com/r/eyetriage/comments/frhbnq/eye_sight/")</f>
        <v/>
      </c>
      <c r="G1446" t="inlineStr">
        <is>
          <t>2020-03-29 18:07:05</t>
        </is>
      </c>
      <c r="H1446" t="inlineStr"/>
    </row>
    <row r="1447">
      <c r="A1447" t="inlineStr">
        <is>
          <t>fril88</t>
        </is>
      </c>
      <c r="B1447" t="inlineStr">
        <is>
          <t>[17M] My perfect 20/20 left eye vision is getting blurrier and blurrier, more strained? What is</t>
        </is>
      </c>
      <c r="C1447" t="inlineStr">
        <is>
          <t>17 year old male:
So I have a right lazy eye, and it is quite blurry, but I have (or well had, apparently) a perfectly good left eye that has never let me down. A month or two ago, I got new glasses mainly for my right blurry eye that also has a lens for the left eye, and it was perfect and everything was good. But recently, I feel like my left eye is degrading and something is wrong.
My eyes hurt, and I am squinting a lot. Especially my left eye, it literally feels blurrier but I don't really have another eye to compare it to. But most importantly, the left lens of my glasses now makes my left eye blurry. My theory is that something bad happened inside my left eye and that something changed inside, so the lens and my eyes do not match anymore. 
I have been having online school, and have been on electronics, basically from the second, I wake up until I sleep. And I have been barely getting 'enough' sleep as well, maybe 4-6 ish hours on most days. Could this just be 'temporary' blurriness? I don't know what to do. If my left eye goes blurry, I am quite screwed.. 
Additionally, my lazy eye cannot be cured, but are there any surgeries that will allow me my right lazy eye to be LESS blurry? I've read about LASIK but does that apply for lazy eyes. 
What do you think and recommend? 
Thank you.</t>
        </is>
      </c>
      <c r="D1447" t="n">
        <v>1</v>
      </c>
      <c r="E1447" t="n">
        <v>4</v>
      </c>
      <c r="F1447">
        <f>HYPERLINK("https://www.reddit.com/r/eyetriage/comments/fril88/17m_my_perfect_2020_left_eye_vision_is_getting/")</f>
        <v/>
      </c>
      <c r="G1447" t="inlineStr">
        <is>
          <t>2020-03-29 19:30:51</t>
        </is>
      </c>
      <c r="H1447" t="inlineStr"/>
    </row>
    <row r="1448">
      <c r="A1448" t="inlineStr">
        <is>
          <t>frkzvt</t>
        </is>
      </c>
      <c r="B1448" t="inlineStr">
        <is>
          <t>Inflammation in one eye???</t>
        </is>
      </c>
      <c r="C1448" t="inlineStr">
        <is>
          <t>Been experiencing persistent redness and inflammation in corner of one eye. My ophthalmologist has suggested that there is some roughness which is causing that irriation and has prescribed pred forte drops. I have been using these drops for 2 weeks and little improvement. If anyone could give any advice that would be great :) thankyou :)</t>
        </is>
      </c>
      <c r="D1448" t="n">
        <v>1</v>
      </c>
      <c r="E1448" t="n">
        <v>0</v>
      </c>
      <c r="F1448">
        <f>HYPERLINK("https://www.reddit.com/r/eyetriage/comments/frkzvt/inflammation_in_one_eye/")</f>
        <v/>
      </c>
      <c r="G1448" t="inlineStr">
        <is>
          <t>2020-03-29 22:30:04</t>
        </is>
      </c>
      <c r="H1448" t="inlineStr"/>
    </row>
    <row r="1449">
      <c r="A1449" t="inlineStr">
        <is>
          <t>frvbvn</t>
        </is>
      </c>
      <c r="B1449" t="inlineStr">
        <is>
          <t>Can't make eye appointment due to COVID. Noticed a very subtle dark spot in my left eye. What can I do???</t>
        </is>
      </c>
      <c r="C1449" t="inlineStr">
        <is>
          <t>It's noticeable only when both eyes are open and I can't even see a doctor about it, because of COVID. What can I do? I don't wanna go blind because I couldn't see a doctor about my dark spot</t>
        </is>
      </c>
      <c r="D1449" t="n">
        <v>1</v>
      </c>
      <c r="E1449" t="n">
        <v>15</v>
      </c>
      <c r="F1449">
        <f>HYPERLINK("https://www.reddit.com/r/eyetriage/comments/frvbvn/cant_make_eye_appointment_due_to_covid_noticed_a/")</f>
        <v/>
      </c>
      <c r="G1449" t="inlineStr">
        <is>
          <t>2020-03-30 10:40:51</t>
        </is>
      </c>
      <c r="H1449" t="inlineStr"/>
    </row>
    <row r="1450">
      <c r="A1450" t="inlineStr">
        <is>
          <t>frwamg</t>
        </is>
      </c>
      <c r="B1450" t="inlineStr">
        <is>
          <t>Split-second blink like blackout when not blinking</t>
        </is>
      </c>
      <c r="C1450" t="inlineStr">
        <is>
          <t>I'm not sure if this belongs in a neurology sub or if this is the right place for it, I apologize if this is the wrong place.
Over the past several years I've had this weird moment where my vision blacks out for a split second, its the same duration of a blink but I'm not blinking. It doesn't happen frequently, previously it was only once a month or even less than that. The past couple of weeks I've noticed it's happened once or twice a week. 
It's not painful at all and I don't lose consciousness or awareness (I've heard some people say that it could be a seizure). It happens so fast that when it first started happening I thought the lights were just flickering (we've had problems in several rooms of the house where the lights flicker) but it happened when I was in the room with someone and they said that nothing happened with the lights.
The most recent time it happened was last night after I took my nightly dose of Melatonin and Clonidine (It's a blood pressure medication my doctor prescribed me for sleep). The last several times I've had my BP checked I've had a top BP number of between 135-145, so it's been prehypertension level. I'm thinking the high blood pressure may be a result of undiagnosed sleep apnea, I'm currently experiencing enough symptoms that I'm going to be getting a sleep study done in a couple of weeks. I've also heard that it could be due to blood pressure, although I don't know if the person saying it meant high or low.
 I'll start to pay more attention to it, but I think it happens mostly at night before I go to bed. I was half awake when this happened last night.
Thank you!</t>
        </is>
      </c>
      <c r="D1450" t="n">
        <v>1</v>
      </c>
      <c r="E1450" t="n">
        <v>2</v>
      </c>
      <c r="F1450">
        <f>HYPERLINK("https://www.reddit.com/r/eyetriage/comments/frwamg/splitsecond_blink_like_blackout_when_not_blinking/")</f>
        <v/>
      </c>
      <c r="G1450" t="inlineStr">
        <is>
          <t>2020-03-30 11:31:27</t>
        </is>
      </c>
      <c r="H1450" t="inlineStr"/>
    </row>
    <row r="1451">
      <c r="A1451" t="inlineStr">
        <is>
          <t>fs1r2m</t>
        </is>
      </c>
      <c r="B1451" t="inlineStr">
        <is>
          <t>Should I risk going to eye DR during Covid-19 crisis?</t>
        </is>
      </c>
      <c r="C1451" t="inlineStr">
        <is>
          <t>I'm in my late 30's, no major history of vision problems. I have worn glasses for distance for many years. over the years docs told me i could wear them all the time but usually I take them off at the computer.
For the past 3 or 4 days I have felt this pressure or pain in my left eye. If I touch the eye lid, it feels sensitive. I would say the pain or discomfort is about a 1 or 2.  It hurts when I look at light. No such problem in the right eye. My 85 year old aunt had a similar problem last week and saw her eye doctor and he recommended drops for dry eyes. I just bought Clear Eyes drops today. Hope it works. I'm really trying to avoid any doctors offices right now.</t>
        </is>
      </c>
      <c r="D1451" t="n">
        <v>1</v>
      </c>
      <c r="E1451" t="n">
        <v>10</v>
      </c>
      <c r="F1451">
        <f>HYPERLINK("https://www.reddit.com/r/eyetriage/comments/fs1r2m/should_i_risk_going_to_eye_dr_during_covid19/")</f>
        <v/>
      </c>
      <c r="G1451" t="inlineStr">
        <is>
          <t>2020-03-30 16:26:39</t>
        </is>
      </c>
      <c r="H1451" t="inlineStr"/>
    </row>
    <row r="1452">
      <c r="A1452" t="inlineStr">
        <is>
          <t>fs2fem</t>
        </is>
      </c>
      <c r="B1452" t="inlineStr">
        <is>
          <t>Sharp Eye Pain When Blinking</t>
        </is>
      </c>
      <c r="C1452" t="inlineStr">
        <is>
          <t>This started this morning when I woke up and its in the left eye. 
It feels like there is something in the eye in the top lid, but I spent about half an hour looking and trying to fold the lid up and did not see anything. It feels like a sharp stabbing pain when I blink and if I blink too much my eye starts to water. 
I did use a leaf blower yesterday in my back yard and I did notice some debris fly toward my eyes, but nothing went in as far as I know. I've used systane brand eye drops about 4 times today and they do help a bit, but the pain persists. Vision is not affected at this time, its mainly discomfort.</t>
        </is>
      </c>
      <c r="D1452" t="n">
        <v>1</v>
      </c>
      <c r="E1452" t="n">
        <v>1</v>
      </c>
      <c r="F1452">
        <f>HYPERLINK("https://www.reddit.com/r/eyetriage/comments/fs2fem/sharp_eye_pain_when_blinking/")</f>
        <v/>
      </c>
      <c r="G1452" t="inlineStr">
        <is>
          <t>2020-03-30 17:07:22</t>
        </is>
      </c>
      <c r="H1452" t="inlineStr"/>
    </row>
    <row r="1453">
      <c r="A1453" t="inlineStr">
        <is>
          <t>fs8y2s</t>
        </is>
      </c>
      <c r="B1453" t="inlineStr">
        <is>
          <t>Brief vertical line of static like thing that appears in vision</t>
        </is>
      </c>
      <c r="C1453" t="inlineStr">
        <is>
          <t>I'm a healthy 21 year old male, history of migraines, no family history of eye disease, and have seen an optometrist, neurologist, and ophthalmologist all within 6 months to which all say my eyes and brain are healthy.
It's hard to explain, but it seems like a thin vertical static like streak quickly appears for not even a second, and wondering what it could be? Also, when I look at any object everything else seems very out of focus (example; when putting my phone straight in front of me about 10cm and start using it, my peripheral vision is extremely out of focus), and when watching a tv show or movie it seems like my vision is patchy/ if theres two people standing next to each other and my eyes are on one, I struggle to see the other. 
I'm sorry if i didn't explain it well enough, it's very hard to and I'm really wanting an answer. I've read on a blog for people like myself, who have serious anxiety, experience "patchy" vision and other symptoms, but it's hard to believe anxiety can cause such an issue.</t>
        </is>
      </c>
      <c r="D1453" t="n">
        <v>1</v>
      </c>
      <c r="E1453" t="n">
        <v>0</v>
      </c>
      <c r="F1453">
        <f>HYPERLINK("https://www.reddit.com/r/eyetriage/comments/fs8y2s/brief_vertical_line_of_static_like_thing_that/")</f>
        <v/>
      </c>
      <c r="G1453" t="inlineStr">
        <is>
          <t>2020-03-31 01:01:41</t>
        </is>
      </c>
      <c r="H1453" t="inlineStr"/>
    </row>
    <row r="1454">
      <c r="A1454" t="inlineStr">
        <is>
          <t>fs9r8y</t>
        </is>
      </c>
      <c r="B1454" t="inlineStr">
        <is>
          <t>Eye swelling and contacts</t>
        </is>
      </c>
      <c r="C1454" t="inlineStr">
        <is>
          <t>Hi, stupid patient here. I should know better than to not follow prescribed wearing instructions but here I am... I left my two week wear contacts in for somewhere between 1-2 months, not really sure how long. I took my contacts out and have switched to glasses, but now one of my eyes is swollen and sore. They are both incredibly dry and sting when I close them. Will my eyes adjust to not being in contacts or is this something I need to see a doctor for? Doctors aren’t really seeing patients except for emergencies here, so I don’t want to break quarantine unnecessarily. No redness or drainage, just swelling (in one eye) and pain. The swelling is so bad it looks like my eye is popping out.</t>
        </is>
      </c>
      <c r="D1454" t="n">
        <v>1</v>
      </c>
      <c r="E1454" t="n">
        <v>2</v>
      </c>
      <c r="F1454">
        <f>HYPERLINK("https://www.reddit.com/r/eyetriage/comments/fs9r8y/eye_swelling_and_contacts/")</f>
        <v/>
      </c>
      <c r="G1454" t="inlineStr">
        <is>
          <t>2020-03-31 02:15:52</t>
        </is>
      </c>
      <c r="H1454" t="inlineStr"/>
    </row>
    <row r="1455">
      <c r="A1455" t="inlineStr">
        <is>
          <t>fsf3ba</t>
        </is>
      </c>
      <c r="B1455" t="inlineStr">
        <is>
          <t>Pinguecula</t>
        </is>
      </c>
      <c r="C1455" t="inlineStr">
        <is>
          <t>50ish male here. I've noticed some small white spots on my scleras and after a bit of googling think they might be pinguecula. No symptoms, just cosmetic. They must have formed last year while I was marathon training outdoors. I will point them out to my doctor the next time I go in and ask for a referral to an ophthalmologist. Also, I will be buying wraparound sunglasses in the very near future.
My question is why have I never heard of pinguecula? I worked for ophthalmic OCT and ultrasound imaging companies for a long time and picked up some of the lingo through osmosis, but have never heard of this. Is it really that common? Do they typically form in such a short time (just one year)? Do you do imaging of them to monitor changes over time?
https://preview.redd.it/c4mdhwwo71q41.jpg?width=1744&amp;amp;format=pjpg&amp;amp;auto=webp&amp;amp;s=9f8bd453be3ed7407679ac175ec25c190ca7620a</t>
        </is>
      </c>
      <c r="D1455" t="n">
        <v>1</v>
      </c>
      <c r="E1455" t="n">
        <v>0</v>
      </c>
      <c r="F1455">
        <f>HYPERLINK("https://www.reddit.com/r/eyetriage/comments/fsf3ba/pinguecula/")</f>
        <v/>
      </c>
      <c r="G1455" t="inlineStr">
        <is>
          <t>2020-03-31 08:38:35</t>
        </is>
      </c>
      <c r="H1455" t="inlineStr"/>
    </row>
    <row r="1456">
      <c r="A1456" t="inlineStr">
        <is>
          <t>fsg5no</t>
        </is>
      </c>
      <c r="B1456" t="inlineStr">
        <is>
          <t>Ophthalmologist telehealth consulting?</t>
        </is>
      </c>
      <c r="C1456" t="inlineStr">
        <is>
          <t>Hey there! So my dad is an telehealth ophthalmologist and unfortunately, due to COVID-19, he hasn't been having as much work lately. A lot of his pareitnets are reluctant to come into the office and his surgeries have been cancelled. He has been using Telehealth and bit, but could use some more. Any ideas for how he could better market this/get more patients on Telehealth? It'd be great for him to do consultations but he's just unsure because he would have to get people's insurance and he doesn't have lots of equipment...any insight would be great for how he can start doing consulting and getting more patients. Thanks!</t>
        </is>
      </c>
      <c r="D1456" t="n">
        <v>1</v>
      </c>
      <c r="E1456" t="n">
        <v>0</v>
      </c>
      <c r="F1456">
        <f>HYPERLINK("https://www.reddit.com/r/eyetriage/comments/fsg5no/ophthalmologist_telehealth_consulting/")</f>
        <v/>
      </c>
      <c r="G1456" t="inlineStr">
        <is>
          <t>2020-03-31 09:35:46</t>
        </is>
      </c>
      <c r="H1456" t="inlineStr"/>
    </row>
    <row r="1457">
      <c r="A1457" t="inlineStr">
        <is>
          <t>fsi4cy</t>
        </is>
      </c>
      <c r="B1457" t="inlineStr">
        <is>
          <t>Looking at sun 10 times for 0.5 seconds vs looking at sun 1 time for 5 seconds. Which is worse?</t>
        </is>
      </c>
      <c r="C1457" t="inlineStr">
        <is>
          <t>I play softball and I noticed that over the short course of time (lots of plays coming towards me) that I probably looked up at the sun 10 times (for no longer than 0.5 seconds). 
Is that going to cause long term damage to my eyes? I noticed spots in my eyes for around 30 minutes that haven’t completely gone away, but gotten better. 
I’m wondering if doing what I did is the equivalent of looking at the sun once for 5 seconds?</t>
        </is>
      </c>
      <c r="D1457" t="n">
        <v>0</v>
      </c>
      <c r="E1457" t="n">
        <v>7</v>
      </c>
      <c r="F1457">
        <f>HYPERLINK("https://www.reddit.com/r/eyetriage/comments/fsi4cy/looking_at_sun_10_times_for_05_seconds_vs_looking/")</f>
        <v/>
      </c>
      <c r="G1457" t="inlineStr">
        <is>
          <t>2020-03-31 11:19:13</t>
        </is>
      </c>
      <c r="H1457" t="inlineStr"/>
    </row>
    <row r="1458">
      <c r="A1458" t="inlineStr">
        <is>
          <t>fsp5mn</t>
        </is>
      </c>
      <c r="B1458" t="inlineStr">
        <is>
          <t>17 and eye floaters</t>
        </is>
      </c>
      <c r="C1458" t="inlineStr">
        <is>
          <t>Im 17M and I had no problems with my eyes ever since I was born. I didn't wear glasses nor had any issues with my vision at all. Recently I notices some floating dots in my vision and they are transparent, move around kinda fast and visible on brighter lights like sky or near the light bulbs, white screen or paper... Sometimes I may see some floating rings too that fall. I spend my time using my computer and I do it since I was a child because games, developing/programming and all that fun stuff u do on computers is my passion and I enjoy it a lot.
What can be the cause? My eyes are also kinda red lately and I think that's because they are dry because of my sleep patterns with all the pandemics going on and also using the computer and phone during the day because there is nothing else I can do. I think I noticed floaters before my eyes became red but it still doesn't close the fact that floaters may be caused by dry eyes. Can anyone tell me what's going on and maybe help me think of something because im pretty sure that they wont disappear and my research just keeps making this fact true. My eyes are also kinda bright blue and Im telling this just so I can spit out more details. You can ask me something as well I just want to know why I got them at such a young age.</t>
        </is>
      </c>
      <c r="D1458" t="n">
        <v>1</v>
      </c>
      <c r="E1458" t="n">
        <v>4</v>
      </c>
      <c r="F1458">
        <f>HYPERLINK("https://www.reddit.com/r/eyetriage/comments/fsp5mn/17_and_eye_floaters/")</f>
        <v/>
      </c>
      <c r="G1458" t="inlineStr">
        <is>
          <t>2020-03-31 17:42:39</t>
        </is>
      </c>
      <c r="H1458" t="inlineStr"/>
    </row>
    <row r="1459">
      <c r="A1459" t="inlineStr">
        <is>
          <t>fsvlb9</t>
        </is>
      </c>
      <c r="B1459" t="inlineStr">
        <is>
          <t>Patchy vision?</t>
        </is>
      </c>
      <c r="C1459" t="inlineStr">
        <is>
          <t>Here's some background information about me; I'm a 21 yo male, take zoloft for anxiety, have had visual migraines in the past, and no history of eye trauma or family history of blindness. I'm going to explain it the best I can. Anyway, it seems like when my eyes aren't focused on something, my peripheral vision acuity has gotten a little worse and on the outer edges, maybe a little hazy? It's most apparent when I watch the tv and can't make out everything or even someones full face? Maybe scotomas? I've seen eye specialists, to which they have thoroughly checked my eyes and say they're 100% healthy. Any idea on what's going on?</t>
        </is>
      </c>
      <c r="D1459" t="n">
        <v>1</v>
      </c>
      <c r="E1459" t="n">
        <v>8</v>
      </c>
      <c r="F1459">
        <f>HYPERLINK("https://www.reddit.com/r/eyetriage/comments/fsvlb9/patchy_vision/")</f>
        <v/>
      </c>
      <c r="G1459" t="inlineStr">
        <is>
          <t>2020-04-01 01:13:06</t>
        </is>
      </c>
      <c r="H1459" t="inlineStr"/>
    </row>
    <row r="1460">
      <c r="A1460" t="inlineStr">
        <is>
          <t>ft0lvl</t>
        </is>
      </c>
      <c r="B1460" t="inlineStr">
        <is>
          <t>Intense eye irritation when I first wake up; hurts/is hard to open eyes.</t>
        </is>
      </c>
      <c r="C1460" t="inlineStr">
        <is>
          <t>**Current complaint:** 
Every morning when I get up and try to open my eyes, it's troublesome to do so. Not sure if it's because my eyes are dry, but I have to work hard to fully open my eyelids, or rather, open them a bit, close them, then open them a bit more and close them again, doing this until they are fully open. Obviously trying not to rub my eyes, but when doing so that seems to help the process along. After this ordeal, my eyes feel fine during the day and problem returns again in the morning after awaking.
**Questions:** 
1. Any idea what is going on with my eyes? I've never had problems with dry eyes or anything of the sort. Hopefully I'll get in to see an opthamologist soon if PCP recs (below) don't resolve the issue. Just curious to hear from the experts on the matter. TIA!
2. PCP rec for contact lens solution... is that a good rec? Should I try saline solution? I've never put contact lens solution directly on my eye, just used it per label instructions when I used to wear contact lens over 15 years ago.
**History:** 
Back in December last year I woke up with redness in the left eye. Called PCP, since it was a holiday, they called in abx for pink eye. The redness persisted through the abx regimen with crusting in the mornings after waking up and irritation went from initially not bad to very irritating. On the last day of the abx course, I woke up with no redness in the left eye, but the right eye was now red. Because of my health care insurance at the time, I had to change PCP's and that wouldn't happen until the new year. I switched to just using Visine drops and the right eye eventually cleared up in a few days as I recall. All throughout this, from the start, the current complaint from above has persisted. Since the new year until 2 weeks ago, I have woken up with either the right or left eye (never both at the same time) being red and crusty and then resolving within a day or so - this has maybe happened 3 times. 
**2 weeks ago:** 
I finally established care (I know, ever the procrastinator) after waking up in the early, early morning with severe irritation in my left eye, watery/discharge and the eye was red. The right eye looked clear, but there was still the struggle of opening the eye as described above. After PCP visit, I was given abx drops for both eyes, 4x/day. Left eye cleared up within a few days, but with trouble opening eyes continuing to persist. Per PCP recs as of today via RN phone call, I'll be getting contact lens solution to wash out my eyes daily for a few days to see if that helps, if not I will be referred to an opthamologist.</t>
        </is>
      </c>
      <c r="D1460" t="n">
        <v>1</v>
      </c>
      <c r="E1460" t="n">
        <v>11</v>
      </c>
      <c r="F1460">
        <f>HYPERLINK("https://www.reddit.com/r/eyetriage/comments/ft0lvl/intense_eye_irritation_when_i_first_wake_up/")</f>
        <v/>
      </c>
      <c r="G1460" t="inlineStr">
        <is>
          <t>2020-04-01 07:17:54</t>
        </is>
      </c>
      <c r="H1460" t="inlineStr"/>
    </row>
    <row r="1461">
      <c r="A1461" t="inlineStr">
        <is>
          <t>ft0xfr</t>
        </is>
      </c>
      <c r="B1461" t="inlineStr">
        <is>
          <t>Glaucoma surgery</t>
        </is>
      </c>
      <c r="C1461" t="inlineStr">
        <is>
          <t>I'm going in for pre-OP tomorrow.  Surgery on Monday. Wish me luck!
The surgery is cyclophotocoagulation for my left eye. I'm blind in that eye and have eye pressure in the 40's. 
I'm nervous.  I heard the numbing shot isn't fun. I don't know what to expect or what recovery will be like. 
Also quite nervous because of the virus.</t>
        </is>
      </c>
      <c r="D1461" t="n">
        <v>1</v>
      </c>
      <c r="E1461" t="n">
        <v>5</v>
      </c>
      <c r="F1461">
        <f>HYPERLINK("https://www.reddit.com/r/eyetriage/comments/ft0xfr/glaucoma_surgery/")</f>
        <v/>
      </c>
      <c r="G1461" t="inlineStr">
        <is>
          <t>2020-04-01 07:36:15</t>
        </is>
      </c>
      <c r="H1461" t="inlineStr"/>
    </row>
    <row r="1462">
      <c r="A1462" t="inlineStr">
        <is>
          <t>ftgs2i</t>
        </is>
      </c>
      <c r="B1462" t="inlineStr">
        <is>
          <t>I feel pain in my eyes when i look at screens</t>
        </is>
      </c>
      <c r="C1462" t="inlineStr">
        <is>
          <t>When this started i suffered it for a couple of months until i got antireflex-blue cut glasses and they worked just fine for the first 8 months, but one day suddenly the pain started to come back and now i can barely look at screens although i have my glasses on, i was wondering if my glasses could have worn out since they were cheap 70 dollar glasses and maybe they stopped "working" properly and that is why the pain came back, i really hope it is that and not some irreparable damage to my eyes or something
I have to clarify that i went to the ophtalmologist before getting my glasses and he said that it may be a neuralgy but he was not sure since he was not a neurologist  he did not recommend glasses but i bought them anyways because his solution was "do not look at screens anymore" and i didnt for a couple of months and it was a huge waste of time.  I dont have vision problems, i have a good eyesight.
I am really desperate for advice since looking at screens is currently one of tthe most important things in my life.</t>
        </is>
      </c>
      <c r="D1462" t="n">
        <v>1</v>
      </c>
      <c r="E1462" t="n">
        <v>1</v>
      </c>
      <c r="F1462">
        <f>HYPERLINK("https://www.reddit.com/r/eyetriage/comments/ftgs2i/i_feel_pain_in_my_eyes_when_i_look_at_screens/")</f>
        <v/>
      </c>
      <c r="G1462" t="inlineStr">
        <is>
          <t>2020-04-01 22:40:27</t>
        </is>
      </c>
      <c r="H1462" t="inlineStr"/>
    </row>
    <row r="1463">
      <c r="A1463" t="inlineStr">
        <is>
          <t>fth8fl</t>
        </is>
      </c>
      <c r="B1463" t="inlineStr">
        <is>
          <t>Do I have an abrasion that I can’t see?</t>
        </is>
      </c>
      <c r="C1463" t="inlineStr">
        <is>
          <t>Hello, I could really use some help because I’m in Lockdown and unsure if I can see a doctor. Yesterday I woke up with what felt like an eyelash or something sharp in my eye, but 40 hours later the sensation is still there and I can’t even sleep with my eye shut because having my eyelid closed over my eyeball hurts as if something is stabbing my eyeball. So last night I slept with my eyelid propped open on my pillow. It feels like a sharp scratchy feeling when I blink or close my eye but there’s nothing in there. I’ve had a good look with a torch and while holding my eyelid up, I can’t see anything. I also flushed with salt water a couple of times which made an area on the eyeball sting. Is it probably an abrasion on the white of my eye or maybe even the cornea? It feels like it’s more towards the outer edge of the eye, but it’s hard to tell because my eye is in general discomfort. I find my vision a little disrupted, mainly from having an aggravated and tired eyeball i think. Please if you know about this problem help me, that would be much appreciated by me. :)</t>
        </is>
      </c>
      <c r="D1463" t="n">
        <v>1</v>
      </c>
      <c r="E1463" t="n">
        <v>3</v>
      </c>
      <c r="F1463">
        <f>HYPERLINK("https://www.reddit.com/r/eyetriage/comments/fth8fl/do_i_have_an_abrasion_that_i_cant_see/")</f>
        <v/>
      </c>
      <c r="G1463" t="inlineStr">
        <is>
          <t>2020-04-01 23:18:52</t>
        </is>
      </c>
      <c r="H1463" t="inlineStr"/>
    </row>
    <row r="1464">
      <c r="A1464" t="inlineStr">
        <is>
          <t>ftj89j</t>
        </is>
      </c>
      <c r="B1464" t="inlineStr">
        <is>
          <t>24 years old, cataract in both eyes , not sure which lense to take</t>
        </is>
      </c>
      <c r="C1464" t="inlineStr">
        <is>
          <t>hello i am 24 years old and have cataracts in both eyes which I have to get removed.
I feel so bad that I have to give away my healhty eye function at such young age. I feel so bad about it , I need hope that it wont be a problem in my everyday life..
I've read so much about different IOLs, the doc said he would personally recommend me EDOFS with a mini monovision because of my young age
But because I said glares and halos would be a big problem for me, because I love driving at night and I wouldn't wanna give away my ability to drive.
Now we will do Monovision with Monofocals , because there is the lowest risk to losing ability to see at light and glares.
but then I've read that monovision takes away stereo vision, and that would be very very bad.
also I have read it's dangerous to drive like that.
it's so hard..
basically the most important thing to me is that I wont feel like that I'm disabled or something for the rest of my life.
Its important for me to see faces clear infront of me. I'm afraid I would from now on always see faces blurry with the monofocals set for distance / or monovision.
I dont want blur if i kiss my girlfriend or wake up next to her.
i want to be able to drive at night without problems, also being able to drive with good stereovision.
A big hobby of mine is cars, and I absolutely love driving my car at its limits on country roads.
Also I do Kickboxing and BJJ, I'm afraid I wont see my partner infront of me sharp anymore.
I still want to be able to read my texts, or change a song in the car.
My idea would have been to take the monofocals and then use multifocal contacts, I couldnt find anything to this combo in the internet.
I have no experience with multifocal contacts, I cant imagine how they would work, in my imagination I would think that they would be just like if I had multifocal IOLs, the doc said it wouldnt be as sharp as a an implanted lense tho.
I've read that it takes some time to get used to them, I thought I could maybe wear them always except when I'm driving at night and that this would be the best way to have a clear image on all distances.
also I dont care about crystal clear vision, it should just seem natural to see all distances
I really would be fine to see up to 20 meters and use glasses only for driving.
I would have no problems to wear driving glasses.
I'm so lost, I hate this decision.
I hope somebody can help me..</t>
        </is>
      </c>
      <c r="D1464" t="n">
        <v>1</v>
      </c>
      <c r="E1464" t="n">
        <v>4</v>
      </c>
      <c r="F1464">
        <f>HYPERLINK("https://www.reddit.com/r/eyetriage/comments/ftj89j/24_years_old_cataract_in_both_eyes_not_sure_which/")</f>
        <v/>
      </c>
      <c r="G1464" t="inlineStr">
        <is>
          <t>2020-04-02 02:18:30</t>
        </is>
      </c>
      <c r="H1464" t="inlineStr"/>
    </row>
    <row r="1465">
      <c r="A1465" t="inlineStr">
        <is>
          <t>ftlgrh</t>
        </is>
      </c>
      <c r="B1465" t="inlineStr">
        <is>
          <t>Do I still have an infection?</t>
        </is>
      </c>
      <c r="C1465" t="inlineStr">
        <is>
          <t>I’m 23F and about two weeks ago, my left eye was extremely red, sensitive to light, burning, etc. Since my eye doctor was closed due to coronavirus, I just hoped it would get better. 3 days later, the redness and burning went away, but my vision became blurry and the eyes were still sore. At this point, I called my eye doctor and got an emergency appointment. He said that I had some white blood cells in my cornea and prescribed my ofloxacin. He said to take it for seven days and if it was better I could stop and if it wasn’t better to take it for three more days. I took it for the seven days and the eye itself felt better but vision was still weaker than normal so I took it on the eighth day. However, then my eyes started to burn when I put in my second dose on the eighth day so from there I decided my eyes were well enough to stop. Yesterday was the ninth day and did not take anything. This morning (the tenth day), I have some burning back in my eye. No redness but the eye is very tender and sore to move. 
Any idea what could be going on? Does my eye still have an infection? Should I use artificial tear drops to see if that helps? 
Thanks everyone!</t>
        </is>
      </c>
      <c r="D1465" t="n">
        <v>1</v>
      </c>
      <c r="E1465" t="n">
        <v>1</v>
      </c>
      <c r="F1465">
        <f>HYPERLINK("https://www.reddit.com/r/eyetriage/comments/ftlgrh/do_i_still_have_an_infection/")</f>
        <v/>
      </c>
      <c r="G1465" t="inlineStr">
        <is>
          <t>2020-04-02 05:27:20</t>
        </is>
      </c>
      <c r="H1465" t="inlineStr"/>
    </row>
    <row r="1466">
      <c r="A1466" t="inlineStr">
        <is>
          <t>ftn0ef</t>
        </is>
      </c>
      <c r="B1466" t="inlineStr">
        <is>
          <t>Opinions</t>
        </is>
      </c>
      <c r="C1466" t="inlineStr">
        <is>
          <t>Hello! I have this one small rainbow color spot in my vision (left eye only). It's more noticeable in bright / white environment. What could it be? Always the same location and size. If i blink my eyes fast enough, i can see it more clearly. Thank you!</t>
        </is>
      </c>
      <c r="D1466" t="n">
        <v>1</v>
      </c>
      <c r="E1466" t="n">
        <v>1</v>
      </c>
      <c r="F1466">
        <f>HYPERLINK("https://www.reddit.com/r/eyetriage/comments/ftn0ef/opinions/")</f>
        <v/>
      </c>
      <c r="G1466" t="inlineStr">
        <is>
          <t>2020-04-02 07:11:46</t>
        </is>
      </c>
      <c r="H1466" t="inlineStr"/>
    </row>
    <row r="1467">
      <c r="A1467" t="inlineStr">
        <is>
          <t>ftyosj</t>
        </is>
      </c>
      <c r="B1467" t="inlineStr">
        <is>
          <t>Why does my vision occasionally flicker?</t>
        </is>
      </c>
      <c r="C1467" t="inlineStr">
        <is>
          <t>I don't think flicker is the best word to describe it... But it seems like on occasion, my vision will quickly fade to black - in the span of less than a second - and then go back to normal. It kind of reminds me of how your vision can go black when standing up too quick (head rush), but this seems to happen when I'm stationary. It also happens so quickly that I don't notice any other symptoms such as the light-headedness that accompanies a head rush. I've noticed this happening a few times today, which prompted me to finally search the internet for an answer, but I couldn't find anything that seemed to fit my case. It usually happens so infrequently that I can't notice any trends that could clue me in on a cause. 
It's not something that I'm really worried about, and I definitely wouldn't consider going to a doctor unless it "gets worse" in any regards, but I was just curious if there's a medical term or known cause for it.
Thanks!</t>
        </is>
      </c>
      <c r="D1467" t="n">
        <v>1</v>
      </c>
      <c r="E1467" t="n">
        <v>5</v>
      </c>
      <c r="F1467">
        <f>HYPERLINK("https://www.reddit.com/r/eyetriage/comments/ftyosj/why_does_my_vision_occasionally_flicker/")</f>
        <v/>
      </c>
      <c r="G1467" t="inlineStr">
        <is>
          <t>2020-04-02 18:09:59</t>
        </is>
      </c>
      <c r="H1467" t="inlineStr"/>
    </row>
    <row r="1468">
      <c r="A1468" t="inlineStr">
        <is>
          <t>fu2gra</t>
        </is>
      </c>
      <c r="B1468" t="inlineStr">
        <is>
          <t>Clear bump on my conjunctiva?</t>
        </is>
      </c>
      <c r="C1468" t="inlineStr">
        <is>
          <t>Hi guys. Can you please help me to figure out what this clear bump on my conjunctiva is? How can I make it go away?? Please help me :(
Link to my eye:
https://imgur.com/a/rMFPoo4</t>
        </is>
      </c>
      <c r="D1468" t="n">
        <v>1</v>
      </c>
      <c r="E1468" t="n">
        <v>3</v>
      </c>
      <c r="F1468">
        <f>HYPERLINK("https://www.reddit.com/r/eyetriage/comments/fu2gra/clear_bump_on_my_conjunctiva/")</f>
        <v/>
      </c>
      <c r="G1468" t="inlineStr">
        <is>
          <t>2020-04-02 22:25:04</t>
        </is>
      </c>
      <c r="H1468" t="inlineStr"/>
    </row>
    <row r="1469">
      <c r="A1469" t="inlineStr">
        <is>
          <t>fu4pvx</t>
        </is>
      </c>
      <c r="B1469" t="inlineStr">
        <is>
          <t>Keratoconus: can I improve one eye using an eye patch (please read 2nd para)?</t>
        </is>
      </c>
      <c r="C1469" t="inlineStr">
        <is>
          <t xml:space="preserve"> I have keratoconus. I had CXL two years ago and thankfully stable. My right eye is much weaker than my left but has improved since my procedure.
Can I improve my right eye by putting a patch over my left eye. I know this won't "cure" my eye but is there any relationship between acuity and dependence?
Thanks</t>
        </is>
      </c>
      <c r="D1469" t="n">
        <v>1</v>
      </c>
      <c r="E1469" t="n">
        <v>0</v>
      </c>
      <c r="F1469">
        <f>HYPERLINK("https://www.reddit.com/r/eyetriage/comments/fu4pvx/keratoconus_can_i_improve_one_eye_using_an_eye/")</f>
        <v/>
      </c>
      <c r="G1469" t="inlineStr">
        <is>
          <t>2020-04-03 01:38:16</t>
        </is>
      </c>
      <c r="H1469" t="inlineStr"/>
    </row>
    <row r="1470">
      <c r="A1470" t="inlineStr">
        <is>
          <t>fug1uh</t>
        </is>
      </c>
      <c r="B1470" t="inlineStr">
        <is>
          <t>Anxiety</t>
        </is>
      </c>
      <c r="C1470" t="inlineStr">
        <is>
          <t>Hey all, my dad is an ophthalmologist and he's the best -- he realizes people are still having eye emergencies and need people to care for them. And while he's no longer doing surgery and his days are cut much shorter, he is still going into the office and treating patients. He is wearing a mask and gloves, but I am just beyond terrified of him contracting COVID-19. He expects his work to slow down even more, but I'm just so scared, and telehealth is pretty hard for eye care, as I'm sure you all know. Does anyone have any advice, or can someone offer me support? I know he loves working and wants to make money and help others but I also want him to care for himself.</t>
        </is>
      </c>
      <c r="D1470" t="n">
        <v>1</v>
      </c>
      <c r="E1470" t="n">
        <v>5</v>
      </c>
      <c r="F1470">
        <f>HYPERLINK("https://www.reddit.com/r/eyetriage/comments/fug1uh/anxiety/")</f>
        <v/>
      </c>
      <c r="G1470" t="inlineStr">
        <is>
          <t>2020-04-03 13:40:48</t>
        </is>
      </c>
      <c r="H1470" t="inlineStr"/>
    </row>
    <row r="1471">
      <c r="A1471" t="inlineStr">
        <is>
          <t>fugfaw</t>
        </is>
      </c>
      <c r="B1471" t="inlineStr">
        <is>
          <t>Aching eyes/blurry washed out vision</t>
        </is>
      </c>
      <c r="C1471" t="inlineStr">
        <is>
          <t>Hi,
I have health anxiety and OCD and unfortunately this has been focused on my eyes recently...
Today I’ve been looking from side to side for extended periods and holding my eyes in that outward position for several seconds.
My eye muscles now feel quite sore and I have what feels like a bit blurred/washed out vision.
Will I have done any serious damage to my eye muscles by doing this or could it effect my vision?</t>
        </is>
      </c>
      <c r="D1471" t="n">
        <v>1</v>
      </c>
      <c r="E1471" t="n">
        <v>1</v>
      </c>
      <c r="F1471">
        <f>HYPERLINK("https://www.reddit.com/r/eyetriage/comments/fugfaw/aching_eyesblurry_washed_out_vision/")</f>
        <v/>
      </c>
      <c r="G1471" t="inlineStr">
        <is>
          <t>2020-04-03 14:02:04</t>
        </is>
      </c>
      <c r="H1471" t="inlineStr"/>
    </row>
    <row r="1472">
      <c r="A1472" t="inlineStr">
        <is>
          <t>fuhbdg</t>
        </is>
      </c>
      <c r="B1472" t="inlineStr">
        <is>
          <t>Temporary drooping eye/ptosis?</t>
        </is>
      </c>
      <c r="C1472" t="inlineStr">
        <is>
          <t>Hello! I was wondering if anyone out there has any knowledge about what might cause a temporary drooping eye lid. It has happened a few times, usually several months apart but sometimes I wake up with temporary drooping lid in my right eye. It is very noticeable physically, and I am certain it’s not just swelling. It looks droopy and the eyelid looks larger than the other, it feels like I can’t get my eye to open as normal. I’ve researched ptosis however most of the information i have found is about more permanent or genetic ptosis. My eye will droop for maybe 30min, then gradually go back to normal. I asked my normal doctor, she didn’t have a clue, just said “that’s not too normal...”
Anyone have an idea why this could occur suddenly and then go away?</t>
        </is>
      </c>
      <c r="D1472" t="n">
        <v>1</v>
      </c>
      <c r="E1472" t="n">
        <v>9</v>
      </c>
      <c r="F1472">
        <f>HYPERLINK("https://www.reddit.com/r/eyetriage/comments/fuhbdg/temporary_drooping_eyeptosis/")</f>
        <v/>
      </c>
      <c r="G1472" t="inlineStr">
        <is>
          <t>2020-04-03 14:51:37</t>
        </is>
      </c>
      <c r="H1472" t="inlineStr"/>
    </row>
    <row r="1473">
      <c r="A1473" t="inlineStr">
        <is>
          <t>ful9y8</t>
        </is>
      </c>
      <c r="B1473" t="inlineStr">
        <is>
          <t>Contact gets blurry in only one eye.</t>
        </is>
      </c>
      <c r="C1473" t="inlineStr">
        <is>
          <t>I have a problem with contacts where my left eye always gets blurry. I've never had an issue with my right. I'd say within the hour of putting my contacts in this happens I try rewetting drops and it'll sometimes work so I'm not sure if its a dry eye issue. I called my ophthalmologist and they recommended using pataday, but I don't have any allergy symptoms such as itching or redness. I'm currently wearing night and days, but have had this issue with other contacts.</t>
        </is>
      </c>
      <c r="D1473" t="n">
        <v>1</v>
      </c>
      <c r="E1473" t="n">
        <v>5</v>
      </c>
      <c r="F1473">
        <f>HYPERLINK("https://www.reddit.com/r/eyetriage/comments/ful9y8/contact_gets_blurry_in_only_one_eye/")</f>
        <v/>
      </c>
      <c r="G1473" t="inlineStr">
        <is>
          <t>2020-04-03 18:56:40</t>
        </is>
      </c>
      <c r="H1473" t="inlineStr"/>
    </row>
    <row r="1474">
      <c r="A1474" t="inlineStr">
        <is>
          <t>fumsm0</t>
        </is>
      </c>
      <c r="B1474" t="inlineStr">
        <is>
          <t>Blocked oil gland?</t>
        </is>
      </c>
      <c r="C1474" t="inlineStr">
        <is>
          <t>There's a small yellowish spot at the inside corner of my lower eyelid, only visible if I pull my eyelid down. Are my meibomian glands blocked?</t>
        </is>
      </c>
      <c r="D1474" t="n">
        <v>1</v>
      </c>
      <c r="E1474" t="n">
        <v>11</v>
      </c>
      <c r="F1474">
        <f>HYPERLINK("https://www.reddit.com/r/eyetriage/comments/fumsm0/blocked_oil_gland/")</f>
        <v/>
      </c>
      <c r="G1474" t="inlineStr">
        <is>
          <t>2020-04-03 20:45:31</t>
        </is>
      </c>
      <c r="H1474" t="inlineStr"/>
    </row>
    <row r="1475">
      <c r="A1475" t="inlineStr">
        <is>
          <t>fuw89x</t>
        </is>
      </c>
      <c r="B1475" t="inlineStr">
        <is>
          <t>When looking left or right i get this pain</t>
        </is>
      </c>
      <c r="C1475" t="inlineStr">
        <is>
          <t>Hey was just hoping to try and get some answers if possible. It isnt my vision being affected but whenever i look left or right i get this pain for a second then it just goes away. I get this pain even when slightly looking either way. Dont know if its all the screen time i being getting because of COVID-19. Thanks in advance for any help!</t>
        </is>
      </c>
      <c r="D1475" t="n">
        <v>1</v>
      </c>
      <c r="E1475" t="n">
        <v>6</v>
      </c>
      <c r="F1475">
        <f>HYPERLINK("https://www.reddit.com/r/eyetriage/comments/fuw89x/when_looking_left_or_right_i_get_this_pain/")</f>
        <v/>
      </c>
      <c r="G1475" t="inlineStr">
        <is>
          <t>2020-04-04 09:08:02</t>
        </is>
      </c>
      <c r="H1475" t="inlineStr"/>
    </row>
    <row r="1476">
      <c r="A1476" t="inlineStr">
        <is>
          <t>fuzcoi</t>
        </is>
      </c>
      <c r="B1476" t="inlineStr">
        <is>
          <t>Waking up with blurry vision/dark spots...</t>
        </is>
      </c>
      <c r="C1476" t="inlineStr">
        <is>
          <t>Posting from a throwaway because I'm embarrassed.
For the past few weeks, I (24 F) have been waking up, from both sleeping and naps, with very blurry vision. It affects both my close-up and far-away vision, and while the close-up typically comes back into better focus in 15-30 minutes, the further-away takes a few hours to return completely to normal (which is pretty close to perfect...I'm slightly far-sighted and wear glasses for screen work.) No amount of blinking, rubbing, or using eye drops speeds this process up. In addition, when I look up or down without moving my head, I initially see dark spots in the middle edge (top or bottom, depending if I'm looking up or down) of my vision, but that stops happening about as fast as the close-up comes back into focus. Lastly, I have rainbow-y starbursting (is that a word?) around very bright lights (like headlights, streetlights, etc.) when I look at them without my glasses/window in between. That said, I'm not feeling any pain.
I use eye drops occasionally for allergic dry eyes, but I'm not having issues of itching/pain with that at the moment. No family history of vision issues that I know of. Any ideas? Is this an emergency in the time of COVID-19?</t>
        </is>
      </c>
      <c r="D1476" t="n">
        <v>1</v>
      </c>
      <c r="E1476" t="n">
        <v>4</v>
      </c>
      <c r="F1476">
        <f>HYPERLINK("https://www.reddit.com/r/eyetriage/comments/fuzcoi/waking_up_with_blurry_visiondark_spots/")</f>
        <v/>
      </c>
      <c r="G1476" t="inlineStr">
        <is>
          <t>2020-04-04 12:07:51</t>
        </is>
      </c>
      <c r="H1476" t="inlineStr"/>
    </row>
    <row r="1477">
      <c r="A1477" t="inlineStr">
        <is>
          <t>fvagod</t>
        </is>
      </c>
      <c r="B1477" t="inlineStr">
        <is>
          <t>Should I see a doctor soon or wait? Eyesight dramatically changed in one eye and floaters</t>
        </is>
      </c>
      <c r="C1477" t="inlineStr">
        <is>
          <t>Background story- I was in Bolivia and decided to get the yellow fever vaccine and that’s when everything started for me. I had an allergic reaction to the vaccine and had to get 1mg of epinephrine injection in my vein. The next 2 days I had horrible headaches when I tried to strain I would sweat and feel nauseous. The headaches would last about 10 min and go away but they were pretty bad. About 5 days later I broke out in hives again and was given an intramuscular injection of cortisone. Next day I had another bad headache but this time it lingered for about 3 days but it was not that painful. One day I woke up and I noticed my eyesight in my left eye was off, had a tingling sensation on the left side of my check, and then felt nauseous. The next day I woke up and the tingling sensation went up to my eye.. so I went to the ER in (Cusco) and they said it was stress related and I had a bacterial infection. 2 days later I come back to the US. I made and eye appointment and then it was cancelled later that week because of Covid-19. I decided to just deal with my eye sight being off in the meantime but I feel like it’s getting worse. I feel a bit dizzy if I walk outside because I feel like both my eyes are working differently. I laid down on the grass today and looked at the sky and noticed little things flickering... which scared me because I’ve never experienced that before. So I’m not sure if I should make an urgent appointment or sit this out for another month or so?
- Left eye feels blurry/ off. I feel like it’s getting worse
- left eye feels heavy when I move my eye 
- Blurriness only in the distance not close
- I am near-sided -4.5 in both eyes and have been for ~10ys
- Saw eye floaters when I looked in the sky
- can’t walk without getting a bit dizzy due to the changes in my vision
Thanks for reading!!</t>
        </is>
      </c>
      <c r="D1477" t="n">
        <v>1</v>
      </c>
      <c r="E1477" t="n">
        <v>3</v>
      </c>
      <c r="F1477">
        <f>HYPERLINK("https://www.reddit.com/r/eyetriage/comments/fvagod/should_i_see_a_doctor_soon_or_wait_eyesight/")</f>
        <v/>
      </c>
      <c r="G1477" t="inlineStr">
        <is>
          <t>2020-04-05 01:20:58</t>
        </is>
      </c>
      <c r="H1477" t="inlineStr"/>
    </row>
    <row r="1478">
      <c r="A1478" t="inlineStr">
        <is>
          <t>fvb3h6</t>
        </is>
      </c>
      <c r="B1478" t="inlineStr">
        <is>
          <t>Shaky sight when exposed to bright light</t>
        </is>
      </c>
      <c r="C1478" t="inlineStr">
        <is>
          <t>With the current covid-19 situation I'm a bit hesitant of going to see a doctor in person, so I thought it would be interesting to check if anyone has ever seen this happen...
When looking at a bright scenery, whether it be due to daylight or a lamp, with my left eye closed, my vision seems "shaky". This only happens with my right eye, and it seems that most of the shaking is "cancelled" if I keep both eyes open. But it is very noticeable if I close my left eye. 
I can't tell exactly how long this has been happening because for a while I had a twitchy eyelid, but this has stopped since I started taking anxiety medication. However, now that the twitch has stopped and my sight is still shaky, I'm a bit worried. 
Anyone got a clue?</t>
        </is>
      </c>
      <c r="D1478" t="n">
        <v>1</v>
      </c>
      <c r="E1478" t="n">
        <v>4</v>
      </c>
      <c r="F1478">
        <f>HYPERLINK("https://www.reddit.com/r/eyetriage/comments/fvb3h6/shaky_sight_when_exposed_to_bright_light/")</f>
        <v/>
      </c>
      <c r="G1478" t="inlineStr">
        <is>
          <t>2020-04-05 02:24:33</t>
        </is>
      </c>
      <c r="H1478" t="inlineStr"/>
    </row>
    <row r="1479">
      <c r="A1479" t="inlineStr">
        <is>
          <t>fvgrn7</t>
        </is>
      </c>
      <c r="B1479" t="inlineStr">
        <is>
          <t>Patient needing Chalazion advice!</t>
        </is>
      </c>
      <c r="C1479" t="inlineStr">
        <is>
          <t>[pic](https://imgur.com/a/o5Lns83)
Hi all! I’m looking for advice about a chalazion ive been dealing with, and since I can’t go to an office at the moment due to covid, I thought I’d come here. 
Around Christmas 2019 I developed a stye- swollen eyelid and all. I went to an eye doctor straight away who gave me antibiotics (doxy) and I did warm compresses as well as started taking fish oil. Despite my efforts, it still turned into a chalazion. It is not the worst chalazion in the world but it makes me self conscious. I plan to get it taken care of once offices start opening but I’m so confused about which methods are best: Excision VS steroid injection VS IPL. I am most interested in IPL but I’m wondering why it’s not used for chalazion more often.</t>
        </is>
      </c>
      <c r="D1479" t="n">
        <v>1</v>
      </c>
      <c r="E1479" t="n">
        <v>1</v>
      </c>
      <c r="F1479">
        <f>HYPERLINK("https://www.reddit.com/r/eyetriage/comments/fvgrn7/patient_needing_chalazion_advice/")</f>
        <v/>
      </c>
      <c r="G1479" t="inlineStr">
        <is>
          <t>2020-04-05 09:43:07</t>
        </is>
      </c>
      <c r="H1479" t="inlineStr"/>
    </row>
    <row r="1480">
      <c r="A1480" t="inlineStr">
        <is>
          <t>fvj0z9</t>
        </is>
      </c>
      <c r="B1480" t="inlineStr">
        <is>
          <t>Woke up today seeing floaters</t>
        </is>
      </c>
      <c r="C1480" t="inlineStr">
        <is>
          <t>I woke up today and look at my white ceiling from my bed. I saw a bunch of floaters and they move as my eyes move. My eyes also have been red for the last few months. should I be worried?</t>
        </is>
      </c>
      <c r="D1480" t="n">
        <v>1</v>
      </c>
      <c r="E1480" t="n">
        <v>7</v>
      </c>
      <c r="F1480">
        <f>HYPERLINK("https://www.reddit.com/r/eyetriage/comments/fvj0z9/woke_up_today_seeing_floaters/")</f>
        <v/>
      </c>
      <c r="G1480" t="inlineStr">
        <is>
          <t>2020-04-05 11:53:17</t>
        </is>
      </c>
      <c r="H1480" t="inlineStr"/>
    </row>
    <row r="1481">
      <c r="A1481" t="inlineStr">
        <is>
          <t>fvtixp</t>
        </is>
      </c>
      <c r="B1481" t="inlineStr">
        <is>
          <t>Yellow eyes</t>
        </is>
      </c>
      <c r="C1481" t="inlineStr">
        <is>
          <t>Yellow eyes
Yesterday I forgot to take out my contact lenses before I went to sleep. I took them out and wore glasses for a few hours and then put contacts in again. As I was taking them out for the night, I noticed that the area that my contact wasn’t covering was whiter than the rest of my eye. It’s been I think it’s been 15-20 minutes since i noticed and now it seems the majority of my eyes are yellow.
What does this mean and how can it be treated? Is it serious enough to contact someone at the moment or wait until the morning?</t>
        </is>
      </c>
      <c r="D1481" t="n">
        <v>1</v>
      </c>
      <c r="E1481" t="n">
        <v>11</v>
      </c>
      <c r="F1481">
        <f>HYPERLINK("https://www.reddit.com/r/eyetriage/comments/fvtixp/yellow_eyes/")</f>
        <v/>
      </c>
      <c r="G1481" t="inlineStr">
        <is>
          <t>2020-04-05 23:21:49</t>
        </is>
      </c>
      <c r="H1481" t="inlineStr"/>
    </row>
    <row r="1482">
      <c r="A1482" t="inlineStr">
        <is>
          <t>fw1t3r</t>
        </is>
      </c>
      <c r="B1482" t="inlineStr">
        <is>
          <t>Lower portion of vision flickers sometimes when I look down</t>
        </is>
      </c>
      <c r="C1482" t="inlineStr">
        <is>
          <t>I am a bit farsighted but have otherwise good vision, 21 years old. I also have a lot of ligamentous laxity in my upper neck due to joint hypermobility syndrome coupled with a whiplash injury, which I'll explain why I think might be relevant. 
I spend a good amount of time (especially lately, quarantine and all) sitting on the couch with my laptop on my lap and often going back and forth between looking down at the laptop and up at the TV screen. 
This doesn't happen unless I've been sitting for at least an hour or so and developed a bit of neck stiffness (which isn't unordinary), but sometimes when I look back down to my laptop, some of the lower portion of my vision (mostly in the left side and far below what I'm looking at) flickers rapidly for just a second or two. When I say "flicker" I mean there's kind of an overlay of blueish(?) light, it's hard to imagine the color. It kind of fades away instead of ending abruptly.
The reason I think the neck issues might be a factor is because something very similar was happening when I had my eyes closed, trying to sleep the first few nights after the neck injury. It was a lot worse and actually kept me awake because it kept starting + fading away repeatedly, and was really noticeable over the darkness of my eyelids. I don't remember it happening before the injury either. If I had to guess I would think it's related to my suboccipital muscles. Is there a name for this?</t>
        </is>
      </c>
      <c r="D1482" t="n">
        <v>1</v>
      </c>
      <c r="E1482" t="n">
        <v>2</v>
      </c>
      <c r="F1482">
        <f>HYPERLINK("https://www.reddit.com/r/eyetriage/comments/fw1t3r/lower_portion_of_vision_flickers_sometimes_when_i/")</f>
        <v/>
      </c>
      <c r="G1482" t="inlineStr">
        <is>
          <t>2020-04-06 09:29:03</t>
        </is>
      </c>
      <c r="H1482" t="inlineStr"/>
    </row>
    <row r="1483">
      <c r="A1483" t="inlineStr">
        <is>
          <t>fw34o8</t>
        </is>
      </c>
      <c r="B1483" t="inlineStr">
        <is>
          <t>Poked my eye, pain when looking to the side</t>
        </is>
      </c>
      <c r="C1483" t="inlineStr">
        <is>
          <t>Hello, 
earlier this day I accidentally poked my left eye with thumb while trying to move hair out of my face. The eye looks completely normal, there is no bleeding, redness, watering of the eye and the vision is, for now, normal. However, I feel pain only when I look to the left side, the area between my eye and eyebrow is kinda sore and I feel some pressure above that eye. I've also had a big chalazion on this eye for months (that I plan to remove surgically), so I don't know if the pain is worse because of that. Due to the Covid19, the hospital in my town is closed for all except the emergency cases, so this happened at the worst possible time. Do you think this is dangerous and should I contact the hospital? Thanks</t>
        </is>
      </c>
      <c r="D1483" t="n">
        <v>1</v>
      </c>
      <c r="E1483" t="n">
        <v>2</v>
      </c>
      <c r="F1483">
        <f>HYPERLINK("https://www.reddit.com/r/eyetriage/comments/fw34o8/poked_my_eye_pain_when_looking_to_the_side/")</f>
        <v/>
      </c>
      <c r="G1483" t="inlineStr">
        <is>
          <t>2020-04-06 10:38:40</t>
        </is>
      </c>
      <c r="H1483" t="inlineStr"/>
    </row>
    <row r="1484">
      <c r="A1484" t="inlineStr">
        <is>
          <t>fw6ktc</t>
        </is>
      </c>
      <c r="B1484" t="inlineStr">
        <is>
          <t>Idiopathic CNV Question</t>
        </is>
      </c>
      <c r="C1484" t="inlineStr">
        <is>
          <t>Idiopathic CNV
I was on an ophthalmology rotation a month or so ago before everything stalled and saw idiopathic cnv. Patient was 23 year old male. White. Normal BMI. Complained of a blurry spot in the right eye for a month. No other symptoms. Never had this before and has no family history of macular degeneration.
PMH: migraines,alopecia of the beard
FH: late onset lupus grandmother, dad MS
Meds:None  
ROS: blurry vision right eye all else negative 
Slit lamp should peripapillary membrane. Nothing else abnormal according to the doc. 
OCT: obvious fluid. 
Vision: 20/20 both eyes
Lab: Ana,CBC,cmp,toxoplasmosis,syphillus all negative or within normal limits. 
He was treated with avastin and when he returned three weeks later is was resolved. He only complained of a smaller blurry spot than before. OCT showed fluid had almost completely resolved and fibrosis was occurring. Vision still 20/20 both eyes. 
My question is as I find this disease fascinating from what I have read is what’s the long term outcome? Why would this even happen?
All the studies I have seen are positive good long term results with retained vision and most without reoccurrence. Just wondering if anyone else has had experience in this as I’d like to learn more.</t>
        </is>
      </c>
      <c r="D1484" t="n">
        <v>1</v>
      </c>
      <c r="E1484" t="n">
        <v>5</v>
      </c>
      <c r="F1484">
        <f>HYPERLINK("https://www.reddit.com/r/eyetriage/comments/fw6ktc/idiopathic_cnv_question/")</f>
        <v/>
      </c>
      <c r="G1484" t="inlineStr">
        <is>
          <t>2020-04-06 13:41:08</t>
        </is>
      </c>
      <c r="H1484" t="inlineStr"/>
    </row>
    <row r="1485">
      <c r="A1485" t="inlineStr">
        <is>
          <t>fw8vug</t>
        </is>
      </c>
      <c r="B1485" t="inlineStr">
        <is>
          <t>New to contacts, looking for best vision at 2 meters</t>
        </is>
      </c>
      <c r="C1485" t="inlineStr">
        <is>
          <t>Hello,
As you know, I can't visit my normal eye doctor right now.  I have never worn contacts but might want some to use a VR headset without glasses that is focused at 2 meters.  I am interested in the best possible vision money aside.
Right now I have 2 prescriptions, the "general" prescription:
|Eye|Sphere|Cyl|Axis|
|:-|:-|:-|:-|
|OD|\-1.25|null|null|
|OS|\-1.25|\-0.75|078|
And my distance 1 meter prescription that I wear programming computers at work:
|Eye|Sphere|Cyl|Axis|
|:-|:-|:-|:-|
|OD|\-0.50|null|null|
|OS|\-0.50|\-0.75|078|
So wearing the headset with no glasses my right eye I can't tell a difference difference with and without the glasses.  My left eye seems to do best with the "general" prescription, but is still better using the "1m" prescription, and without is a little blurry.
Question 1:  
Do you use the same information for contacts?  Should I only use one for my left eye?  There are so many brands, do you recommend a certain brand for dry eyes?
Question 2:  
Would it be crazy to make up my own prescription for 2m focus like guessing Sphere -0.75 or -1.0?  If in doubt I could just stick to the general one.</t>
        </is>
      </c>
      <c r="D1485" t="n">
        <v>1</v>
      </c>
      <c r="E1485" t="n">
        <v>0</v>
      </c>
      <c r="F1485">
        <f>HYPERLINK("https://www.reddit.com/r/eyetriage/comments/fw8vug/new_to_contacts_looking_for_best_vision_at_2/")</f>
        <v/>
      </c>
      <c r="G1485" t="inlineStr">
        <is>
          <t>2020-04-06 15:52:54</t>
        </is>
      </c>
      <c r="H1485" t="inlineStr"/>
    </row>
    <row r="1486">
      <c r="A1486" t="inlineStr">
        <is>
          <t>fwau89</t>
        </is>
      </c>
      <c r="B1486" t="inlineStr">
        <is>
          <t>Enquiring about guided laser lasic</t>
        </is>
      </c>
      <c r="C1486" t="inlineStr">
        <is>
          <t>Don't have any medical background. Heard that guided laser lasic is better than ordinary lasic. Would like to enlist in the army someday but don't have perfect eyesight (astigmatism+power), so compatible branches are limited. I was told that that after ordinary lasic, heavy physical labour is discouraged. But is this new guided laser technique able to correct my eyesight  (if not perfect eyesight, at least make me eligible to join more branches in army) without restricting heavy physical labour as in the army?</t>
        </is>
      </c>
      <c r="D1486" t="n">
        <v>1</v>
      </c>
      <c r="E1486" t="n">
        <v>1</v>
      </c>
      <c r="F1486">
        <f>HYPERLINK("https://www.reddit.com/r/eyetriage/comments/fwau89/enquiring_about_guided_laser_lasic/")</f>
        <v/>
      </c>
      <c r="G1486" t="inlineStr">
        <is>
          <t>2020-04-06 17:53:04</t>
        </is>
      </c>
      <c r="H1486" t="inlineStr"/>
    </row>
    <row r="1487">
      <c r="A1487" t="inlineStr">
        <is>
          <t>fwbrob</t>
        </is>
      </c>
      <c r="B1487" t="inlineStr">
        <is>
          <t>EMERGENCY! Potential Retinal Detachment Case in NYC..Coronavirus, no insurance</t>
        </is>
      </c>
      <c r="C1487" t="inlineStr">
        <is>
          <t xml:space="preserve"> Hello All, thanks for taking the time to read this. Two days ago, I was playing throw catch with my mother in our backyard due to the coronavirus. my mom could not catch the ball and the ball hit the side of her head (58 years old). For the past two days, she has been experiencing sudden floaters, headaches, and white flashes. Googled her symptoms and it sounds like retinal detachment. Unfortunately due to the coronavirus, many offices are closed. To make matters worse, she does not have health insurance....Would like some advice and try to assess how urgent this is. Going to the ER is also risky due to the current state the world is in and wait time.  Asking for Patient</t>
        </is>
      </c>
      <c r="D1487" t="n">
        <v>1</v>
      </c>
      <c r="E1487" t="n">
        <v>7</v>
      </c>
      <c r="F1487">
        <f>HYPERLINK("https://www.reddit.com/r/eyetriage/comments/fwbrob/emergency_potential_retinal_detachment_case_in/")</f>
        <v/>
      </c>
      <c r="G1487" t="inlineStr">
        <is>
          <t>2020-04-06 18:53:55</t>
        </is>
      </c>
      <c r="H1487" t="inlineStr"/>
    </row>
    <row r="1488">
      <c r="A1488" t="inlineStr">
        <is>
          <t>fwefqz</t>
        </is>
      </c>
      <c r="B1488" t="inlineStr">
        <is>
          <t>**HELP** please</t>
        </is>
      </c>
      <c r="C1488" t="inlineStr">
        <is>
          <t>I'm a massive hypochondria, in the past I've done things like call a ambulance cause I thought I had a stomach rupture but it turned out I had just over eaten. (My mum made me call them back and tell them it wasn't needed) I've had the flu and thought I had a brain tumour. I've had a ulsa and thought I had mouth cancer. But the past few days have been the worst a couple nights ago I had a funny feeling in my eye which has been on and of and I read about symptoms to glaucoma and new I didn't have it because I didn't have any vision loss. then I went to sleep woke up and and I swear I feel like I've lost part of my peripheral vision. I'm trying to convince my self its all in my head but its hard especially when my eye starts feeling funny. But I don't know for sure if I have lost my peripheral vision or if I'm imaging it usually I would just go to a ophthalmologists so they can tell me whats wrong and if I should panic or if I should relax But I can't because everywhere is closed. I'm really freaking out and any suggestions would help a lot (My eyes not actually hurting it just feels weird.)</t>
        </is>
      </c>
      <c r="D1488" t="n">
        <v>1</v>
      </c>
      <c r="E1488" t="n">
        <v>2</v>
      </c>
      <c r="F1488">
        <f>HYPERLINK("https://www.reddit.com/r/eyetriage/comments/fwefqz/help_please/")</f>
        <v/>
      </c>
      <c r="G1488" t="inlineStr">
        <is>
          <t>2020-04-06 22:01:14</t>
        </is>
      </c>
      <c r="H1488" t="inlineStr"/>
    </row>
    <row r="1489">
      <c r="A1489" t="inlineStr">
        <is>
          <t>fwlp80</t>
        </is>
      </c>
      <c r="B1489" t="inlineStr">
        <is>
          <t>Stye or periorbital cellulitis?</t>
        </is>
      </c>
      <c r="C1489" t="inlineStr">
        <is>
          <t>The area around my lower lash line started feeling a bit sore last night (thought it was a stye coming in) but I woke up this morning with the whole area under my eye swollen (looks like a big eye bag). 
It feels sore only in a spot near the lash line (especially if I touch it), I can feel/see it's puffy from my eye, it's generally uncomfortable.
It's day one and it's not swollen shut, I don't have a fever at the moment, nothing is leaking, my upper lid is normal, and my eye isn't red. I have dark circles but not eyebags so this much puffiness under my eye isn't normal for me.
I'm so worried it might be periorbital cellulitis because a mandatory doctor visit right now feels like a death sentence. My city is expected to reach COVID peak within the next few days. Any suggestions would be appreciated...</t>
        </is>
      </c>
      <c r="D1489" t="n">
        <v>1</v>
      </c>
      <c r="E1489" t="n">
        <v>2</v>
      </c>
      <c r="F1489">
        <f>HYPERLINK("https://www.reddit.com/r/eyetriage/comments/fwlp80/stye_or_periorbital_cellulitis/")</f>
        <v/>
      </c>
      <c r="G1489" t="inlineStr">
        <is>
          <t>2020-04-07 07:43:44</t>
        </is>
      </c>
      <c r="H1489" t="inlineStr"/>
    </row>
    <row r="1490">
      <c r="A1490" t="inlineStr">
        <is>
          <t>fwnqfl</t>
        </is>
      </c>
      <c r="B1490" t="inlineStr">
        <is>
          <t>I just had last surgery for glaucoma yesterday</t>
        </is>
      </c>
      <c r="C1490" t="inlineStr">
        <is>
          <t>They took patch off this morning and I picked up prednisone drops.  My eye is really red and hurts.  I'm laying in bed. I started falling asleep.  What can I do to help pass the time without straining at my phone or reading a book. I couldn't sleep last night because too many naps.</t>
        </is>
      </c>
      <c r="D1490" t="n">
        <v>1</v>
      </c>
      <c r="E1490" t="n">
        <v>2</v>
      </c>
      <c r="F1490">
        <f>HYPERLINK("https://www.reddit.com/r/eyetriage/comments/fwnqfl/i_just_had_last_surgery_for_glaucoma_yesterday/")</f>
        <v/>
      </c>
      <c r="G1490" t="inlineStr">
        <is>
          <t>2020-04-07 09:40:07</t>
        </is>
      </c>
      <c r="H1490" t="inlineStr"/>
    </row>
    <row r="1491">
      <c r="A1491" t="inlineStr">
        <is>
          <t>fwvzcu</t>
        </is>
      </c>
      <c r="B1491" t="inlineStr">
        <is>
          <t>Floaters pvd pterygium</t>
        </is>
      </c>
      <c r="C1491" t="inlineStr">
        <is>
          <t>I see spider web pattern around light at night or in dark sometimes. Is it always related to detachment. I used to see them during my childhood too. But now they are more common. I am 25 now. Beside that I have a lot of floaters. I have had my pupils dilated twice and they didn't thought it was serious. Its been more than a year now that I have them. I know we are gonna have more and more of them as we age. Am at at risk of something serious in the future as I have a lot of them at this age? I used to work as a software engineer and had left the job due to this. Now I want to get back to the job but I am quite worried about my eyes.
I visited a doctor as my eyes were turning red lately and it looks like there's a jell like layer over the white that's seems to have grown from the corner of the eyes. He told me not to worry about pterygium and prescribed reflur and refresh tears instead.
So my question are:
 1.It all started with dry eyes and twitches. Does dry eyes causes floaters and pterygium? 
2.Does floaters at young age lead to any complications later?
3.Are pterygium genetic? My mom had them removed from the same doctor I mentioned above. 
4.(Based on internet search) I came to know that pterygium are result of exposure to sunlight and uvrays. If the light emitted by digital devices are similar enough to UV rays  to break your sleep cycle and melatonin productions, can they also lead to pterygium??
I am going to see a doctor again after this pandemic.</t>
        </is>
      </c>
      <c r="D1491" t="n">
        <v>1</v>
      </c>
      <c r="E1491" t="n">
        <v>1</v>
      </c>
      <c r="F1491">
        <f>HYPERLINK("https://www.reddit.com/r/eyetriage/comments/fwvzcu/floaters_pvd_pterygium/")</f>
        <v/>
      </c>
      <c r="G1491" t="inlineStr">
        <is>
          <t>2020-04-07 17:15:40</t>
        </is>
      </c>
      <c r="H1491" t="inlineStr"/>
    </row>
    <row r="1492">
      <c r="A1492" t="inlineStr">
        <is>
          <t>fwwngt</t>
        </is>
      </c>
      <c r="B1492" t="inlineStr">
        <is>
          <t>My dad is an ophthalmologist and is shutting down his practice. Besides telehealth, what are other online opportunities for him?</t>
        </is>
      </c>
      <c r="C1492" t="inlineStr">
        <is>
          <t>Are there websites where he can tutor students in residency, or other things like that? He already does some research surveys. Any and ALL ideas welcome! (Also would love advice/insight into telehealth)</t>
        </is>
      </c>
      <c r="D1492" t="n">
        <v>1</v>
      </c>
      <c r="E1492" t="n">
        <v>9</v>
      </c>
      <c r="F1492">
        <f>HYPERLINK("https://www.reddit.com/r/eyetriage/comments/fwwngt/my_dad_is_an_ophthalmologist_and_is_shutting_down/")</f>
        <v/>
      </c>
      <c r="G1492" t="inlineStr">
        <is>
          <t>2020-04-07 17:58:07</t>
        </is>
      </c>
      <c r="H1492" t="inlineStr"/>
    </row>
    <row r="1493">
      <c r="A1493" t="inlineStr">
        <is>
          <t>fx0rbu</t>
        </is>
      </c>
      <c r="B1493" t="inlineStr">
        <is>
          <t>Orbs in corner of eye?</t>
        </is>
      </c>
      <c r="C1493" t="inlineStr">
        <is>
          <t>So I’m 16 with -6.00 and -6.25 prescriptions. Been wearing glasses since the 1st/2nd grade and have always seen floaters. Lately I’ve noticed that occasionally a small white “orb” will appear in the corner of either eye, float up alongside my edge of vision, and disappear. Sometimes it’ll go down and then appear. I can also see this with my eyes closed. This has been happening for maybe a week or two and I’m not sure if it’s just another floater or something I should tell my parents about. Any help is greatly appreciated! Stay safe everyone!</t>
        </is>
      </c>
      <c r="D1493" t="n">
        <v>1</v>
      </c>
      <c r="E1493" t="n">
        <v>2</v>
      </c>
      <c r="F1493">
        <f>HYPERLINK("https://www.reddit.com/r/eyetriage/comments/fx0rbu/orbs_in_corner_of_eye/")</f>
        <v/>
      </c>
      <c r="G1493" t="inlineStr">
        <is>
          <t>2020-04-07 22:49:31</t>
        </is>
      </c>
      <c r="H1493" t="inlineStr"/>
    </row>
    <row r="1494">
      <c r="A1494" t="inlineStr">
        <is>
          <t>fx1v0c</t>
        </is>
      </c>
      <c r="B1494" t="inlineStr">
        <is>
          <t>Should I buy Refresh Pm or Gelteal Drops?</t>
        </is>
      </c>
      <c r="C1494" t="inlineStr">
        <is>
          <t>I have often dry eyes mostly because I play video games(well I don't really have anything else to do with the quarantine except exercise which takes me 2 hours but still I play many hours). I wake up with irritated eyes and a little red in the morning but during they day it become worse. Especially at night I feel them very dry. I don't know if this is caused from the excessive water use in my eye thinking that water can help, but water relieves for some time and later my eyes become more dry! Also I scratched them often lately and I thing that they are irritated now because of that. Normally arent like this. Anyway I wanted to try something that maybe can help my problem for these days. Should I go for refresh pm(oilment) or gel teal(drops)? Which is better for a mild dry and burning eye? Also I don't want my eye to stop producing these ingredients(if that's a thing in ophthalmology). Should I go for oilment or drops? Also I don't know if this is important but I have a little bit raised ocular pressure (19-20), do these increase pressure?</t>
        </is>
      </c>
      <c r="D1494" t="n">
        <v>1</v>
      </c>
      <c r="E1494" t="n">
        <v>4</v>
      </c>
      <c r="F1494">
        <f>HYPERLINK("https://www.reddit.com/r/eyetriage/comments/fx1v0c/should_i_buy_refresh_pm_or_gelteal_drops/")</f>
        <v/>
      </c>
      <c r="G1494" t="inlineStr">
        <is>
          <t>2020-04-08 00:16:43</t>
        </is>
      </c>
      <c r="H1494" t="inlineStr"/>
    </row>
    <row r="1495">
      <c r="A1495" t="inlineStr">
        <is>
          <t>fxadt7</t>
        </is>
      </c>
      <c r="B1495" t="inlineStr">
        <is>
          <t>Spot in vision</t>
        </is>
      </c>
      <c r="C1495" t="inlineStr">
        <is>
          <t>Yesterday afternoon I began to see this spot in my vision. It reminds me of when you move from a dark to light room or vice versa and you sometimes see spots of colour for a couple minutes. Except this spot isn’t going away. 
It’s less noticeable in dim lighting but still there. The spot itself changes colour depending which room/lighting setting that I’m in. It has been purple, orange, pink and grey.
When I blink I notice it immediately. 
I have had wicked headaches the last several days, a lot of fatigue and little sleep as I had a baby two weeks ago. 
I called my optometrist and she told me to monitor it. 
Any ideas? It’s freaking me out.</t>
        </is>
      </c>
      <c r="D1495" t="n">
        <v>1</v>
      </c>
      <c r="E1495" t="n">
        <v>0</v>
      </c>
      <c r="F1495">
        <f>HYPERLINK("https://www.reddit.com/r/eyetriage/comments/fxadt7/spot_in_vision/")</f>
        <v/>
      </c>
      <c r="G1495" t="inlineStr">
        <is>
          <t>2020-04-08 10:09:45</t>
        </is>
      </c>
      <c r="H1495" t="inlineStr"/>
    </row>
    <row r="1496">
      <c r="A1496" t="inlineStr">
        <is>
          <t>fxeq1b</t>
        </is>
      </c>
      <c r="B1496" t="inlineStr">
        <is>
          <t>Felt like I had something in my eye. Upon investigation, discovered a transparent...bubble of some sort in the corner of my eye. [PICTURE ATTACHED]</t>
        </is>
      </c>
      <c r="C1496" t="inlineStr">
        <is>
          <t>I discovered this transparent bubble in my eyelid this afternoon. [You can see what it looks like here.](https://imgur.com/a/RzFbALj).
It feels like I have something in my eye in that exact spot, and it's driving me nuts. I had something similar in my other eye, same area but dead center. I pushed on it and it almost looks like it popped and more or less went away. Can't seem to do the same on this one. 
Any idea what this could be? I feel like I've noticed them before, but the pain and irritation is causing me some worry.</t>
        </is>
      </c>
      <c r="D1496" t="n">
        <v>1</v>
      </c>
      <c r="E1496" t="n">
        <v>0</v>
      </c>
      <c r="F1496">
        <f>HYPERLINK("https://www.reddit.com/r/eyetriage/comments/fxeq1b/felt_like_i_had_something_in_my_eye_upon/")</f>
        <v/>
      </c>
      <c r="G1496" t="inlineStr">
        <is>
          <t>2020-04-08 13:57:26</t>
        </is>
      </c>
      <c r="H1496" t="inlineStr"/>
    </row>
    <row r="1497">
      <c r="A1497" t="inlineStr">
        <is>
          <t>fxkzc4</t>
        </is>
      </c>
      <c r="B1497" t="inlineStr">
        <is>
          <t>Clorox wipe liquid went in eye</t>
        </is>
      </c>
      <c r="C1497" t="inlineStr">
        <is>
          <t>While I was taking a Clorox wipe out of the container, the liquid somehow sprayed into my eye. My eye kinda felt like it was burning for a bit so I rinsed it with water. It’s not as bad anymore but it still slightly burns. Is my eye gonna get damaged?</t>
        </is>
      </c>
      <c r="D1497" t="n">
        <v>1</v>
      </c>
      <c r="E1497" t="n">
        <v>7</v>
      </c>
      <c r="F1497">
        <f>HYPERLINK("https://www.reddit.com/r/eyetriage/comments/fxkzc4/clorox_wipe_liquid_went_in_eye/")</f>
        <v/>
      </c>
      <c r="G1497" t="inlineStr">
        <is>
          <t>2020-04-08 20:28:00</t>
        </is>
      </c>
      <c r="H1497" t="inlineStr"/>
    </row>
    <row r="1498">
      <c r="A1498" t="inlineStr">
        <is>
          <t>fxmi3e</t>
        </is>
      </c>
      <c r="B1498" t="inlineStr">
        <is>
          <t>What's wrong with my eyes? 30M</t>
        </is>
      </c>
      <c r="C1498" t="inlineStr">
        <is>
          <t>Hey, I'm Myopic with regular astigmatism,  in the past year I have eye floaters, visited two docs, did an oct scan, corneal topography. mri brain scan and was diagnosed only with PVD (that's explain  the eye floaters). 
but I also have glares, starburst day&amp;amp;night, halos around light sources, white eye discharge daily, decreased night vision, a slight horizontal vision in both eyes (seeing like outer lines of objects, less then a cm) , sometimes itchy eyes, feeling uncomfortable in my eyes (sandy like feeling)  - no doctor could explained it!. 
could the 2 doctors and the optometrist miss early cataracts or dry eye etc?  can it be that the dialed pupil test, slit lamp test, oct scan, corneal topography scan and mri scan couldn't find what i suffer from? first time i visited an eye docs was last march, second time at September and the 3rd and 4th time at October and November. over a year no doc can find what i have -  can it all be  a result of the PVD?
I can't drive at night because of the halos and starburst and glare and all the doctors only dismiss me.</t>
        </is>
      </c>
      <c r="D1498" t="n">
        <v>1</v>
      </c>
      <c r="E1498" t="n">
        <v>3</v>
      </c>
      <c r="F1498">
        <f>HYPERLINK("https://www.reddit.com/r/eyetriage/comments/fxmi3e/whats_wrong_with_my_eyes_30m/")</f>
        <v/>
      </c>
      <c r="G1498" t="inlineStr">
        <is>
          <t>2020-04-08 22:22:13</t>
        </is>
      </c>
      <c r="H1498" t="inlineStr"/>
    </row>
    <row r="1499">
      <c r="A1499" t="inlineStr">
        <is>
          <t>fxpmyo</t>
        </is>
      </c>
      <c r="B1499" t="inlineStr">
        <is>
          <t>Woken up with something underneath my eyelid.</t>
        </is>
      </c>
      <c r="C1499" t="inlineStr">
        <is>
          <t>I'm very sorry if this is something you get very often but I woke up to the feeling of something slipping under my eyelid I believe, I may have remembered it wrong and something may have already been under my eye causing normal discomfort. 
Anyway I got up having experienced this before and have been sat in the bathroom now trying to get  it out from under, I've tried pulling my eyelid up and looking down and around. It keeps moving around my eye but never low enough to be beneath my eyelid. I still used an eye bath to try and flush it out by blinking in it but no luck. My eye has stopped producing tears to help move it like they did when I woke up.
Is there a truck to this? Normally it only takes 20 minutes maximum for whatever was under there to stop feeling so uncomfortable and beginning to feel fed up now.</t>
        </is>
      </c>
      <c r="D1499" t="n">
        <v>1</v>
      </c>
      <c r="E1499" t="n">
        <v>1</v>
      </c>
      <c r="F1499">
        <f>HYPERLINK("https://www.reddit.com/r/eyetriage/comments/fxpmyo/woken_up_with_something_underneath_my_eyelid/")</f>
        <v/>
      </c>
      <c r="G1499" t="inlineStr">
        <is>
          <t>2020-04-09 02:48:02</t>
        </is>
      </c>
      <c r="H1499" t="inlineStr"/>
    </row>
    <row r="1500">
      <c r="A1500" t="inlineStr">
        <is>
          <t>fxv6n2</t>
        </is>
      </c>
      <c r="B1500" t="inlineStr">
        <is>
          <t>Is there a reason why my eyes can’t handle dark mode at all?</t>
        </is>
      </c>
      <c r="C1500" t="inlineStr">
        <is>
          <t>Okay, I know, majority of the population uses dark mode, but I loathe it. If I read something on dark mode for a few minutes, my eyes will start watering. A few more minutes and the letters will be burned into my eyes, and it will be like I’m looking at the world with the alphabet permanently etched in my eyes. A few more minutes and I’ll get a headache. Are my eyes just plain weak, or is this a relatively normal phenomenon with a name and explanation? I’m so tired of being called names just because I use light mode. I just want to know the reason... Thanks.</t>
        </is>
      </c>
      <c r="D1500" t="n">
        <v>1</v>
      </c>
      <c r="E1500" t="n">
        <v>0</v>
      </c>
      <c r="F1500">
        <f>HYPERLINK("https://www.reddit.com/r/eyetriage/comments/fxv6n2/is_there_a_reason_why_my_eyes_cant_handle_dark/")</f>
        <v/>
      </c>
      <c r="G1500" t="inlineStr">
        <is>
          <t>2020-04-09 09:10:56</t>
        </is>
      </c>
      <c r="H1500" t="inlineStr"/>
    </row>
    <row r="1501">
      <c r="A1501" t="inlineStr">
        <is>
          <t>fxvq04</t>
        </is>
      </c>
      <c r="B1501" t="inlineStr">
        <is>
          <t>Can I have as much signatures and shares for this "eye" petition?</t>
        </is>
      </c>
      <c r="C1501" t="inlineStr">
        <is>
          <t>Up this day, symptomatic eye floaters induced by vitreous degeneration have no known cures or treatments except surgery and laser. We are asking you to be our voice and help us express awareness to all the scientists and doctors so that we have non surgical and non laser treatments for it in the future. We are tired of living with suppressed quality of vision, we are tired of floaters and dots distracting us mentally and physically, we are also tired of health experts telling us nothing can be done about them. Please help sign and share because this could be YOU one day due to aging or potential eye injuries. Thank you so much for all of your support!  
 [https://www.change.org/p/amazon-safer-cure-for-degenerative-vitreous-floaters?recruiter=1038774243&amp;amp;recruited\_by\_id=47cd5060-420c-11ea-bddc-0158adc97bdc&amp;amp;utm\_source=share\_petition&amp;amp;utm\_medium=copylink&amp;amp;utm\_campaign=petition\_dashboard](https://www.change.org/p/amazon-safer-cure-for-degenerative-vitreous-floaters?recruiter=1038774243&amp;amp;recruited_by_id=47cd5060-420c-11ea-bddc-0158adc97bdc&amp;amp;utm_source=share_petition&amp;amp;utm_medium=copylink&amp;amp;utm_campaign=petition_dashboard)</t>
        </is>
      </c>
      <c r="D1501" t="n">
        <v>1</v>
      </c>
      <c r="E1501" t="n">
        <v>5</v>
      </c>
      <c r="F1501">
        <f>HYPERLINK("https://www.reddit.com/r/eyetriage/comments/fxvq04/can_i_have_as_much_signatures_and_shares_for_this/")</f>
        <v/>
      </c>
      <c r="G1501" t="inlineStr">
        <is>
          <t>2020-04-09 09:39:56</t>
        </is>
      </c>
      <c r="H1501" t="inlineStr"/>
    </row>
    <row r="1502">
      <c r="A1502" t="inlineStr">
        <is>
          <t>fy76y4</t>
        </is>
      </c>
      <c r="B1502" t="inlineStr">
        <is>
          <t>Is it possible to see floaters against a dark background?</t>
        </is>
      </c>
      <c r="C1502" t="inlineStr">
        <is>
          <t>I took a 3B laser to the eye and experienced new floaters afterwards. I've had my eyes examined regularly with dilated pupil exams, and two OCT scans. My ophthalmologist didn't find any signs of macular degeneration. I mentioned I had floaters in my central vision, they checked, and said it could be because of my near-sightedness.
I have two in both eyes that bother me. In the left, this is like a "black hole". I see it, and it's like stuff is blurring around it. It's extremely bothersome in the light, but I notice it when I move my eyes. In my right, it's like a long line that I notice passing through my vision against a dark background. Both become really noticeable when I move my eyes.
As I am writing in this in Reddit dark mode, it's like a passing blur.</t>
        </is>
      </c>
      <c r="D1502" t="n">
        <v>1</v>
      </c>
      <c r="E1502" t="n">
        <v>1</v>
      </c>
      <c r="F1502">
        <f>HYPERLINK("https://www.reddit.com/r/eyetriage/comments/fy76y4/is_it_possible_to_see_floaters_against_a_dark/")</f>
        <v/>
      </c>
      <c r="G1502" t="inlineStr">
        <is>
          <t>2020-04-09 20:18:55</t>
        </is>
      </c>
      <c r="H1502" t="inlineStr"/>
    </row>
    <row r="1503">
      <c r="A1503" t="inlineStr">
        <is>
          <t>fybdw3</t>
        </is>
      </c>
      <c r="B1503" t="inlineStr">
        <is>
          <t>Glaucoma medication</t>
        </is>
      </c>
      <c r="C1503" t="inlineStr">
        <is>
          <t>I take lanaprost? 
My optician said it will make my eyelashes long and dark. It also says that on the leaflet
But why does it do this? I’m also concerned about ingrowing eyelashes. Can this happen?</t>
        </is>
      </c>
      <c r="D1503" t="n">
        <v>1</v>
      </c>
      <c r="E1503" t="n">
        <v>4</v>
      </c>
      <c r="F1503">
        <f>HYPERLINK("https://www.reddit.com/r/eyetriage/comments/fybdw3/glaucoma_medication/")</f>
        <v/>
      </c>
      <c r="G1503" t="inlineStr">
        <is>
          <t>2020-04-10 00:58:54</t>
        </is>
      </c>
      <c r="H1503" t="inlineStr"/>
    </row>
    <row r="1504">
      <c r="A1504" t="inlineStr">
        <is>
          <t>fyf8h0</t>
        </is>
      </c>
      <c r="B1504" t="inlineStr">
        <is>
          <t>Eyelid pain and swelling</t>
        </is>
      </c>
      <c r="C1504" t="inlineStr">
        <is>
          <t>Started about 24-36 hours ago where my left upper eyelid had some pain when gently touching. It’s a little swollen and warm and blinking “touches” it. It’s bothersome but not occupying my mind. 
I thought this was going to be a stye but there aren’t any bumps along the lids. TIA</t>
        </is>
      </c>
      <c r="D1504" t="n">
        <v>1</v>
      </c>
      <c r="E1504" t="n">
        <v>4</v>
      </c>
      <c r="F1504">
        <f>HYPERLINK("https://www.reddit.com/r/eyetriage/comments/fyf8h0/eyelid_pain_and_swelling/")</f>
        <v/>
      </c>
      <c r="G1504" t="inlineStr">
        <is>
          <t>2020-04-10 05:45:40</t>
        </is>
      </c>
      <c r="H1504" t="inlineStr"/>
    </row>
    <row r="1505">
      <c r="A1505" t="inlineStr">
        <is>
          <t>fyghwn</t>
        </is>
      </c>
      <c r="B1505" t="inlineStr">
        <is>
          <t>Pain and light sensitivity</t>
        </is>
      </c>
      <c r="C1505" t="inlineStr">
        <is>
          <t>This happened once a couple weeks ago and it subsided after a day. It is happening again but it has lasted two days so far. I accidentally left a contact in my eye. Took it out in the morning and it hurt. I wore my glasses and put in allergy relief eye drops thinking it might also be allergies. Then the light sensitivity started happening. Did I damage my eye or is this going to go away?</t>
        </is>
      </c>
      <c r="D1505" t="n">
        <v>1</v>
      </c>
      <c r="E1505" t="n">
        <v>0</v>
      </c>
      <c r="F1505">
        <f>HYPERLINK("https://www.reddit.com/r/eyetriage/comments/fyghwn/pain_and_light_sensitivity/")</f>
        <v/>
      </c>
      <c r="G1505" t="inlineStr">
        <is>
          <t>2020-04-10 07:11:13</t>
        </is>
      </c>
      <c r="H1505" t="inlineStr"/>
    </row>
    <row r="1506">
      <c r="A1506" t="inlineStr">
        <is>
          <t>fyshm0</t>
        </is>
      </c>
      <c r="B1506" t="inlineStr">
        <is>
          <t>White cloud in iris</t>
        </is>
      </c>
      <c r="C1506" t="inlineStr">
        <is>
          <t>Hi everyone, I notice that if I go to bed late and/or am on my phone/computer I occasionally will wake up with this kind of small tiny stuck piece of mucus in my right eye. When I blink, it feels like something is in my eye. I usually relieve it by taking a tissue or something and gently taking it out, as it doesn't wash out with water or eye drops. These whitish clouds though, are present in the left eye but it's much less noticeable. In both eyes, the clouds are pretty much permanent, causing no discomfort, but the mucus piece that bothers me will only appear in the right eye. The right eye also is the drier eye. I started wearing contacts a few years ago, but I don't wear them much anymore. I am just curious as to what this could be, as it literally only bothers me when I go to sleep late, and even then only sometimes. 
https://preview.redd.it/g6rleajiz2s41.jpg?width=1683&amp;amp;format=pjpg&amp;amp;auto=webp&amp;amp;s=7cf804b30dde979386d58aab18d472af797b2455</t>
        </is>
      </c>
      <c r="D1506" t="n">
        <v>1</v>
      </c>
      <c r="E1506" t="n">
        <v>0</v>
      </c>
      <c r="F1506">
        <f>HYPERLINK("https://www.reddit.com/r/eyetriage/comments/fyshm0/white_cloud_in_iris/")</f>
        <v/>
      </c>
      <c r="G1506" t="inlineStr">
        <is>
          <t>2020-04-10 17:17:43</t>
        </is>
      </c>
      <c r="H1506" t="inlineStr"/>
    </row>
    <row r="1507">
      <c r="A1507" t="inlineStr">
        <is>
          <t>fyx93n</t>
        </is>
      </c>
      <c r="B1507" t="inlineStr">
        <is>
          <t>Eye Pain - Cross post with r/optometry</t>
        </is>
      </c>
      <c r="C1507" t="inlineStr">
        <is>
          <t>Just wanted to cross post this to get some more opinions. Basically my left eye has been pretty dry after a checkup for some eye pain I was having, everything turned out fine and i'm getting new glasses. I developed some dry eyes so I just left them alone and didn't look at my devices as much.  Yesterday afternoon, I developed some eye pain that felt like something was stuck in my eye, I started doing some warm eye compressions which helped a little bit. Now my eye has gotten fairly red and the pain is now all over my eye and is now more of a burn than a sharp pain. I'll leave a image down below as to what it looks like. No vision or bluriness, just the pain at the moment. Thanks and take care guys.
[https://imgur.com/NYEfRvt](https://imgur.com/NYEfRvt) \- Photo of affected eye</t>
        </is>
      </c>
      <c r="D1507" t="n">
        <v>1</v>
      </c>
      <c r="E1507" t="n">
        <v>0</v>
      </c>
      <c r="F1507">
        <f>HYPERLINK("https://www.reddit.com/r/eyetriage/comments/fyx93n/eye_pain_cross_post_with_roptometry/")</f>
        <v/>
      </c>
      <c r="G1507" t="inlineStr">
        <is>
          <t>2020-04-10 22:30:06</t>
        </is>
      </c>
      <c r="H1507" t="inlineStr"/>
    </row>
    <row r="1508">
      <c r="A1508" t="inlineStr">
        <is>
          <t>fyzvz9</t>
        </is>
      </c>
      <c r="B1508" t="inlineStr">
        <is>
          <t>Help! I’ve been to two ophthalmologists and my problem hasn’t been fixed</t>
        </is>
      </c>
      <c r="C1508" t="inlineStr">
        <is>
          <t>Hey reddit sorry for the long post ahead but please help I don’t know what else to do. I know there are other more serious problems than mine but I’m getting frustrated as I’ve been to two doctors already and nothing has changed. I keep getting sties in both eyes constantly. And I’m talking about huge ones that make my entire eyelid inflamed and also ones than look like tiny pimples. The bottom of my eyelids also look really red. Every night it seems like there are new ones. This has been going on since dec2019 and I visited the first doctor in January. 
First doctor told me all I had to do to fix it was to start washing my eye lids with baby shampoo and that should fix everything. Wrong. It did nothing, sties kept coming back.
Went to a different doctor in February and he said I have “bugs” in my eyes that are “peeing” and I’m “allergic to their pee.” He said that after looking at me for .5 seconds but he actually prescribed me something for it- steroid and antibiotic drops (Alrex&amp;amp;amp;Besivance). He said use for a month and go back.
I used them for a month and NO CHANGE. I went to the monthly check up and he said he’ll just refill my prescription and to try them for another month. It’s already been half of that second month and I’m not seeing any improvement so I’m thinking of going to a 3rd doctor (once the current situation dies down).
My main question is- what are conditions you think i may have so I can bring them up to the next doctor so hopefully this can be fixed.</t>
        </is>
      </c>
      <c r="D1508" t="n">
        <v>1</v>
      </c>
      <c r="E1508" t="n">
        <v>8</v>
      </c>
      <c r="F1508">
        <f>HYPERLINK("https://www.reddit.com/r/eyetriage/comments/fyzvz9/help_ive_been_to_two_ophthalmologists_and_my/")</f>
        <v/>
      </c>
      <c r="G1508" t="inlineStr">
        <is>
          <t>2020-04-11 01:14:41</t>
        </is>
      </c>
      <c r="H1508" t="inlineStr"/>
    </row>
    <row r="1509">
      <c r="A1509" t="inlineStr">
        <is>
          <t>fze7r8</t>
        </is>
      </c>
      <c r="B1509" t="inlineStr">
        <is>
          <t>What will happen to my eyes if I suddenly stop using flourometholone eye drops?</t>
        </is>
      </c>
      <c r="C1509" t="inlineStr">
        <is>
          <t>I had PRK done about a month ago, I was prescribed flourometholone and I’ve been using it as directed, 4 drops a day for the first month and then after that I go to 3 drops a day. Well I’m running low and with this covid-19 going around my pharmacy only hands out medicine on certain days, and it will be a while before I can get a refill. What would happen if I stopped using them for a few days all of a sudden? Will it damage my eyes?</t>
        </is>
      </c>
      <c r="D1509" t="n">
        <v>1</v>
      </c>
      <c r="E1509" t="n">
        <v>4</v>
      </c>
      <c r="F1509">
        <f>HYPERLINK("https://www.reddit.com/r/eyetriage/comments/fze7r8/what_will_happen_to_my_eyes_if_i_suddenly_stop/")</f>
        <v/>
      </c>
      <c r="G1509" t="inlineStr">
        <is>
          <t>2020-04-11 11:53:55</t>
        </is>
      </c>
      <c r="H1509" t="inlineStr"/>
    </row>
    <row r="1510">
      <c r="A1510" t="inlineStr">
        <is>
          <t>fzl4nd</t>
        </is>
      </c>
      <c r="B1510" t="inlineStr">
        <is>
          <t>Should I see a doctor?</t>
        </is>
      </c>
      <c r="C1510" t="inlineStr">
        <is>
          <t>I had blunt force trauma to the left eye. I didn't notice immediate changes to my vision. However I noticed my left pupil is slightly off center. It dilates at a slower rate than my right. When I cover my right eye and I look out of my left my vision appears to be at an angle towards the right. My iris does not move to the right but my vision is distorted. I have eye strain in my right eye, and blurry vision. Should I see a doctor?</t>
        </is>
      </c>
      <c r="D1510" t="n">
        <v>7</v>
      </c>
      <c r="E1510" t="n">
        <v>15</v>
      </c>
      <c r="F1510">
        <f>HYPERLINK("https://www.reddit.com/r/eyetriage/comments/fzl4nd/should_i_see_a_doctor/")</f>
        <v/>
      </c>
      <c r="G1510" t="inlineStr">
        <is>
          <t>2020-04-11 16:07:34</t>
        </is>
      </c>
      <c r="H1510" t="inlineStr"/>
    </row>
    <row r="1511">
      <c r="A1511" t="inlineStr">
        <is>
          <t>fzm1ih</t>
        </is>
      </c>
      <c r="B1511" t="inlineStr">
        <is>
          <t>I (18F) have been having vision problems, even though I have a lazy eye</t>
        </is>
      </c>
      <c r="C1511" t="inlineStr">
        <is>
          <t>Hello! 
I’m sorry if this sounds weird, but for the past couple of days I have not been able to see correctly (everything is sort of blurry) and cannot focus on very up-close objects. At first, I thought this was a contact problem, but I am having the same issue when I put my glasses on. Also, I had a headache about three days ago and spotty vision, but woke up and it has effected my ability to see clearly. Any answers would be greatly appreciated!
To give some background: I have a lazy eye in my left eye and I am also far-sighted. My prescription is +6.0</t>
        </is>
      </c>
      <c r="D1511" t="n">
        <v>1</v>
      </c>
      <c r="E1511" t="n">
        <v>1</v>
      </c>
      <c r="F1511">
        <f>HYPERLINK("https://www.reddit.com/r/eyetriage/comments/fzm1ih/i_18f_have_been_having_vision_problems_even/")</f>
        <v/>
      </c>
      <c r="G1511" t="inlineStr">
        <is>
          <t>2020-04-11 17:01:43</t>
        </is>
      </c>
      <c r="H1511" t="inlineStr"/>
    </row>
    <row r="1512">
      <c r="A1512" t="inlineStr">
        <is>
          <t>fzqk8e</t>
        </is>
      </c>
      <c r="B1512" t="inlineStr">
        <is>
          <t>Worried about blur in trial contact lens</t>
        </is>
      </c>
      <c r="C1512" t="inlineStr">
        <is>
          <t>I’ve been wearing contact lenses for three years now. I've always gone to the same O.D. — although, due to the ongoing pandemic, their office is closed and not set to re-open anytime soon. Today, due to the aforementioned reason, I had an eye exam for contact lenses and glasses at an office elsewhere.
Although, at this office, the exam was like one that I never had before. I say that because, not including the pre-testing procedures, the eye exam — with the O.D. — only took 9 minutes. Seriously. There was a timer on my right side to record that. The O.D. was on the office’s television, live-streaming from elsewhere, thus simply had me read the traditional “eye chart.” Apparently, no, this is not a temporary set-up due to COVID-19 — this is the traditional set up at this office as they use another service that provides an O.D. by live stream. I also didn’t have to read the eye chart in its entirety. I was presented one line at a time, being lines of what appeared to be in three or four sizes.
My prescription changed in only one eye — and by +0.25 at that. Although, I’m wearing trial lenses in the same brand and prescription that I usually wear. I say that I’m wearing the same prescription that I usually wear because, with the prescription in one eye that changed, a trial pair was unavailable in that prescription. Thus, I was matched with the next closest prescription which just so happened to be my last one.
Oddly enough, I can’t see clearly out of the eye that wears a trial lens that is correct and in the exact same prescription that I wore previously. Even with my previous pair of contact lenses, that I wore previously, I’m having no issues with the said prescription and can see clearly.
I did tell this to those who were at the office (not an O.D. as — again — not in the office). They were a bit concerned that I may need a retest but ultimately shrugged it off as one eye trying to overcompensate for the other because the other was indeed wearing an outdated prescription. Although, this doesn’t seem to make much sense (to me) as I don’t have this issue when wearing the same exact prescriptions — that I’m wearing in the trial lenses — when I wear my previous pair of contact lenses. Thus, they also mentioned that it could just be a problem with the particular lens that I was given as a trial lens.
All in all, the lens of concern is not uncomfortable — I just can’t see clearly out of it for a reason that remains unknown. It’s not noticeable unless I’m at a distance and trying to read smaller letters at 3+ feet away. So, I was advised to move along with ordering contact lenses and glasses in the given prescription.
I’m just wondering if this is odd or concerning. As in, what should I consider doing about this — if anything? To me, the most logical answer is that something is simply wrong with the particular lens that I was given as a trial lens — thus nothing wrong with the prescription as, again, I see clearly with this prescription when wearing a past pair of lenses.
Additionally, if I can still see perfectly clearly — as far as I know now — with the prescription that’s incorrect by +0.25, as the correct prescription was unavailable in a trial lens — should I potentially be concerned about the supposed correct prescription actually being incorrect and my precaution therefore not changing at all in either eye? From past experience, my prescription changes by either 0 or +0.25 each year.
I simply ask because, of course, contact lenses and glasses are expensive — I paid $550+ today for contacts, exams, and glasses combined — and I only make this expensive purchase, with glasses, every two years.
Thank you, in advance, for the insight!</t>
        </is>
      </c>
      <c r="D1512" t="n">
        <v>1</v>
      </c>
      <c r="E1512" t="n">
        <v>1</v>
      </c>
      <c r="F1512">
        <f>HYPERLINK("https://www.reddit.com/r/eyetriage/comments/fzqk8e/worried_about_blur_in_trial_contact_lens/")</f>
        <v/>
      </c>
      <c r="G1512" t="inlineStr">
        <is>
          <t>2020-04-11 22:07:17</t>
        </is>
      </c>
      <c r="H1512" t="inlineStr"/>
    </row>
    <row r="1513">
      <c r="A1513" t="inlineStr">
        <is>
          <t>fzqvom</t>
        </is>
      </c>
      <c r="B1513" t="inlineStr">
        <is>
          <t>Help with my eye problems I've had for 7 years</t>
        </is>
      </c>
      <c r="C1513" t="inlineStr">
        <is>
          <t>Hello, I am hoping I can get some answers on here, as I've been to around 7 doctors and they've all given me the ok that I am fine, but my symptoms just get worse and worse.
I've seen flashes of light, eye floaters, and dark spots for around 7 years now (since I was 14), and as a 21 year old, it's terrifying. I haven't had any vision loss, but i'm afraid I will get to that point without some treatment or diagnosis given to me. It seems to be getting worse every day now, when all of last year it wasn't changing that much.
My symptoms are: Flashes of light, eye floaters (a lot), very sensitive to light, dark spots (they have gotten less frequent over the years), dark lines on the outside of my vision (hard to explain).
Some of these symptoms appeared just 2 years ago, when I had these problems for over 7 years. As someone who's been to 7 different eye doctors, 2 being retina specialist, it's hard to just take a "we can't find anything wrong with your retina", but things just get worse and more severe. I know I can absolutely live with this condition I have, but I can't tell you I could if it gets 50 times worse than it already is, which is why it's so hard to deal with day-to-day. I am currently 21 years old, and didn't have any accidents, or anything that could cause this. I just randomly saw flashes one day and it got worse from there on out.
I try to look up help, but everyone that says they've had this problem, they've had it for only a few days, and they say it goes away. I've had mine for 7 years, and though i'm told it could just "go away" and they think it won't get much worse, it's too anxiety inducing.</t>
        </is>
      </c>
      <c r="D1513" t="n">
        <v>2</v>
      </c>
      <c r="E1513" t="n">
        <v>8</v>
      </c>
      <c r="F1513">
        <f>HYPERLINK("https://www.reddit.com/r/eyetriage/comments/fzqvom/help_with_my_eye_problems_ive_had_for_7_years/")</f>
        <v/>
      </c>
      <c r="G1513" t="inlineStr">
        <is>
          <t>2020-04-11 22:31:50</t>
        </is>
      </c>
      <c r="H1513" t="inlineStr"/>
    </row>
    <row r="1514">
      <c r="A1514" t="inlineStr">
        <is>
          <t>fzx421</t>
        </is>
      </c>
      <c r="B1514" t="inlineStr">
        <is>
          <t>Cornea abrasion? Advice for what to do amidst pandemic?</t>
        </is>
      </c>
      <c r="C1514" t="inlineStr">
        <is>
          <t>The night before last, after taking out my contacts, I got a minor dirt-in-my-eye feeling that soon subsided. Then, last night, after I took out my contact lenses, I started to get the feeling that there was something stuck in my left eye’s upper inner corner. This time the sensation persisted. However, upon looking, I couldn’t find a visible culprit. I feel it when I blink, and unfortunately for my sleep last night, when I keep my eyelid closed. I can ignore it enough to fall asleep if my eye is still. 
Once in the past, I had a similar sensation whenever I removed my contacts. My optometrist found that I had an eyelash pointing backwards into my eye, that my contact was actually protecting me from. So I looked for eyelashes like that, and even plucked a few from the corner of my eye that looked suspicious, but that didn’t seem to be the problem. 
I then read that gritty feelings might be corneal abrasions, and that contacts can sometimes cause them. I have a stare-at-my-computer-all-day job, and last night I also got petty absorbed in played a game whose release I’d been excited for... probably not blinking as much?
A lot of optometrist’s offices seem to be closed due to covid-19, and it’s Sunday anyway so the other services / communication avenues they’re still providing aren’t available until tomorrow. I really don’t want to go to an urgent care clinic at this time, given the pandemic. 
My eye is still bothering me this morning. I’m not sure what the best steps for me to take are. Eye drops? I certainly won’t be wearing g my contacts.</t>
        </is>
      </c>
      <c r="D1514" t="n">
        <v>1</v>
      </c>
      <c r="E1514" t="n">
        <v>6</v>
      </c>
      <c r="F1514">
        <f>HYPERLINK("https://www.reddit.com/r/eyetriage/comments/fzx421/cornea_abrasion_advice_for_what_to_do_amidst/")</f>
        <v/>
      </c>
      <c r="G1514" t="inlineStr">
        <is>
          <t>2020-04-12 06:53:04</t>
        </is>
      </c>
      <c r="H1514" t="inlineStr"/>
    </row>
    <row r="1515">
      <c r="A1515" t="inlineStr">
        <is>
          <t>g00jti</t>
        </is>
      </c>
      <c r="B1515" t="inlineStr">
        <is>
          <t>Thinking I have MS</t>
        </is>
      </c>
      <c r="C1515" t="inlineStr">
        <is>
          <t>For years I’ve had dark spots, floaters (a lot), and have  the Blue field entoptic phenomenon (which I mistook for flashes of lights). The dark spots are small and go away, and the floaters are always in my vision, but go away as well periodically. I also see the jerking objects sensation, which developed around 4 years ago. I’ve had my eye problems since I was 14, now 21. I also experience pain if I try to move my eyes to the left/right completely and have them remain still in the position (but that might be normal?)
I have been to 7 eye doctors, and one being a retina specialist. I was told I was fine and that I shouldn’t have anxiety or be depressed from this, but my symptoms just seem to worsen every year/month. 
I do urinate a lot, but I also drink a water bottle every 30 minutes. I don’t have any stiffness, or any muscle problems. I do mess up my words a lot, which is what really scares me. I don’t have any limb pains, unless it’s once every week or so for 10 minutes. I don’t have any numbness in my limbs unless one of them falls asleep from me not moving them or laying on them. I have memory loss, but just forgetting where I put things. 
Any help is always nice, recommendations are a plus.</t>
        </is>
      </c>
      <c r="D1515" t="n">
        <v>1</v>
      </c>
      <c r="E1515" t="n">
        <v>4</v>
      </c>
      <c r="F1515">
        <f>HYPERLINK("https://www.reddit.com/r/eyetriage/comments/g00jti/thinking_i_have_ms/")</f>
        <v/>
      </c>
      <c r="G1515" t="inlineStr">
        <is>
          <t>2020-04-12 10:10:23</t>
        </is>
      </c>
      <c r="H1515" t="inlineStr"/>
    </row>
    <row r="1516">
      <c r="A1516" t="inlineStr">
        <is>
          <t>g01laj</t>
        </is>
      </c>
      <c r="B1516" t="inlineStr">
        <is>
          <t>Can I use an old contacts prescription for glasses?</t>
        </is>
      </c>
      <c r="C1516" t="inlineStr">
        <is>
          <t>I got a change in prescription a few years ago, at 40. The optometrist said it was supposed to be a sort of “compromise” prescription - an average of near and far, some way of holding off on bifocals for a couple of years. 
Well, it sucked, I never got used to it, nothing looked right at any distance. 
So I started wearing some old glasses (actually, *very* old glasses, from 20 years ago, weaker than the ones I’d been wearing most recently). These are actually GREAT for computer and far-enough-away distances (maybe 15 feet). To read close up, I’d just take them off. I don’t actually know what the prescription on these guys is. 
Unfortunately the frames broke. 
So now I just wear my old contacts (which I think are ask fine for mid distances), with a pair of reading glasses for very close up. 
I don’t want to wear bifocals or progressives because I’m clumsy enough as it is (already have a hard time going downstairs). Bifocals or progressives would add to the hazard. 
So obviously I can’t get my eyes checked at the moment. 
Can I use my (old, expired) *contacts* prescription to get a pair of glasses (and renew my contacts)? 
I used to have astigmatism but I was told it corrected in one eye enough that I didn’t have to get torics.</t>
        </is>
      </c>
      <c r="D1516" t="n">
        <v>1</v>
      </c>
      <c r="E1516" t="n">
        <v>6</v>
      </c>
      <c r="F1516">
        <f>HYPERLINK("https://www.reddit.com/r/eyetriage/comments/g01laj/can_i_use_an_old_contacts_prescription_for_glasses/")</f>
        <v/>
      </c>
      <c r="G1516" t="inlineStr">
        <is>
          <t>2020-04-12 11:07:41</t>
        </is>
      </c>
      <c r="H1516" t="inlineStr"/>
    </row>
    <row r="1517">
      <c r="A1517" t="inlineStr">
        <is>
          <t>g0eqoj</t>
        </is>
      </c>
      <c r="B1517" t="inlineStr">
        <is>
          <t>Lump on Upper Lash Line</t>
        </is>
      </c>
      <c r="C1517" t="inlineStr">
        <is>
          <t>So I've had this white lump on my upper eyelid for years. A derm once said that if it's not bothering me he''d rather not mess with it.However, I've noticed its gotten bigger recently, (idk if its gotten significantly bigger or if I'm just aware now that I'm not wearing makeup anymore)
It doesn't affect my eyesight, doesn't hurt, but my recent quarantine paranoia makes me think it could be cancer? Or is it just milia?
I also developed a small black dot (not elevated) on my bottom lash line on the other eye.
What do you guys think?</t>
        </is>
      </c>
      <c r="D1517" t="n">
        <v>2</v>
      </c>
      <c r="E1517" t="n">
        <v>3</v>
      </c>
      <c r="F1517">
        <f>HYPERLINK("https://www.reddit.com/r/eyetriage/comments/g0eqoj/lump_on_upper_lash_line/")</f>
        <v/>
      </c>
      <c r="G1517" t="inlineStr">
        <is>
          <t>2020-04-13 01:12:18</t>
        </is>
      </c>
      <c r="H1517" t="inlineStr"/>
    </row>
    <row r="1518">
      <c r="A1518" t="inlineStr">
        <is>
          <t>g0oxjq</t>
        </is>
      </c>
      <c r="B1518" t="inlineStr">
        <is>
          <t>Optic nerve problem</t>
        </is>
      </c>
      <c r="C1518" t="inlineStr">
        <is>
          <t>Damaged optic nerve
Hello people, I need to understand one thing. Could you tell me please if the next situation is logical and possible: 
After OCT my doctor told me that my optic nerve is damaged a bit( by circulation or something else) but when I put on my lenses (-0.5) my vision is almost normal. If the optic nerve is damaged could lenses help anyhow? Without lenses my vision is blurry but with lenses it's sharp and pretty much normal. What this could be!? Thank you</t>
        </is>
      </c>
      <c r="D1518" t="n">
        <v>2</v>
      </c>
      <c r="E1518" t="n">
        <v>19</v>
      </c>
      <c r="F1518">
        <f>HYPERLINK("https://www.reddit.com/r/eyetriage/comments/g0oxjq/optic_nerve_problem/")</f>
        <v/>
      </c>
      <c r="G1518" t="inlineStr">
        <is>
          <t>2020-04-13 11:41:44</t>
        </is>
      </c>
      <c r="H1518" t="inlineStr"/>
    </row>
    <row r="1519">
      <c r="A1519" t="inlineStr">
        <is>
          <t>g17cln</t>
        </is>
      </c>
      <c r="B1519" t="inlineStr">
        <is>
          <t>Eyelash 2 weeks</t>
        </is>
      </c>
      <c r="C1519" t="inlineStr">
        <is>
          <t>Have an eyelash stuck in my lower eyelid that’s been there a little over two weeks. I’ve been sleeping soundly despite the fact.  It’s almost hidden under the eyelid, but can be clearly seen if pulled down. I felt this weeks ago but didn’t see anything until re-examining this morning. I suspect this has been the reason for constant discomfort that eye drops could not alleviate. I’ve been digging around with cotton swabs to no avail the last half hour. I’m going in for round two, but should I fail I’m curious as to whether I should head to an urgent care. Thoughts?</t>
        </is>
      </c>
      <c r="D1519" t="n">
        <v>1</v>
      </c>
      <c r="E1519" t="n">
        <v>1</v>
      </c>
      <c r="F1519">
        <f>HYPERLINK("https://www.reddit.com/r/eyetriage/comments/g17cln/eyelash_2_weeks/")</f>
        <v/>
      </c>
      <c r="G1519" t="inlineStr">
        <is>
          <t>2020-04-14 08:15:11</t>
        </is>
      </c>
      <c r="H1519" t="inlineStr"/>
    </row>
    <row r="1520">
      <c r="A1520" t="inlineStr">
        <is>
          <t>g19h6f</t>
        </is>
      </c>
      <c r="B1520" t="inlineStr">
        <is>
          <t>Are Ophthalmologists still seeing patients (Canada)?</t>
        </is>
      </c>
      <c r="C1520" t="inlineStr">
        <is>
          <t>My 72 y/o father got a call confirming a pre-surgery appointment at the hospital. The appointment is on Friday. He is insisting on going as it has taken a long time to get this appointment. I am honestly shocked this appointment was confirmed instead of being cancelled.</t>
        </is>
      </c>
      <c r="D1520" t="n">
        <v>2</v>
      </c>
      <c r="E1520" t="n">
        <v>5</v>
      </c>
      <c r="F1520">
        <f>HYPERLINK("https://www.reddit.com/r/eyetriage/comments/g19h6f/are_ophthalmologists_still_seeing_patients_canada/")</f>
        <v/>
      </c>
      <c r="G1520" t="inlineStr">
        <is>
          <t>2020-04-14 10:08:58</t>
        </is>
      </c>
      <c r="H1520" t="inlineStr"/>
    </row>
    <row r="1521">
      <c r="A1521" t="inlineStr">
        <is>
          <t>g1ccuv</t>
        </is>
      </c>
      <c r="B1521" t="inlineStr">
        <is>
          <t>Blurry vision in my left eye.</t>
        </is>
      </c>
      <c r="C1521" t="inlineStr">
        <is>
          <t>To start off I called a couple eye clinics and no one will see me for at least a month because of COVID. 
I already wear glasses (near sighted) but I have noticed the vision in my left eye is getting worse, it’s way more blurry than my right eye that seems to have perfect vision. Both eye clinics told me it’s concerning but not an emergency.  I’m a little frustrated. Is this something I should be really concerned about? Or just wait it out?
 Not only is it annoying not being to see properly but I’m also worried it could be something serious. The current state of the world right now  has my anxiety through the roof anyway, so if I’m over reacting please just tell me. 🤣</t>
        </is>
      </c>
      <c r="D1521" t="n">
        <v>3</v>
      </c>
      <c r="E1521" t="n">
        <v>14</v>
      </c>
      <c r="F1521">
        <f>HYPERLINK("https://www.reddit.com/r/eyetriage/comments/g1ccuv/blurry_vision_in_my_left_eye/")</f>
        <v/>
      </c>
      <c r="G1521" t="inlineStr">
        <is>
          <t>2020-04-14 12:41:40</t>
        </is>
      </c>
      <c r="H1521" t="inlineStr"/>
    </row>
    <row r="1522">
      <c r="A1522" t="inlineStr">
        <is>
          <t>g1gdax</t>
        </is>
      </c>
      <c r="B1522" t="inlineStr">
        <is>
          <t>Loss of vision during indirect ophthalmoscopy</t>
        </is>
      </c>
      <c r="C1522" t="inlineStr">
        <is>
          <t>Hi all, tl;dr version of my question is, is it normal/okay to have a temporary (about a minute) loss of vision during indirect ophthalmoscopy? If my googling is correct, it was while they were doing scleral depression, as the doctor said something about “applying pressure”, but I didn’t see them using any tool like shows up in YouTube videos of that procedure.
Further context, if needed: I got a partial tear/detachment in one retina fixed last summer. I had an appointment today for a checkup because I may be having some symptoms — I’m seeing more flashes than usual, but this coincides with when I started working from home (aka, going from looking at a screen maybe 8 hours a day to .... basically every waking moment). The doctor did not see any tears or other issues today. The loss of vision was after having the light shone into my eye (and the pressure applied) for about 30 seconds. I know I should have said something at the time but I just panicked. Is this normal? Thanks very much for any help.</t>
        </is>
      </c>
      <c r="D1522" t="n">
        <v>0</v>
      </c>
      <c r="E1522" t="n">
        <v>0</v>
      </c>
      <c r="F1522">
        <f>HYPERLINK("https://www.reddit.com/r/eyetriage/comments/g1gdax/loss_of_vision_during_indirect_ophthalmoscopy/")</f>
        <v/>
      </c>
      <c r="G1522" t="inlineStr">
        <is>
          <t>2020-04-14 16:25:44</t>
        </is>
      </c>
      <c r="H1522" t="inlineStr"/>
    </row>
    <row r="1523">
      <c r="A1523" t="inlineStr">
        <is>
          <t>g1ihlp</t>
        </is>
      </c>
      <c r="B1523" t="inlineStr">
        <is>
          <t>Lazy Eye Problem</t>
        </is>
      </c>
      <c r="C1523" t="inlineStr">
        <is>
          <t>Hi! To start, I have been having a lazy eye problem. Every time I seem to concentrate while reading or writing, my eye seems to cross, even with contacts and glasses on. This is very abnormal and has been going on for a week. Also, every time my eye crosses I get a headache, as well. To give some background on me, I have had a lazy eye since I was 2 years old, but it has always corrected with corrective lenses. This is very abnormal for my eye to cross with glasses or contacts on and I don’t know what to do. Below I’ll be attaching a video of my eye crossing while writing. Thanks!</t>
        </is>
      </c>
      <c r="D1523" t="n">
        <v>0</v>
      </c>
      <c r="E1523" t="n">
        <v>4</v>
      </c>
      <c r="F1523">
        <f>HYPERLINK("https://www.reddit.com/r/eyetriage/comments/g1ihlp/lazy_eye_problem/")</f>
        <v/>
      </c>
      <c r="G1523" t="inlineStr">
        <is>
          <t>2020-04-14 18:36:24</t>
        </is>
      </c>
      <c r="H1523" t="inlineStr"/>
    </row>
    <row r="1524">
      <c r="A1524" t="inlineStr">
        <is>
          <t>g1jvfh</t>
        </is>
      </c>
      <c r="B1524" t="inlineStr">
        <is>
          <t>Left eye hurts and nephropathy</t>
        </is>
      </c>
      <c r="C1524" t="inlineStr">
        <is>
          <t>**Location:** Left eye: rear
**Onset:** In the begging of February I left work, my eyes felt strained or inflamed(not sure. Used a cold compress, right eye recovered left didn't. I exercised hard. Left eye felt a bit better. Pulled out my phone and after viewing a rapid animation from clicking an app I felt a popping sensation followed by pain and severe light sensitivity.
**Frequency:** Everyday is different but it feels better then before. Some days are better then others
**Type/Severity:**
When it first happened I had severe pain and light sensitivity, I couldn't drive at night.
It's mostly better but I feel irritation/ticklish feelings. I sometimes also feel tinging go down my neck (this is not as frequent anymore(or at least not as severe)). This irritation can get worse with prolonged viewing of scrolling animations or night driving. This week the irritation has changed into an ache. Flashing(as in the screen quickly chnaged to a different page) or an image that slid across the screen fast will sometimes trigger a shock feeling.
Consistent floaters came out some point.
I may have(not too sure) become slightly more near sighted.
**Self-treatment:** Eye drops(don't seem as effective anymore) and covering my eye. Exercise to increase blood flow. For some reason eating reduces symptoms temporarily.
**Effect:** I sometimes avoid using my phone with my left eye. Somedays when its really bad it distracts me while night driving.
**Associated Symptoms:** Sometimes the pain or irritation is really distracting. I do have dry eyes
I made an appointment to see an ophthalmologist but my appointment was pushed back 2 weeks and 1 month due to Corvid.
Should I try looking for another optometrist or ophthalmologist? Which one?
Thank you</t>
        </is>
      </c>
      <c r="D1524" t="n">
        <v>0</v>
      </c>
      <c r="E1524" t="n">
        <v>0</v>
      </c>
      <c r="F1524">
        <f>HYPERLINK("https://www.reddit.com/r/eyetriage/comments/g1jvfh/left_eye_hurts_and_nephropathy/")</f>
        <v/>
      </c>
      <c r="G1524" t="inlineStr">
        <is>
          <t>2020-04-14 20:09:34</t>
        </is>
      </c>
      <c r="H1524" t="inlineStr"/>
    </row>
    <row r="1525">
      <c r="A1525" t="inlineStr">
        <is>
          <t>g1q0wl</t>
        </is>
      </c>
      <c r="B1525" t="inlineStr">
        <is>
          <t>PRK, High myopia, and Blindness/Complications</t>
        </is>
      </c>
      <c r="C1525" t="inlineStr">
        <is>
          <t>My myopia is -6.50D in the right eye and -7.50D on the left. Is it possible that I will be a good candidate for PRK? I have read that people with higher myopia tend to have thinner corneas, and this can lead to increased chances of complications with the surgery, such as blindness. Is this true?
Also, granted I can get this, what will be the recovery time for me?</t>
        </is>
      </c>
      <c r="D1525" t="n">
        <v>1</v>
      </c>
      <c r="E1525" t="n">
        <v>5</v>
      </c>
      <c r="F1525">
        <f>HYPERLINK("https://www.reddit.com/r/eyetriage/comments/g1q0wl/prk_high_myopia_and_blindnesscomplications/")</f>
        <v/>
      </c>
      <c r="G1525" t="inlineStr">
        <is>
          <t>2020-04-15 04:17:32</t>
        </is>
      </c>
      <c r="H1525" t="inlineStr"/>
    </row>
    <row r="1526">
      <c r="A1526" t="inlineStr">
        <is>
          <t>g1t2yg</t>
        </is>
      </c>
      <c r="B1526" t="inlineStr">
        <is>
          <t>Eyes need a second to "focus" , especially when looking in bright areas</t>
        </is>
      </c>
      <c r="C1526" t="inlineStr">
        <is>
          <t>Female, 21 y/o, 158 lbs, non smoker, taking anxiety meds.
Recently I've noticed that whenever I look somewhere and look back, especially if it's out a window or in the light, for a split second it's a clear imagine but then there's something of a very faint blurry covering over my vision. I've taken videos of what my eye looks like when it happens and it's just like my pupil is adjusting. It's barely noticeable, but it hasn't been there forever so I'm wondering what it is, and hoping it doesn't get worse. I also wake up in the morning to blurry vision and streaks of light and I have to blink a lot to clear it up. Anyone able to speculate what this is? It's been happening for a while probably around when I got my prescription updated in October, however now my prescription isn't very accurate anymore. My eyes have gotten worse since then. Thanks!</t>
        </is>
      </c>
      <c r="D1526" t="n">
        <v>1</v>
      </c>
      <c r="E1526" t="n">
        <v>2</v>
      </c>
      <c r="F1526">
        <f>HYPERLINK("https://www.reddit.com/r/eyetriage/comments/g1t2yg/eyes_need_a_second_to_focus_especially_when/")</f>
        <v/>
      </c>
      <c r="G1526" t="inlineStr">
        <is>
          <t>2020-04-15 07:35:02</t>
        </is>
      </c>
      <c r="H1526" t="inlineStr"/>
    </row>
    <row r="1527">
      <c r="A1527" t="inlineStr">
        <is>
          <t>g1uby8</t>
        </is>
      </c>
      <c r="B1527" t="inlineStr">
        <is>
          <t>Poked in the eye</t>
        </is>
      </c>
      <c r="C1527" t="inlineStr">
        <is>
          <t>So my SO poked (somewhat lightly) me in the eye with her fingertip, the morning after it still hurts a little bit. My eye isn't particularly irritated but uncomfortable. Is it likely a corneal abrasion?</t>
        </is>
      </c>
      <c r="D1527" t="n">
        <v>2</v>
      </c>
      <c r="E1527" t="n">
        <v>5</v>
      </c>
      <c r="F1527">
        <f>HYPERLINK("https://www.reddit.com/r/eyetriage/comments/g1uby8/poked_in_the_eye/")</f>
        <v/>
      </c>
      <c r="G1527" t="inlineStr">
        <is>
          <t>2020-04-15 08:39:36</t>
        </is>
      </c>
      <c r="H1527" t="inlineStr"/>
    </row>
    <row r="1528">
      <c r="A1528" t="inlineStr">
        <is>
          <t>g21kam</t>
        </is>
      </c>
      <c r="B1528" t="inlineStr">
        <is>
          <t>When artificial tears make eyes feel more dry</t>
        </is>
      </c>
      <c r="C1528" t="inlineStr">
        <is>
          <t>Is there a typical reason behind when ATs don’t seem to help with dry eye and actually make the eyes feel worse? I personally have tried almost every otc preservative free AT available at my local stores over the past year and cannot find one that doesn’t make my eyes feel worse than not using anything at all.</t>
        </is>
      </c>
      <c r="D1528" t="n">
        <v>0</v>
      </c>
      <c r="E1528" t="n">
        <v>5</v>
      </c>
      <c r="F1528">
        <f>HYPERLINK("https://www.reddit.com/r/eyetriage/comments/g21kam/when_artificial_tears_make_eyes_feel_more_dry/")</f>
        <v/>
      </c>
      <c r="G1528" t="inlineStr">
        <is>
          <t>2020-04-15 14:49:25</t>
        </is>
      </c>
      <c r="H1528" t="inlineStr"/>
    </row>
    <row r="1529">
      <c r="A1529" t="inlineStr">
        <is>
          <t>g2ccyt</t>
        </is>
      </c>
      <c r="B1529" t="inlineStr">
        <is>
          <t>I have never seen anything like this and couldnt find anything on the web.</t>
        </is>
      </c>
      <c r="C1529" t="inlineStr">
        <is>
          <t>I was just cleaning my eye with a tissue(just a random white discharge(p.s i dont have a eye infection at the moment)) and the tissue touched the outer corner of my sclera(the white part) and when i pulled back the surface of my eye lifted with it. I tried it multiple times and same thing happens. I tried it on my other eye and same thing happens. But only on the outer corner when i tried it on the center part of my eye(not the cornea the white part under it) it didnt happen and it didnt happen on the white part close to the tear duct. This goes for both eyes. And it doesnt hurt when it peels and reattaches its just bizzarre and im freaked a little. What is this? Should i be concerned?
P.s. i could try to provide pictures if you like but it would be really hard to get a pic so i would do it if no one has any idea what this is.</t>
        </is>
      </c>
      <c r="D1529" t="n">
        <v>1</v>
      </c>
      <c r="E1529" t="n">
        <v>2</v>
      </c>
      <c r="F1529">
        <f>HYPERLINK("https://www.reddit.com/r/eyetriage/comments/g2ccyt/i_have_never_seen_anything_like_this_and_couldnt/")</f>
        <v/>
      </c>
      <c r="G1529" t="inlineStr">
        <is>
          <t>2020-04-16 03:20:16</t>
        </is>
      </c>
      <c r="H1529" t="inlineStr"/>
    </row>
    <row r="1530">
      <c r="A1530" t="inlineStr">
        <is>
          <t>g38cw8</t>
        </is>
      </c>
      <c r="B1530" t="inlineStr">
        <is>
          <t>Argon laser for eye pigmentation</t>
        </is>
      </c>
      <c r="C1530" t="inlineStr">
        <is>
          <t>So I’m looking to get an eye freckle removed and found two sources. The first, boxer wachler in Beverly Hills. He scrapes it off but the risks are way too high based of reviews. Second, I looked for another way instead  of his way. I found argon laser in Korea where they laser it off and rub a q-tip and it peels off softly. It seems like a better option and safer and so far it’s been reported as a success and no risks. Has anyone heard of this or done it??</t>
        </is>
      </c>
      <c r="D1530" t="n">
        <v>1</v>
      </c>
      <c r="E1530" t="n">
        <v>5</v>
      </c>
      <c r="F1530">
        <f>HYPERLINK("https://www.reddit.com/r/eyetriage/comments/g38cw8/argon_laser_for_eye_pigmentation/")</f>
        <v/>
      </c>
      <c r="G1530" t="inlineStr">
        <is>
          <t>2020-04-17 12:08:46</t>
        </is>
      </c>
      <c r="H1530" t="inlineStr"/>
    </row>
    <row r="1531">
      <c r="A1531" t="inlineStr">
        <is>
          <t>g38j4t</t>
        </is>
      </c>
      <c r="B1531" t="inlineStr">
        <is>
          <t>Some questions about retinal detachment (due to eye trauma)</t>
        </is>
      </c>
      <c r="C1531" t="inlineStr">
        <is>
          <t>Hello, I have a few questions regarding retinal detachment after a closed globe eye trauma (a blow or a poke to the closed eye)
1. How strong must impact on eye be to cause RD? Is it only after a serious attack (eg. after being beaten up; bruised eye, sport or boxing injuries), or can it also happen after a slight and minor accidental injury that doesn´t even hurt so much (no bruise, nor other eye injuries at the moment)?
2. How long after an eye injury this usually happens, what is the longest time interval you´ve heard of? If RD happens, let's say, 15 years after the injury, does it means it was caused by that or are other factors (myopia, aging) prevalent?
3. Also, what percent of closed eye injuries ends in late-onset RD (if you have information)?
I´m asking these questions because I fear RD very much since I had some minor eye injuries that happened more than 2 years ago (Bf poked me in the eye, and my younger brother punched me accidentally, but not very hard). My last dilated eye exam was in March of this year, and everything was fine. I sometimes get quick flashes of light but I realized they happen mostly when I am stressed out, and I´ve had them even before the injuries.  I am also myopic (-2.25 left eye, and -2,50 right eye).
Thanks</t>
        </is>
      </c>
      <c r="D1531" t="n">
        <v>0</v>
      </c>
      <c r="E1531" t="n">
        <v>6</v>
      </c>
      <c r="F1531">
        <f>HYPERLINK("https://www.reddit.com/r/eyetriage/comments/g38j4t/some_questions_about_retinal_detachment_due_to/")</f>
        <v/>
      </c>
      <c r="G1531" t="inlineStr">
        <is>
          <t>2020-04-17 12:18:03</t>
        </is>
      </c>
      <c r="H1531" t="inlineStr"/>
    </row>
    <row r="1532">
      <c r="A1532" t="inlineStr">
        <is>
          <t>g3h52l</t>
        </is>
      </c>
      <c r="B1532" t="inlineStr">
        <is>
          <t>Hi guys I would like to ask you to help me❤️</t>
        </is>
      </c>
      <c r="C1532" t="inlineStr">
        <is>
          <t>My pupils are diluted all the time I always get named drugged for it so I want to do something about it. I prefer Darkness, yellow lights and has a slight ability to see in total lack of luminescence. Could you please help me achieve  daytime a normal ot more than average shallowness in my eyes?
I dont use drugs alcohol and etc, I have no severe disease like diabetes, but my left eyelids are bit droopy. 
This freaks me out and I am prepared for anything right now just to avoid it. 
Loves, James</t>
        </is>
      </c>
      <c r="D1532" t="n">
        <v>1</v>
      </c>
      <c r="E1532" t="n">
        <v>2</v>
      </c>
      <c r="F1532">
        <f>HYPERLINK("https://www.reddit.com/r/eyetriage/comments/g3h52l/hi_guys_i_would_like_to_ask_you_to_help_me/")</f>
        <v/>
      </c>
      <c r="G1532" t="inlineStr">
        <is>
          <t>2020-04-17 20:58:36</t>
        </is>
      </c>
      <c r="H1532" t="inlineStr"/>
    </row>
    <row r="1533">
      <c r="A1533" t="inlineStr">
        <is>
          <t>g3ibnm</t>
        </is>
      </c>
      <c r="B1533" t="inlineStr">
        <is>
          <t>PVD, 30M; have unexplained light sensitivity, halos, glare, feeling uncomftrable in my eyes, white eye discharge, red-ish eye.</t>
        </is>
      </c>
      <c r="C1533" t="inlineStr">
        <is>
          <t>Hey, Been diagnosed with PVD and got eye floaters, have eye floaters for a year and a half. 
to note, I have regular astigmatism and managed without eye glasses most of my life, never realy needed them.
Been through OCT scan+Corneal topography+Brain MRI+visited 3 eye specialists+blood tests that couldn't explain other symphtoms (cataracts, glaucoma, kertaconus, dry eye, uvities, all was ruled out): 
light sensitivity, halos, glare, feeling uncomftrable in my eyes, white eye discharge, red-ish eye, slight horizontal double vision, decressed vision at night.
I've purchesed otc eye drop and they don't help.
Should I be worried? I visit opthomologists every 4 months or so because I'm anxious, no one can explain nothing and just tell me to live with it. Is there such stories that people overcame it and lived regular lives? What could I have?</t>
        </is>
      </c>
      <c r="D1533" t="n">
        <v>1</v>
      </c>
      <c r="E1533" t="n">
        <v>2</v>
      </c>
      <c r="F1533">
        <f>HYPERLINK("https://www.reddit.com/r/eyetriage/comments/g3ibnm/pvd_30m_have_unexplained_light_sensitivity_halos/")</f>
        <v/>
      </c>
      <c r="G1533" t="inlineStr">
        <is>
          <t>2020-04-17 22:33:53</t>
        </is>
      </c>
      <c r="H1533" t="inlineStr"/>
    </row>
    <row r="1534">
      <c r="A1534" t="inlineStr">
        <is>
          <t>g3j1pq</t>
        </is>
      </c>
      <c r="B1534" t="inlineStr">
        <is>
          <t>9 month eye issue</t>
        </is>
      </c>
      <c r="C1534" t="inlineStr">
        <is>
          <t>Posted on here the other day and previously regarding my eyes - booked in for a DCR operation.</t>
        </is>
      </c>
      <c r="D1534" t="n">
        <v>1</v>
      </c>
      <c r="E1534" t="n">
        <v>0</v>
      </c>
      <c r="F1534">
        <f>HYPERLINK("https://www.reddit.com/r/eyetriage/comments/g3j1pq/9_month_eye_issue/")</f>
        <v/>
      </c>
      <c r="G1534" t="inlineStr">
        <is>
          <t>2020-04-17 23:37:29</t>
        </is>
      </c>
      <c r="H1534" t="inlineStr"/>
    </row>
    <row r="1535">
      <c r="A1535" t="inlineStr">
        <is>
          <t>g3pw68</t>
        </is>
      </c>
      <c r="B1535" t="inlineStr">
        <is>
          <t>Seeing cloudy halos around lights, very concerned!</t>
        </is>
      </c>
      <c r="C1535" t="inlineStr">
        <is>
          <t>21 y/o female, 157 lb non smoker
I posted in this subreddit a while ago about having a blurry cover over my vision that would adjust with eye movement. I tried eye drops and gel several times a day and before I went to bed and it doesn't really work for me. When looking at light, I see a halo, and my pupils seem to adjust and a very faint cloudy cover comes over my vision. I'm really not sure what this is, and I know halos around vision can be symptoms of a serious disease developing. My family does not have any history of glaucoma or cataracts, and I have not really had significant eye trauma, but I am very worried. This problem developed in the past few months, after I got my eye glasses prescription in September. My prescription doesn't seem very accurate anymore, because before I got laid off I worked at an optical shop, and my prescription had advanced from a -1.00 to a -1.75 within 6 months and I am really concerned. I do sometimes see horizontal lines in my vision as well, but I assumed it was because of eye strain from concentrating hard. Does anyone have any insight into what could be happening? Thank you so much for your time.</t>
        </is>
      </c>
      <c r="D1535" t="n">
        <v>1</v>
      </c>
      <c r="E1535" t="n">
        <v>2</v>
      </c>
      <c r="F1535">
        <f>HYPERLINK("https://www.reddit.com/r/eyetriage/comments/g3pw68/seeing_cloudy_halos_around_lights_very_concerned/")</f>
        <v/>
      </c>
      <c r="G1535" t="inlineStr">
        <is>
          <t>2020-04-18 09:04:24</t>
        </is>
      </c>
      <c r="H1535" t="inlineStr"/>
    </row>
    <row r="1536">
      <c r="A1536" t="inlineStr">
        <is>
          <t>g3rr3r</t>
        </is>
      </c>
      <c r="B1536" t="inlineStr">
        <is>
          <t>Large translucent ring mass in corner of vision, concerned its a retinal tear.</t>
        </is>
      </c>
      <c r="C1536" t="inlineStr">
        <is>
          <t>In the beginning of March, I started having some weird eye problems like visual trailing and photo phobia, but I didn't pay it any mind since I had other medical concerns that seemed more dire. Had a optometrist visit because of some inner eye pains and thought it was something terrible, checkup came back completely fine and got a small prescription change. Went back again for some eye pain and redness, thought I was having a retinal tear or detachement, came back completely fine again. Now I noticed that I have large ring like floater in the upper left and right corner of my vision in the far peripheral field, looks translucent and light kind of bends around it when it hits a certain spot. I got a good look at it and it reminded me of a floater but I'm not an eye doctor so I don't trust myself.  No blurred vision or flashes of light, I do get morning afterimages that look like flashes of white dots but they go away after a couple of minutes. Should I see a ophthalmologist or go back to my optometrist? Is my optometrist missing something?</t>
        </is>
      </c>
      <c r="D1536" t="n">
        <v>2</v>
      </c>
      <c r="E1536" t="n">
        <v>2</v>
      </c>
      <c r="F1536">
        <f>HYPERLINK("https://www.reddit.com/r/eyetriage/comments/g3rr3r/large_translucent_ring_mass_in_corner_of_vision/")</f>
        <v/>
      </c>
      <c r="G1536" t="inlineStr">
        <is>
          <t>2020-04-18 10:52:56</t>
        </is>
      </c>
      <c r="H1536" t="inlineStr"/>
    </row>
    <row r="1537">
      <c r="A1537" t="inlineStr">
        <is>
          <t>g3s6a6</t>
        </is>
      </c>
      <c r="B1537" t="inlineStr">
        <is>
          <t>Eye floaters and flashes of light in the total darkness.</t>
        </is>
      </c>
      <c r="C1537" t="inlineStr">
        <is>
          <t>62yo male, non-smoker.
Two years ago I had cataract surgery and a year later laser capsulotomy in both eyes. And everything seemed to be fine. But yesterday, when I approached the mirror in my bathroom, I thought there was something flying around, like a **small black butterfly with gray almost transparent folded wings**. I was shocked when I realized that it was in my right eye, floating on the peripheral side. So I started searching the Internet and learned a lot about eye floaters. I thought that although I had a floater, luckily I had no flashes of light. But I was wrong because I was mislead by the articles on the Internet that said nothing about seeing anything in the **total darkness**, which was misleading because most people find it impossible to see anything without light. By all means it **is** possible, and it happened to me. Now I believe that I have a **posterior vitreous detachment** because I discovered an unusual phenomenon. When I am moving the eyeballs with my eyes open in the dark, the retina in my right eye receives non-visual signals and the brain interprets them as flashes of light. Each flash lasts about 200ms, and I often see 2 or 3 flashes in a row. Those bright circles are actually **rings**. Assuming that the external diameter is 100mm, the width of the edge is about 5mm. They are usually white, **sometimes yellow** but each ring is always in one color. When I see several rings in a row, some of them are **a bit shifted horizontally**, by their width (pretty precisely). Sometimes I see only the left or right half of the ring or even less. But the edges are always pretty sharp and smooth, like a **laser projection**. Although my experience is very subjective, I thing that I am not alone with it. After all, eyes and brains of other people are not very different from mine. Should I see an eye doctor immediately? I am afraid of a possible retinal tear or detachment. I will be grateful for any response.</t>
        </is>
      </c>
      <c r="D1537" t="n">
        <v>1</v>
      </c>
      <c r="E1537" t="n">
        <v>2</v>
      </c>
      <c r="F1537">
        <f>HYPERLINK("https://www.reddit.com/r/eyetriage/comments/g3s6a6/eye_floaters_and_flashes_of_light_in_the_total/")</f>
        <v/>
      </c>
      <c r="G1537" t="inlineStr">
        <is>
          <t>2020-04-18 11:17:22</t>
        </is>
      </c>
      <c r="H1537" t="inlineStr"/>
    </row>
    <row r="1538">
      <c r="A1538" t="inlineStr">
        <is>
          <t>g3xic1</t>
        </is>
      </c>
      <c r="B1538" t="inlineStr">
        <is>
          <t>Random, sudden blurriness?</t>
        </is>
      </c>
      <c r="C1538" t="inlineStr">
        <is>
          <t>My wife, last night, described "kaleidascope vision" in the right side of her right eye. It cleared up within an hour. Tonight she had sudden blurred vision in her right eye, then left, then it went away all within a few minutes. Any thoughts? She won't go to the doctor. My first thought was retinal detachment but then it shifted to the other eye, so I have no idea.</t>
        </is>
      </c>
      <c r="D1538" t="n">
        <v>1</v>
      </c>
      <c r="E1538" t="n">
        <v>5</v>
      </c>
      <c r="F1538">
        <f>HYPERLINK("https://www.reddit.com/r/eyetriage/comments/g3xic1/random_sudden_blurriness/")</f>
        <v/>
      </c>
      <c r="G1538" t="inlineStr">
        <is>
          <t>2020-04-18 16:38:11</t>
        </is>
      </c>
      <c r="H1538" t="inlineStr"/>
    </row>
    <row r="1539">
      <c r="A1539" t="inlineStr">
        <is>
          <t>g40q35</t>
        </is>
      </c>
      <c r="B1539" t="inlineStr">
        <is>
          <t>Is there a solution for the 'pit' on my eyeball?</t>
        </is>
      </c>
      <c r="C1539" t="inlineStr">
        <is>
          <t>*(was told to post this here by a bot)*
I'm not seeking medical advice, but am interested to know if solutions exist.
I had ocular herpes a few years ago that went without treatment for about a month due to a doctor's poor judgement (and mine too for not seeking a second opinion). I eventually saw an ophthalmologist who told me I had a 'pit' on my eyeball and prescribed medication to deal with the herpes. It cleared up but the pit remains (in line of sight causing a kind of double vision from that eyeball making it hard to focus).
I was wondering if there was anything that could be done for this kind of condition. Maybe some kind of filler – eye putty if you will?
I have no idea and was hoping some of you may have answers. Thank you.</t>
        </is>
      </c>
      <c r="D1539" t="n">
        <v>1</v>
      </c>
      <c r="E1539" t="n">
        <v>5</v>
      </c>
      <c r="F1539">
        <f>HYPERLINK("https://www.reddit.com/r/eyetriage/comments/g40q35/is_there_a_solution_for_the_pit_on_my_eyeball/")</f>
        <v/>
      </c>
      <c r="G1539" t="inlineStr">
        <is>
          <t>2020-04-18 20:26:20</t>
        </is>
      </c>
      <c r="H1539" t="inlineStr"/>
    </row>
    <row r="1540">
      <c r="A1540" t="inlineStr">
        <is>
          <t>g41l4j</t>
        </is>
      </c>
      <c r="B1540" t="inlineStr">
        <is>
          <t>Reliability of Spot Vision Screening in Infant</t>
        </is>
      </c>
      <c r="C1540" t="inlineStr">
        <is>
          <t>Hello, My infant son recently got a spot vision screening done and afterwards, his doctor recommended us to go to a Ophthamologist because his hyperopia is out of range. I know these how strange times but just trying to see if there's a consensus on the reliability for hyperopia results because we may have to skip a complete eye exam given social distancing measures.</t>
        </is>
      </c>
      <c r="D1540" t="n">
        <v>1</v>
      </c>
      <c r="E1540" t="n">
        <v>3</v>
      </c>
      <c r="F1540">
        <f>HYPERLINK("https://www.reddit.com/r/eyetriage/comments/g41l4j/reliability_of_spot_vision_screening_in_infant/")</f>
        <v/>
      </c>
      <c r="G1540" t="inlineStr">
        <is>
          <t>2020-04-18 21:32:24</t>
        </is>
      </c>
      <c r="H1540" t="inlineStr"/>
    </row>
    <row r="1541">
      <c r="A1541" t="inlineStr">
        <is>
          <t>g44g89</t>
        </is>
      </c>
      <c r="B1541" t="inlineStr">
        <is>
          <t>What can cuse a white eye discharge?</t>
        </is>
      </c>
      <c r="C1541" t="inlineStr">
        <is>
          <t>Hello, I have white eye discharge at the side of my eyes and I feel like my eyelids are dry, dayily and not depending of the hours of the day. It's been like that for half a year now, No ophtomologist can detect nothing. Any ideas?
Thanks.</t>
        </is>
      </c>
      <c r="D1541" t="n">
        <v>1</v>
      </c>
      <c r="E1541" t="n">
        <v>6</v>
      </c>
      <c r="F1541">
        <f>HYPERLINK("https://www.reddit.com/r/eyetriage/comments/g44g89/what_can_cuse_a_white_eye_discharge/")</f>
        <v/>
      </c>
      <c r="G1541" t="inlineStr">
        <is>
          <t>2020-04-19 01:50:49</t>
        </is>
      </c>
      <c r="H1541" t="inlineStr"/>
    </row>
    <row r="1542">
      <c r="A1542" t="inlineStr">
        <is>
          <t>g49kfs</t>
        </is>
      </c>
      <c r="B1542" t="inlineStr">
        <is>
          <t>Weird warping shadow in vision when looking left or right.</t>
        </is>
      </c>
      <c r="C1542" t="inlineStr">
        <is>
          <t>So I've went to the optometrist twice already thinking something was going horribly wrong with my eyes, being told I'm fine then sent home. Now I'm seeing this weird warping oval in the left and right side of my vision. It bends around light and becomes more or less apparent when I move my eyes back and forth. Im also suffering from dry eyes since a week and a half ago and have been using systane complete eye drops, they help but don't get rid of the problem. I'm going to see if I can get an appointment for tomorrow or an appointment with an opthamalogist. Anyone know what this is?</t>
        </is>
      </c>
      <c r="D1542" t="n">
        <v>1</v>
      </c>
      <c r="E1542" t="n">
        <v>8</v>
      </c>
      <c r="F1542">
        <f>HYPERLINK("https://www.reddit.com/r/eyetriage/comments/g49kfs/weird_warping_shadow_in_vision_when_looking_left/")</f>
        <v/>
      </c>
      <c r="G1542" t="inlineStr">
        <is>
          <t>2020-04-19 08:32:11</t>
        </is>
      </c>
      <c r="H1542" t="inlineStr"/>
    </row>
    <row r="1543">
      <c r="A1543" t="inlineStr">
        <is>
          <t>g4aubb</t>
        </is>
      </c>
      <c r="B1543" t="inlineStr">
        <is>
          <t>Can a cracked phone screen emit light that can damage your eyes?</t>
        </is>
      </c>
      <c r="C1543" t="inlineStr">
        <is>
          <t>I know that glass can block certain wavelengths of light that harmful to your eyes. And I also know most phones use LED lights that emit blue light that’s damaging to your eyes. I cracked my phone’s screen the other day and the extra light is bleeding through the cracks. Is it possible that the light coming out is damaging to my eyes?</t>
        </is>
      </c>
      <c r="D1543" t="n">
        <v>1</v>
      </c>
      <c r="E1543" t="n">
        <v>2</v>
      </c>
      <c r="F1543">
        <f>HYPERLINK("https://www.reddit.com/r/eyetriage/comments/g4aubb/can_a_cracked_phone_screen_emit_light_that_can/")</f>
        <v/>
      </c>
      <c r="G1543" t="inlineStr">
        <is>
          <t>2020-04-19 09:46:42</t>
        </is>
      </c>
      <c r="H1543" t="inlineStr"/>
    </row>
    <row r="1544">
      <c r="A1544" t="inlineStr">
        <is>
          <t>g4l3nm</t>
        </is>
      </c>
      <c r="B1544" t="inlineStr">
        <is>
          <t>My visual field is bouncing everywhere! Please help!</t>
        </is>
      </c>
      <c r="C1544" t="inlineStr">
        <is>
          <t>For about six months whatever I look at will shake! For example, if I look at a painting in my house it looks as if the painting is moving back in forth in a vibration like state. For some reason whenever I am moving it seems to get better. It is only when I am still or traveling at a slow speed that this occurs. It is constant in that regard. I went to an optometrist about 5 months ago and they did not find anything significant. No nystagmus was detected. 
What could this possibly be?
Side note: I don't have access to healthcare right now. Thank you all for your help and advice!</t>
        </is>
      </c>
      <c r="D1544" t="n">
        <v>1</v>
      </c>
      <c r="E1544" t="n">
        <v>6</v>
      </c>
      <c r="F1544">
        <f>HYPERLINK("https://www.reddit.com/r/eyetriage/comments/g4l3nm/my_visual_field_is_bouncing_everywhere_please_help/")</f>
        <v/>
      </c>
      <c r="G1544" t="inlineStr">
        <is>
          <t>2020-04-19 20:07:49</t>
        </is>
      </c>
      <c r="H1544" t="inlineStr"/>
    </row>
    <row r="1545">
      <c r="A1545" t="inlineStr">
        <is>
          <t>g4nzkr</t>
        </is>
      </c>
      <c r="B1545" t="inlineStr">
        <is>
          <t>How do you stop eye twitching?</t>
        </is>
      </c>
      <c r="C1545" t="inlineStr">
        <is>
          <t>My eye starting twitching suddenly and won’t stop.</t>
        </is>
      </c>
      <c r="D1545" t="n">
        <v>1</v>
      </c>
      <c r="E1545" t="n">
        <v>4</v>
      </c>
      <c r="F1545">
        <f>HYPERLINK("https://www.reddit.com/r/eyetriage/comments/g4nzkr/how_do_you_stop_eye_twitching/")</f>
        <v/>
      </c>
      <c r="G1545" t="inlineStr">
        <is>
          <t>2020-04-19 23:59:11</t>
        </is>
      </c>
      <c r="H1545" t="inlineStr"/>
    </row>
    <row r="1546">
      <c r="A1546" t="inlineStr">
        <is>
          <t>g4t7pp</t>
        </is>
      </c>
      <c r="B1546" t="inlineStr">
        <is>
          <t>Missed eye injection due to COVID</t>
        </is>
      </c>
      <c r="C1546" t="inlineStr">
        <is>
          <t xml:space="preserve"> Not sure if this is the place to post this, but I've been worried about my dad's eye health. He has diabetic macular edema and gets routine eye injections to treat his condition, but because of COVID-19 his ophthalmologist is not seeing patients. My dad missed his injection earlier this month and has been having trouble seeing. He says he has trouble with faces sometimes and making out objects on the floor. It has him depressed and worried. He spoke with his doctor and said he'd do something "if it gets worse and becomes an emergency." His doctor also told him that since he responded well to the injections in the past that they should work to clear it up again, but can't provide any timeline since the state is still locked down. The matter is a bit complicated because my dad lives in a rural part of Michigan and his ophthalmologist flies to my dad's hospital once a month to see patients. Hospitals in Michigan are on strict orders not to allow "non-essential" treatments. Do you think it's worth my dad seeking a second opinion or will letting this condition go a few weeks not make a big difference?</t>
        </is>
      </c>
      <c r="D1546" t="n">
        <v>1</v>
      </c>
      <c r="E1546" t="n">
        <v>11</v>
      </c>
      <c r="F1546">
        <f>HYPERLINK("https://www.reddit.com/r/eyetriage/comments/g4t7pp/missed_eye_injection_due_to_covid/")</f>
        <v/>
      </c>
      <c r="G1546" t="inlineStr">
        <is>
          <t>2020-04-20 06:55:47</t>
        </is>
      </c>
      <c r="H1546" t="inlineStr"/>
    </row>
    <row r="1547">
      <c r="A1547" t="inlineStr">
        <is>
          <t>g4v23c</t>
        </is>
      </c>
      <c r="B1547" t="inlineStr">
        <is>
          <t>Eyes pain when reading on an e-ink ereader</t>
        </is>
      </c>
      <c r="C1547" t="inlineStr">
        <is>
          <t xml:space="preserve"> I  was wondering if anyone could help me understand why my eyes hurt when I  am reading on my Kobo Libra H2O ereader. From what I understand, this  device is e-ink (which should be better than LCD) and it should ne be  flickering.
After reading for  10-15 minutes, my eyes hurt, my vision is somehow blurry and I have  trouble to focus on anything for maybe 10-15 minutes.
I  first thought I didn't put enough light on it, prefering to read  without it to save battery life. Then I tried to put some light, bigger  font, etc.
It won't change a  thing. In the end, my eyes hurt. I have no problem with a paper book,  even with smaller font (but not too small!), so I was wondering if  something could be wrong with my eyes or is there a logical explanation  for this.
Thank you very much</t>
        </is>
      </c>
      <c r="D1547" t="n">
        <v>1</v>
      </c>
      <c r="E1547" t="n">
        <v>4</v>
      </c>
      <c r="F1547">
        <f>HYPERLINK("https://www.reddit.com/r/eyetriage/comments/g4v23c/eyes_pain_when_reading_on_an_eink_ereader/")</f>
        <v/>
      </c>
      <c r="G1547" t="inlineStr">
        <is>
          <t>2020-04-20 08:40:02</t>
        </is>
      </c>
      <c r="H1547" t="inlineStr"/>
    </row>
    <row r="1548">
      <c r="A1548" t="inlineStr">
        <is>
          <t>g51s57</t>
        </is>
      </c>
      <c r="B1548" t="inlineStr">
        <is>
          <t>I have image retention in my eyes and keep seeing black spots (not floaters)</t>
        </is>
      </c>
      <c r="C1548" t="inlineStr">
        <is>
          <t>As an example, I've been playing a video game called Valorant and the reticle is a glowing yellow shape, if I am looking at that (not directly, just near it) I can see the reticle when I close my eyes/blink for a good 10 seconds. Is that normal? [here](https://cdn1.dotesports.com/wp-content/uploads/2020/03/31110546/Reveal_ReactorA_VALORANT-1-1024x576.jpg) is a screenshot of that reticle in game. It happens with text or any images, especially apparent with white text on dark backgrounds such as dark mode on Reddit. 
The other issue is I keep seeing black spots that aren't floaters, I'm used to floaters  so I know it's not them, this is like a small round shape that sometimes appears and blocks vision and doesn't move unlike a floater, it disappears after a few minutes and I get them maybe a few times every other day.</t>
        </is>
      </c>
      <c r="D1548" t="n">
        <v>1</v>
      </c>
      <c r="E1548" t="n">
        <v>0</v>
      </c>
      <c r="F1548">
        <f>HYPERLINK("https://www.reddit.com/r/eyetriage/comments/g51s57/i_have_image_retention_in_my_eyes_and_keep_seeing/")</f>
        <v/>
      </c>
      <c r="G1548" t="inlineStr">
        <is>
          <t>2020-04-20 14:31:35</t>
        </is>
      </c>
      <c r="H1548" t="inlineStr"/>
    </row>
    <row r="1549">
      <c r="A1549" t="inlineStr">
        <is>
          <t>g591il</t>
        </is>
      </c>
      <c r="B1549" t="inlineStr">
        <is>
          <t>Fuch’s Dystrophy or psoriatic uveitis?</t>
        </is>
      </c>
      <c r="C1549" t="inlineStr">
        <is>
          <t>58 yo female diagnosed 18 months ago with Fuch’s Dystrophy after some vision loss in my R peripheral vision. I also had some blurred vision as well. I had the cataracts removed, but not the corneal transplant. 
3 days ago I was finally diagnosed with psoriatic arthritis as well as psoriasis. (I have been ill for 4 years, and finally have it figured out. 
My rheumatologist wants me to see the state specialist on uveitis, to make the determination of if my issues are related to psoriatic uveitis or do I really have Fuch’s Dystrophy. 
Inquiring minds...........</t>
        </is>
      </c>
      <c r="D1549" t="n">
        <v>1</v>
      </c>
      <c r="E1549" t="n">
        <v>1</v>
      </c>
      <c r="F1549">
        <f>HYPERLINK("https://www.reddit.com/r/eyetriage/comments/g591il/fuchs_dystrophy_or_psoriatic_uveitis/")</f>
        <v/>
      </c>
      <c r="G1549" t="inlineStr">
        <is>
          <t>2020-04-20 22:01:41</t>
        </is>
      </c>
      <c r="H1549" t="inlineStr"/>
    </row>
    <row r="1550">
      <c r="A1550" t="inlineStr">
        <is>
          <t>g59z85</t>
        </is>
      </c>
      <c r="B1550" t="inlineStr">
        <is>
          <t>Eye lighting bolts</t>
        </is>
      </c>
      <c r="C1550" t="inlineStr">
        <is>
          <t>2 years ago I went to the eye doctor for eye flashes I was having and he claimed my retina was fine and my eyes were fine. 2 years later I now get really fast streaks of lighting that start at one end and "burn" to the other. They are very fast and I mostly see them on white backgrounds on my computer screen. I also occasionally see them at night. Along with this I have floaters that I've noticed for well over a decade. I'm currently 22 and very worried about my eyes. I suffer from migraines, but I know my symptoms well and these happen way to often and have no pain afterword. Has anyone experienced this? I should note my typical eye flashes have ceased. These were like someone taking a picture of me with a dim flash when my eyes were closed.</t>
        </is>
      </c>
      <c r="D1550" t="n">
        <v>1</v>
      </c>
      <c r="E1550" t="n">
        <v>4</v>
      </c>
      <c r="F1550">
        <f>HYPERLINK("https://www.reddit.com/r/eyetriage/comments/g59z85/eye_lighting_bolts/")</f>
        <v/>
      </c>
      <c r="G1550" t="inlineStr">
        <is>
          <t>2020-04-20 23:19:29</t>
        </is>
      </c>
      <c r="H1550" t="inlineStr"/>
    </row>
    <row r="1551">
      <c r="A1551" t="inlineStr">
        <is>
          <t>g5act9</t>
        </is>
      </c>
      <c r="B1551" t="inlineStr">
        <is>
          <t>Glaucoma?</t>
        </is>
      </c>
      <c r="C1551" t="inlineStr">
        <is>
          <t xml:space="preserve"> Hi, I'm very worried since I feel like if I have high pressure in my eyes I don't feel any pain at all but I can feel like my eye is swelling a little bit? Could this possibly just be eye strain or should I be worried and go seek medical attention because of glaucoma? I'm 18 in case anybody is wondering about my age.</t>
        </is>
      </c>
      <c r="D1551" t="n">
        <v>1</v>
      </c>
      <c r="E1551" t="n">
        <v>2</v>
      </c>
      <c r="F1551">
        <f>HYPERLINK("https://www.reddit.com/r/eyetriage/comments/g5act9/glaucoma/")</f>
        <v/>
      </c>
      <c r="G1551" t="inlineStr">
        <is>
          <t>2020-04-20 23:52:36</t>
        </is>
      </c>
      <c r="H1551" t="inlineStr"/>
    </row>
    <row r="1552">
      <c r="A1552" t="inlineStr">
        <is>
          <t>g5dvi8</t>
        </is>
      </c>
      <c r="B1552" t="inlineStr">
        <is>
          <t>Why aren't there any preservative-free brimonidine tartrate drops available?</t>
        </is>
      </c>
      <c r="C1552" t="inlineStr">
        <is>
          <t>I, like many, suffer from red eyes with no pathology. I've been told on several occasions that there's nothing I can do about it. I was ecstatic to see the introduction of Bausch &amp;amp; Lomb's Lumify drops, a redness reliever with no rebound effect. However, as it contains BAK, it's not suitable for regular use. The preservative is very harsh on the eye. Why aren't there any preservative-free brimonidine tartrate drops that offer redness relief? Or just drops that use a better-tolerated preservative? 
&amp;amp;#x200B;
It would completely solve the problem once and for it.</t>
        </is>
      </c>
      <c r="D1552" t="n">
        <v>1</v>
      </c>
      <c r="E1552" t="n">
        <v>8</v>
      </c>
      <c r="F1552">
        <f>HYPERLINK("https://www.reddit.com/r/eyetriage/comments/g5dvi8/why_arent_there_any_preservativefree_brimonidine/")</f>
        <v/>
      </c>
      <c r="G1552" t="inlineStr">
        <is>
          <t>2020-04-21 04:56:44</t>
        </is>
      </c>
      <c r="H1552" t="inlineStr"/>
    </row>
    <row r="1553">
      <c r="A1553" t="inlineStr">
        <is>
          <t>g5krne</t>
        </is>
      </c>
      <c r="B1553" t="inlineStr">
        <is>
          <t>Lattice Degeneration/Snail Track</t>
        </is>
      </c>
      <c r="C1553" t="inlineStr">
        <is>
          <t>Hi guys,I am 24(M), was told I had 5 holes in right eye and 2 in left, was treated with laser. My eye doc said I had Lattice(Snail track lattice), is this the same thing as lattice? Some say it’s an earlier version/pre lattice? Always worried about RD, is the % of RD the same with snail as regular lattice? About 2%? Thanks</t>
        </is>
      </c>
      <c r="D1553" t="n">
        <v>1</v>
      </c>
      <c r="E1553" t="n">
        <v>2</v>
      </c>
      <c r="F1553">
        <f>HYPERLINK("https://www.reddit.com/r/eyetriage/comments/g5krne/lattice_degenerationsnail_track/")</f>
        <v/>
      </c>
      <c r="G1553" t="inlineStr">
        <is>
          <t>2020-04-21 11:32:56</t>
        </is>
      </c>
      <c r="H1553" t="inlineStr"/>
    </row>
    <row r="1554">
      <c r="A1554" t="inlineStr">
        <is>
          <t>g5mjif</t>
        </is>
      </c>
      <c r="B1554" t="inlineStr">
        <is>
          <t>How reliable is a visual field test?</t>
        </is>
      </c>
      <c r="C1554" t="inlineStr">
        <is>
          <t>I've recently had a visual field test and everything came up alright, my peripheral vision, according to the test is healthy/normal, but what I'm failing to understand is my peripheral vision the past few months has been very off; hazy, loss of acuity, and seems like I've lost a small portion of my left part of vision in left eye. Saw an ophthalmologist a few days ago and had a retinal scan, Oct of the macular, visual field test, and dilated eye exam- everything came back fine</t>
        </is>
      </c>
      <c r="D1554" t="n">
        <v>0</v>
      </c>
      <c r="E1554" t="n">
        <v>31</v>
      </c>
      <c r="F1554">
        <f>HYPERLINK("https://www.reddit.com/r/eyetriage/comments/g5mjif/how_reliable_is_a_visual_field_test/")</f>
        <v/>
      </c>
      <c r="G1554" t="inlineStr">
        <is>
          <t>2020-04-21 13:05:01</t>
        </is>
      </c>
      <c r="H1554" t="inlineStr"/>
    </row>
    <row r="1555">
      <c r="A1555" t="inlineStr">
        <is>
          <t>g5nqm6</t>
        </is>
      </c>
      <c r="B1555" t="inlineStr">
        <is>
          <t>Scratched my caruncle?</t>
        </is>
      </c>
      <c r="C1555" t="inlineStr">
        <is>
          <t>Hey there! So I'm a 19 year old female and I've had an eyelash stuck near my caruncle for the past 2 days. I finally got it out today by lightly prying it out with my finger. I don't have long finger nails, I'm a nail biter so I was able to get it out without poking myself.
Through the day I could feel the eyelash poking and digging into my eyeball. When I finally removed it, there was the tiniest little red dot above my caruncle and it's pretty itchy. I had a corneal abrasion once before and can't really remember what that feels like.
With the coronavirus, the eye doctor isn't an option right now. You guys think it's just irritated from the eyelash and it'll heal soon? Any advice or tips?
Thanks so much!</t>
        </is>
      </c>
      <c r="D1555" t="n">
        <v>2</v>
      </c>
      <c r="E1555" t="n">
        <v>1</v>
      </c>
      <c r="F1555">
        <f>HYPERLINK("https://www.reddit.com/r/eyetriage/comments/g5nqm6/scratched_my_caruncle/")</f>
        <v/>
      </c>
      <c r="G1555" t="inlineStr">
        <is>
          <t>2020-04-21 14:07:52</t>
        </is>
      </c>
      <c r="H1555" t="inlineStr"/>
    </row>
    <row r="1556">
      <c r="A1556" t="inlineStr">
        <is>
          <t>g9qf7o</t>
        </is>
      </c>
      <c r="B1556" t="inlineStr">
        <is>
          <t>Restriction Lifted</t>
        </is>
      </c>
      <c r="C1556" t="inlineStr">
        <is>
          <t>Hi everyone, sorry - it was pointed out to me that somehow the subreddit had been set to "Restricted" status, where only approved users could post. I'm not sure how that happened, but I've changed it back to being completely open again now.
This will make moderation a bit more difficult for me, so any help you all have in reporting and flagging inappropriate posts - mostly I'm thinking advertisements, spam, and outright snake oil peddling - would be appreciated.
I still remain conflicted about this method of patient care. **It isn't patient care**. Let's just say that. It is in no way a replacement or even a stand-in for a medical examination of your eyes. The advice you may receive here is not validated by any recognized authority; even real doctors like myself are just anonymous strangers to you, and could be faking their credentials for all you know. This subreddit IS NOT able to replace a true in-person physical examination of your eyes and will always be inferior to an in-person evaluation by an ophthalmic physician or optometrist.
But I recognize that perhaps more than ever, this can be helpful while we are all doing our best to live with the changes that COVID-19 has created in our lives.
Stay safe and healthy out there, everyone.</t>
        </is>
      </c>
      <c r="D1556" t="n">
        <v>3</v>
      </c>
      <c r="E1556" t="n">
        <v>4</v>
      </c>
      <c r="F1556">
        <f>HYPERLINK("https://www.reddit.com/r/eyetriage/comments/g9qf7o/restriction_lifted/")</f>
        <v/>
      </c>
      <c r="G1556" t="inlineStr">
        <is>
          <t>2020-04-28 09:30:06</t>
        </is>
      </c>
      <c r="H1556" t="inlineStr"/>
    </row>
    <row r="1557">
      <c r="A1557" t="inlineStr">
        <is>
          <t>g9rvvj</t>
        </is>
      </c>
      <c r="B1557" t="inlineStr">
        <is>
          <t>Should I see a new eye doctor or my old optometrist for uveitis (25f)</t>
        </is>
      </c>
      <c r="C1557" t="inlineStr">
        <is>
          <t>Hi. I feel like I’m kind of in a pickle so I thought maybe I could get some decent advice. 
A year ago I got dx with anterior uveitis and glaucoma by an optometrist. He’s in a clinic with ophthalmologists but he said he felt comfortable treating me with eye drops and told me it could indicate I need to see a rheumatologist, and long story short I did. Positive Ana and high CRP (75) and SED (100) but negative for RA, Lupus, Sarcoidois, etc. they told me I most likely have Behçets or something similar. My rheumatologist told me to start humira and recommended I see a ophthalmologist because she said an optmitrist shouldn’t be my primary eye doctor for it. 
I took her advice and called the clinic she recommended but the person she suggested had just gone out on medical leave so I saw another doctor. He was not a retinal specialist nor a uveitis specialist, but he said there wasn’t anything wrong with my eyes and told me he thought I wanted pain medication...which is weird because I don’t take any pain medicine and I told him I had started humira two months prior and it was helping a lot with the systemic issues and ulcers so it might be helping my eyes too. I was really upset by him and I just kept seeing my old eye doctor after. 
The optometrist does do slit lamp tests and I did have two field vision tests when they were looking into glaucoma stuff and he mentioned that I had lost most of the peripheral vision in my right eye (which is my eye that tends to get uveitis flares) but he’s never done any other testing. 
Now I’m on remicade and azathioprine and the past three days I’ve had new spots in my vision, lots of pain and flashing lights. My rheumatologist has covid and is out of the office and i left a voice mail and email with her partner but haven’t heard a response. I was on the tail end of a pred taper for a flare two weeks ago and now I’m just stretching it out at the end to get to tomorrow without being in agonizing pain. This eye pain doesn’t feel as sharp as my usual anterior uveitis and is a deeper, aching pain that specifically hurts when I move my eye (it’s only in my left eye). If i didn’t know better I’d say it was a ocular migraine but it doesn’t feel quite like that either; and with my medical history I’m nervous to brush it off. I’ve taken Aleve, ibuprofen and Tylenol this weekend to no relief and I don’t feel comfortable taking more prednisone without my doctors order (I’m taking just an extra weekend of 10 mg when I was supposed to go down to 5 and then 0 today) 
Now...should I call a new eye doctor tomorrow or just keep seeing the old one? I’m so nervous a new eye doctor won’t believe me but I’m nervous my old eye doctor is not treating me correctly. I lost a lot of vision last year and my current eye doctor just shrugged and offered more prednisone drops. I feel like if I didn’t hound my doctors for a rheum referral I might have lost even more of my vision. I do have a remicade infusion on Friday but I can’t even sit in my living room without an eye patch on right now. I’m just really frustrated and unsure of what the best course of action would be!</t>
        </is>
      </c>
      <c r="D1557" t="n">
        <v>1</v>
      </c>
      <c r="E1557" t="n">
        <v>6</v>
      </c>
      <c r="F1557">
        <f>HYPERLINK("https://www.reddit.com/r/eyetriage/comments/g9rvvj/should_i_see_a_new_eye_doctor_or_my_old/")</f>
        <v/>
      </c>
      <c r="G1557" t="inlineStr">
        <is>
          <t>2020-04-28 10:48:38</t>
        </is>
      </c>
      <c r="H1557" t="inlineStr"/>
    </row>
    <row r="1558">
      <c r="A1558" t="inlineStr">
        <is>
          <t>g9s5dx</t>
        </is>
      </c>
      <c r="B1558" t="inlineStr">
        <is>
          <t>Scared: Congential Glaucoma coming back at 20</t>
        </is>
      </c>
      <c r="C1558" t="inlineStr">
        <is>
          <t>So I went to an ophthalmologist for some eye irritation a week ago, and they told me that my eye pressure is at 34 in my left eye and 20 in my right eye. I went back today and the pressures are still elevated, so they are sending me to a glaucoma specialist tomorrow.
I had surgery in my right eye as an infant for glaucoma.
I was just wondering if anyone could be real with me about my eyesight prognosis. Does this mean that I will probably lose my vision before 60? Is it possible to stop progression for the next 60 years of my life? What kind of treatment do you think I will receive?
I just want to be mentally prepared for tomorrow.
Also \*Congenital, sorry for the misspelling</t>
        </is>
      </c>
      <c r="D1558" t="n">
        <v>1</v>
      </c>
      <c r="E1558" t="n">
        <v>1</v>
      </c>
      <c r="F1558">
        <f>HYPERLINK("https://www.reddit.com/r/eyetriage/comments/g9s5dx/scared_congential_glaucoma_coming_back_at_20/")</f>
        <v/>
      </c>
      <c r="G1558" t="inlineStr">
        <is>
          <t>2020-04-28 11:02:45</t>
        </is>
      </c>
      <c r="H1558" t="inlineStr"/>
    </row>
    <row r="1559">
      <c r="A1559" t="inlineStr">
        <is>
          <t>g9ujce</t>
        </is>
      </c>
      <c r="B1559" t="inlineStr">
        <is>
          <t>COVID-19 (Coronavirus) Resources and Info for Uveitis Patients | Where to find support and guidance.</t>
        </is>
      </c>
      <c r="C1559" t="inlineStr">
        <is>
          <t>Hi, I'm an UK Ophthalmologist who deals with Uveitis.
I've made a little video with a list of resources for people with Uveitis during the current pandemic. Please do share if you think it might be useful (apologies as my voice isn't great as i've only just recovered from four weeks of covid19 and had pneumonia):
[https://www.youtube.com/watch?v=qD6Hjut1sfo](https://www.youtube.com/watch?v=qD6Hjut1sfo&amp;amp;fbclid=IwAR32U2fDnLL0hRUacf_GHnALnQMxT3cnI8U9gwuc87Dq5Nz4BanZzgNiBlI)</t>
        </is>
      </c>
      <c r="D1559" t="n">
        <v>1</v>
      </c>
      <c r="E1559" t="n">
        <v>0</v>
      </c>
      <c r="F1559">
        <f>HYPERLINK("https://www.reddit.com/r/eyetriage/comments/g9ujce/covid19_coronavirus_resources_and_info_for/")</f>
        <v/>
      </c>
      <c r="G1559" t="inlineStr">
        <is>
          <t>2020-04-28 13:09:08</t>
        </is>
      </c>
      <c r="H1559" t="inlineStr"/>
    </row>
    <row r="1560">
      <c r="A1560" t="inlineStr">
        <is>
          <t>g9vvbm</t>
        </is>
      </c>
      <c r="B1560" t="inlineStr">
        <is>
          <t>Eye strain from not variating depth vision</t>
        </is>
      </c>
      <c r="C1560" t="inlineStr">
        <is>
          <t>As I understand, one advice for reducing eye strain after prolonged computer usage/reading, is to look a bit at a point of focus far away every now and then, like looking out your window to give the eye some variation of its depth focus.
I'm wondering if the same can be achieved by tricking the eye to focus far away by e.g. looking into a device that shifts depth vision to far away, like a reverse binocular?</t>
        </is>
      </c>
      <c r="D1560" t="n">
        <v>1</v>
      </c>
      <c r="E1560" t="n">
        <v>1</v>
      </c>
      <c r="F1560">
        <f>HYPERLINK("https://www.reddit.com/r/eyetriage/comments/g9vvbm/eye_strain_from_not_variating_depth_vision/")</f>
        <v/>
      </c>
      <c r="G1560" t="inlineStr">
        <is>
          <t>2020-04-28 14:18:46</t>
        </is>
      </c>
      <c r="H1560" t="inlineStr"/>
    </row>
    <row r="1561">
      <c r="A1561" t="inlineStr">
        <is>
          <t>ga5pmf</t>
        </is>
      </c>
      <c r="B1561" t="inlineStr">
        <is>
          <t>Eye dryness</t>
        </is>
      </c>
      <c r="C1561" t="inlineStr">
        <is>
          <t>Is there a way to get rid of eye dryness/inflammation in the morning when waking up?</t>
        </is>
      </c>
      <c r="D1561" t="n">
        <v>1</v>
      </c>
      <c r="E1561" t="n">
        <v>2</v>
      </c>
      <c r="F1561">
        <f>HYPERLINK("https://www.reddit.com/r/eyetriage/comments/ga5pmf/eye_dryness/")</f>
        <v/>
      </c>
      <c r="G1561" t="inlineStr">
        <is>
          <t>2020-04-29 01:33:25</t>
        </is>
      </c>
      <c r="H1561" t="inlineStr"/>
    </row>
    <row r="1562">
      <c r="A1562" t="inlineStr">
        <is>
          <t>gabanx</t>
        </is>
      </c>
      <c r="B1562" t="inlineStr">
        <is>
          <t>How Long is Too Long? Prolonged pupil dilation</t>
        </is>
      </c>
      <c r="C1562" t="inlineStr">
        <is>
          <t>Due to the state of the world my Ophthalmologist and Optometrist have not yet responded to my calls of concern, so I figured I'd crowd-source this while I wait for their response.   
I was recently diagnosed with traumatic iritis and traumatic mydriasis as a result of a recent assault (Saturday). My right eye was struck and I had temporary vision loss following the attack, but it did return over time somewhat. I was prescribed a topical steroid for the inflamation/irritation (Prednisolone) and a drop to dilate my pupil (Atropine 1%). The steroid works great; the Atropine works TOO well.  
I'm supposed to administer two drops of the Atropine a day. I took my first drop yesterday evening. When I woke up this morning, my pupil was still fully dilated. I understand that the mydriasis means the iris is damaged and is not reacting to light like normal. With my pupil now fully dilated, I am having difficulty reading and working. I am worried that the dilating drops will cause my pupil to be "stuck" wide open, as opposed to where it was stuck before. I do not understand the purpose of the dilating drops for my diagnosis and I am worried that my pupil does not seem to be responding. Why would an ophthalmologist recommend dilating a damaged pupil? Could this be an adverse reaction with the steroid? How long is the dilation supposed to last (I'm on 15+ hours so far with just one drop)? Is there any way to reverse the dilation?   
I have called both my doctors and they have yet to respond. In the meantime I am holding off on taking the medication until I get a response. I don't want to make the problem worse, but im also afraid if not taking my medication will have the same effect. I don't know what to do. I plan to follow up again with them at noon. Any background/reassurance this site could give me would be greatly appreciated.</t>
        </is>
      </c>
      <c r="D1562" t="n">
        <v>1</v>
      </c>
      <c r="E1562" t="n">
        <v>5</v>
      </c>
      <c r="F1562">
        <f>HYPERLINK("https://www.reddit.com/r/eyetriage/comments/gabanx/how_long_is_too_long_prolonged_pupil_dilation/")</f>
        <v/>
      </c>
      <c r="G1562" t="inlineStr">
        <is>
          <t>2020-04-29 08:13:15</t>
        </is>
      </c>
      <c r="H1562" t="inlineStr"/>
    </row>
    <row r="1563">
      <c r="A1563" t="inlineStr">
        <is>
          <t>gam3ep</t>
        </is>
      </c>
      <c r="B1563" t="inlineStr">
        <is>
          <t>my eye turned red</t>
        </is>
      </c>
      <c r="C1563" t="inlineStr">
        <is>
          <t>Last night, my eye got itchy and in a matter of seconds, it turned red. After a few minutes of my eye being red, I tried to wash my eyes in the water by trying to open my eyes on the shower (since I was kid, my mom have always advised me to do this and it usually works). The itching slowly stopped after that but it is still red and my eye got a little bit teary at this point. This morning I woke with my eye still read, still a bit teary, swollen, and has a normal amount of gound. Help.</t>
        </is>
      </c>
      <c r="D1563" t="n">
        <v>1</v>
      </c>
      <c r="E1563" t="n">
        <v>5</v>
      </c>
      <c r="F1563">
        <f>HYPERLINK("https://www.reddit.com/r/eyetriage/comments/gam3ep/my_eye_turned_red/")</f>
        <v/>
      </c>
      <c r="G1563" t="inlineStr">
        <is>
          <t>2020-04-29 18:14:25</t>
        </is>
      </c>
      <c r="H1563" t="inlineStr"/>
    </row>
    <row r="1564">
      <c r="A1564" t="inlineStr">
        <is>
          <t>gargj6</t>
        </is>
      </c>
      <c r="B1564" t="inlineStr">
        <is>
          <t>Alternating esotropia &amp;amp; myopic astigmatism - Treatment options - 4 year old</t>
        </is>
      </c>
      <c r="C1564" t="inlineStr">
        <is>
          <t>My son (Age 4) is diagnosed with alternating esotropia &amp;amp; myopic astigmatism.
Prescription from Ophthalmologist - 
Right (OD )  &amp;gt;  Sph (-3.75)  Cyl (-2.00) Ax (173)
Left (OS )  &amp;gt;  Sph (-4.00)  Cyl (-1.25) Ax (165)
Picture below -- His eye turns are severe. I don't have the measurements. 
&amp;amp;#x200B;
https://preview.redd.it/7r7axk83vwv41.jpg?width=265&amp;amp;format=pjpg&amp;amp;auto=webp&amp;amp;s=28a444dde2c8a0842071692b75211f7ccd3c11f1
Questions
1. His eye glasses ( per prescription above) cause his eyes to turn immediately when he wears them. Considering this should he continue  to wear them ? Are the glasses making his eyes better or worse? \[We force him to wear when he watches TV. Other times he takes them off\]
2. His eye turns in, when he tries to focus something close (within 6 inches to 2 ft). When he looks at things 10 ft away (primary gaze), he  is able to align the eyes &amp;amp; get binocular vision. What does this indicate ? What are the chances for him to get binocular vision when focuses things up close ? Is esotropia categorized by focusing distance ? Or is this an effect of myopic astigmatism ? 
3. Does astigmatism evolve into amblyopia ? 
4. Has anyone of you had the combination of these two (alternating esotropia &amp;amp; myopic astigmatism) ? What are the  treatment options ?</t>
        </is>
      </c>
      <c r="D1564" t="n">
        <v>1</v>
      </c>
      <c r="E1564" t="n">
        <v>13</v>
      </c>
      <c r="F1564">
        <f>HYPERLINK("https://www.reddit.com/r/eyetriage/comments/gargj6/alternating_esotropia_myopic_astigmatism/")</f>
        <v/>
      </c>
      <c r="G1564" t="inlineStr">
        <is>
          <t>2020-04-30 00:55:26</t>
        </is>
      </c>
      <c r="H1564" t="inlineStr"/>
    </row>
    <row r="1565">
      <c r="A1565" t="inlineStr">
        <is>
          <t>gatpf4</t>
        </is>
      </c>
      <c r="B1565" t="inlineStr">
        <is>
          <t>“O” shaped flashes in eye?</t>
        </is>
      </c>
      <c r="C1565" t="inlineStr">
        <is>
          <t>hello everyone, i have a quick question about my eyes. 
first off i have pretty bad vision and was last at the eye doctor in late february/early march for my yearly eye update 
anyways a couple days ago i saw a flash in my eye that looked like two “O’s,” (same white on the outside dark on this inside, it wasn’t like a circle of white or anything) they were side by side and it only happened once... earlier tonight i saw it again and looked up what it could be and got some results for retinal detachment, but idk if the type of flash i’m seeing is the same type of flash that ppl see when they have it? also this might sound a bit strange but if i roll my eyes to the back of my head, it causes “flashes” as well 
i just want to be extra sure before i go to the doctor. thanks for any advice!</t>
        </is>
      </c>
      <c r="D1565" t="n">
        <v>1</v>
      </c>
      <c r="E1565" t="n">
        <v>2</v>
      </c>
      <c r="F1565">
        <f>HYPERLINK("https://www.reddit.com/r/eyetriage/comments/gatpf4/o_shaped_flashes_in_eye/")</f>
        <v/>
      </c>
      <c r="G1565" t="inlineStr">
        <is>
          <t>2020-04-30 04:12:28</t>
        </is>
      </c>
      <c r="H1565" t="inlineStr"/>
    </row>
    <row r="1566">
      <c r="A1566" t="inlineStr">
        <is>
          <t>gavjnn</t>
        </is>
      </c>
      <c r="B1566" t="inlineStr">
        <is>
          <t>Spot in vision</t>
        </is>
      </c>
      <c r="C1566" t="inlineStr">
        <is>
          <t>- Known issues:
I started having ocular migraines (the type that affects one eye) about 6 months ago. I only had 2 episodes in total. I did an eye examination but everything was fine.
- Current symptoms:
For the last 2 months, I started seeing this small spot near the center of my vision. The spot looks similar to "photo-bleaches", without being caused by any light. I see it especially when looking at something bright (when reading)
At night, I sometimes see bright white/blue tiny flashes.
With the current quarantine, it's hard to see a doctor unless it's an emergency. Any ideas of what this might be?</t>
        </is>
      </c>
      <c r="D1566" t="n">
        <v>1</v>
      </c>
      <c r="E1566" t="n">
        <v>7</v>
      </c>
      <c r="F1566">
        <f>HYPERLINK("https://www.reddit.com/r/eyetriage/comments/gavjnn/spot_in_vision/")</f>
        <v/>
      </c>
      <c r="G1566" t="inlineStr">
        <is>
          <t>2020-04-30 06:21:10</t>
        </is>
      </c>
      <c r="H1566" t="inlineStr"/>
    </row>
    <row r="1567">
      <c r="A1567" t="inlineStr">
        <is>
          <t>gawwqr</t>
        </is>
      </c>
      <c r="B1567" t="inlineStr">
        <is>
          <t>Long term prognosis for Proliferative Retinopathy?</t>
        </is>
      </c>
      <c r="C1567" t="inlineStr">
        <is>
          <t>I guess I’m just looking for some positive stories. I joined a support group on FB that’s full of horror stories and it freaked me out. 
I’ve had a hemorrhage in one of my eyes and received laser therapy and an injection. 
I have a slight pull on my retina in one eye, but there has been no mention of a vitrectomy. I’m just down because I’m afraid if three things. 
1.Going blind
2.Having to deal with this the rest of my life. 
3.Losing insurance in the middle of all of this.
I’m 37 and have been a type 1 for 30 years. 
I’m having trouble finding good data on longe term prognosis. 
Thanks for any feedback.</t>
        </is>
      </c>
      <c r="D1567" t="n">
        <v>1</v>
      </c>
      <c r="E1567" t="n">
        <v>5</v>
      </c>
      <c r="F1567">
        <f>HYPERLINK("https://www.reddit.com/r/eyetriage/comments/gawwqr/long_term_prognosis_for_proliferative_retinopathy/")</f>
        <v/>
      </c>
      <c r="G1567" t="inlineStr">
        <is>
          <t>2020-04-30 07:41:49</t>
        </is>
      </c>
      <c r="H1567" t="inlineStr"/>
    </row>
    <row r="1568">
      <c r="A1568" t="inlineStr">
        <is>
          <t>gbgdpq</t>
        </is>
      </c>
      <c r="B1568" t="inlineStr">
        <is>
          <t>I mistakenly soaked my hard contact lenses in peroxide solution - can I re-soak them in a saline solution?</t>
        </is>
      </c>
      <c r="C1568" t="inlineStr">
        <is>
          <t>I have keratoconus and I use 6-monthly piggyback lenses (RGP on top of a soft lens). I usually use an all-purpose saline solution to store them overnight and clean them,  but last night I stupidly soaked the lenses in "easyvision peroxide solution" (3% hydrogen peroxide) having confused the two bottles. As far as I understand, I need to neutralise the peroxide, but I don't have the lens holder that came with the peroxide solution. If I soak the lenses in the standard saline solution, will I be able to continue wearing them? Thanks</t>
        </is>
      </c>
      <c r="D1568" t="n">
        <v>1</v>
      </c>
      <c r="E1568" t="n">
        <v>6</v>
      </c>
      <c r="F1568">
        <f>HYPERLINK("https://www.reddit.com/r/eyetriage/comments/gbgdpq/i_mistakenly_soaked_my_hard_contact_lenses_in/")</f>
        <v/>
      </c>
      <c r="G1568" t="inlineStr">
        <is>
          <t>2020-05-01 04:28:07</t>
        </is>
      </c>
      <c r="H1568" t="inlineStr"/>
    </row>
    <row r="1569">
      <c r="A1569" t="inlineStr">
        <is>
          <t>gbmevp</t>
        </is>
      </c>
      <c r="B1569" t="inlineStr">
        <is>
          <t>Strabismus as a child, starting to have double vision now as an adult</t>
        </is>
      </c>
      <c r="C1569" t="inlineStr">
        <is>
          <t xml:space="preserve"> 
I was born with strabismus. I had surgeries in both eyes as a toddler.
I cannot remember how my vision was as a child. I know after surgery they tried some patching and glasses.
Most of my life as teenager and adult, my vision has been like this:  
\- Left eye strong. 20/20 vision if corrected. (went from +1.25 in teens to +0.25 currently)  
\- Right eye weak. Less than 20/20 if corrected. (went from +2 in teens to +2.75 currently)  
\- Astigmatism in both eyes  
\- Can switch eyes for looking with, other eye vision is suppressed.
I am 29 now and in the last year or so I have been having on and off double vision. When I look with the right (weak) eye. The image from the left (strong) eye is creeping in. It's especially bad when looking at a specific object or watching TV. I will see two heads on people, etc. The double image will be on the left side but isn't completely static, it will move around. It has been becoming more and more persistent overtime.
How my eyes act:  
\- When looking with Left eye unfocused, Right eye drifts up.  
\- When looking with Left eye focused, RIght eye turns in.  
\- When looking with Right eye unfocused, Left eye turns slightly out.  
\- When looking with Right eye focused, Left eye turns in.
Why I think this could have happened?  
\- Mild concussion recently (couple years ago)  
\- Years of working on computer after finishing school  
\- Me trying to deliberately use my right eye more as I felt it getting weaker (prescription getting worse)
What have I done?  
\- Saw a vision therapist, very expensive and did not seem totally backed in science  
\- Saw an ophthalmologist. Had no idea why this could've happened and just wants me to keep monitoring. Doesn't know if a surgery could fix it. Will let their orthoptic specialist take a look when I go back in a couple months.  
\- Tried patching myself for instant relief but I know its not good to do this on my own.
So this is driving me nuts and affecting my work productivity as well as making me slightly nauseous and giving me more headaches in general. I am not sure what else I can do from here. I would love any insight or advice you could provide. Thank you.</t>
        </is>
      </c>
      <c r="D1569" t="n">
        <v>1</v>
      </c>
      <c r="E1569" t="n">
        <v>7</v>
      </c>
      <c r="F1569">
        <f>HYPERLINK("https://www.reddit.com/r/eyetriage/comments/gbmevp/strabismus_as_a_child_starting_to_have_double/")</f>
        <v/>
      </c>
      <c r="G1569" t="inlineStr">
        <is>
          <t>2020-05-01 10:28:43</t>
        </is>
      </c>
      <c r="H1569" t="inlineStr"/>
    </row>
    <row r="1570">
      <c r="A1570" t="inlineStr">
        <is>
          <t>gbte9a</t>
        </is>
      </c>
      <c r="B1570" t="inlineStr">
        <is>
          <t>Eye twitching for over a month</t>
        </is>
      </c>
      <c r="C1570" t="inlineStr">
        <is>
          <t>My left eye has been twitching since the lockdown began. I can feel my lower eyelid twitch almost constantly, when I put my finger on my upper eyelid I can feel that twitching on my finger but not my eye. My right eye doesn't have any twitching.
I'm essentially blind in my left eye (amblyopia) and have had two retinal detachment in the right, subsequent surgery, but I have okay vision.
So I'm not that bothered if the minimal vision deteriorates. I put it down to stress initially but now it's been over a month I'm wondering if it's something else.
Thanks in advance for any advice.</t>
        </is>
      </c>
      <c r="D1570" t="n">
        <v>1</v>
      </c>
      <c r="E1570" t="n">
        <v>0</v>
      </c>
      <c r="F1570">
        <f>HYPERLINK("https://www.reddit.com/r/eyetriage/comments/gbte9a/eye_twitching_for_over_a_month/")</f>
        <v/>
      </c>
      <c r="G1570" t="inlineStr">
        <is>
          <t>2020-05-01 16:55:59</t>
        </is>
      </c>
      <c r="H1570" t="inlineStr"/>
    </row>
    <row r="1571">
      <c r="A1571" t="inlineStr">
        <is>
          <t>gbtebr</t>
        </is>
      </c>
      <c r="B1571" t="inlineStr">
        <is>
          <t>Eye twitching for over a month</t>
        </is>
      </c>
      <c r="C1571" t="inlineStr">
        <is>
          <t>My left eye has been twitching since the lockdown began. I can feel my lower eyelid twitch almost constantly, when I put my finger on my upper eyelid I can feel that twitching on my finger but not my eye. My right eye doesn't have any twitching.
I'm essentially blind in my left eye (amblyopia) and have had two retinal detachment in the right, subsequent surgery, but I have okay vision.
So I'm not that bothered if the minimal vision deteriorates. I put it down to stress initially but now it's been over a month I'm wondering if it's something else.
Thanks in advance for any advice.</t>
        </is>
      </c>
      <c r="D1571" t="n">
        <v>1</v>
      </c>
      <c r="E1571" t="n">
        <v>0</v>
      </c>
      <c r="F1571">
        <f>HYPERLINK("https://www.reddit.com/r/eyetriage/comments/gbtebr/eye_twitching_for_over_a_month/")</f>
        <v/>
      </c>
      <c r="G1571" t="inlineStr">
        <is>
          <t>2020-05-01 16:56:03</t>
        </is>
      </c>
      <c r="H1571" t="inlineStr"/>
    </row>
    <row r="1572">
      <c r="A1572" t="inlineStr">
        <is>
          <t>gbtf60</t>
        </is>
      </c>
      <c r="B1572" t="inlineStr">
        <is>
          <t>Eye twitching for over a month</t>
        </is>
      </c>
      <c r="C1572" t="inlineStr">
        <is>
          <t>My left eye has been twitching since the lockdown began. I can feel my lower eyelid twitch almost constantly, when I put my finger on my upper eyelid I can feel that twitching on my finger but not my eye. My right eye doesn't have any twitching.
I'm essentially blind in my left eye (amblyopia) and have had two retinal detachment in the right, subsequent surgery, but I have okay vision.
So I'm not that bothered if the minimal vision deteriorates. I put it down to stress initially but now it's been over a month I'm wondering if it's something else.
Thanks in advance for any advice.</t>
        </is>
      </c>
      <c r="D1572" t="n">
        <v>1</v>
      </c>
      <c r="E1572" t="n">
        <v>2</v>
      </c>
      <c r="F1572">
        <f>HYPERLINK("https://www.reddit.com/r/eyetriage/comments/gbtf60/eye_twitching_for_over_a_month/")</f>
        <v/>
      </c>
      <c r="G1572" t="inlineStr">
        <is>
          <t>2020-05-01 16:56:52</t>
        </is>
      </c>
      <c r="H1572" t="inlineStr"/>
    </row>
    <row r="1573">
      <c r="A1573" t="inlineStr">
        <is>
          <t>gc8coz</t>
        </is>
      </c>
      <c r="B1573" t="inlineStr">
        <is>
          <t>Tilted vision that comes and goes?</t>
        </is>
      </c>
      <c r="C1573" t="inlineStr">
        <is>
          <t>This happens to me sometimes and always when I am looking at a screen (mobile phone or computer). 
I don't get dizzy or start seeing double, it's just that very suddenly what I am seeing becomes tilted and then it quickly returns to the normal position. It hasn't happened for many days now, just happened now when I was on google and lasted for a few seconds.
I have myopia (-1.75) on the left eye but not on the right one and use a contact lense on the left, which was my lazy eye until I was aroubd 10 years old (used pads to correct it). Also suffered from strabismus as a kid.  The image I am posting shows what I saw: [http://imgur.com/a/ADP6odD](http://imgur.com/a/ADP6odD)
My ophtalmologist is not working right now due to the pandemic and I don't know when I am able to see him. If anyone can help me understand what it may be, I would appreciate it!</t>
        </is>
      </c>
      <c r="D1573" t="n">
        <v>1</v>
      </c>
      <c r="E1573" t="n">
        <v>1</v>
      </c>
      <c r="F1573">
        <f>HYPERLINK("https://www.reddit.com/r/eyetriage/comments/gc8coz/tilted_vision_that_comes_and_goes/")</f>
        <v/>
      </c>
      <c r="G1573" t="inlineStr">
        <is>
          <t>2020-05-02 08:31:24</t>
        </is>
      </c>
      <c r="H1573" t="inlineStr"/>
    </row>
    <row r="1574">
      <c r="A1574" t="inlineStr">
        <is>
          <t>gcdoxn</t>
        </is>
      </c>
      <c r="B1574" t="inlineStr">
        <is>
          <t>retinitis pigmentosa</t>
        </is>
      </c>
      <c r="C1574" t="inlineStr">
        <is>
          <t>Is there cure for retinitis pigmentosa, can a patient with it have "Lasix"?</t>
        </is>
      </c>
      <c r="D1574" t="n">
        <v>1</v>
      </c>
      <c r="E1574" t="n">
        <v>3</v>
      </c>
      <c r="F1574">
        <f>HYPERLINK("https://www.reddit.com/r/eyetriage/comments/gcdoxn/retinitis_pigmentosa/")</f>
        <v/>
      </c>
      <c r="G1574" t="inlineStr">
        <is>
          <t>2020-05-02 13:50:49</t>
        </is>
      </c>
      <c r="H1574" t="inlineStr"/>
    </row>
    <row r="1575">
      <c r="A1575" t="inlineStr">
        <is>
          <t>gcef3g</t>
        </is>
      </c>
      <c r="B1575" t="inlineStr">
        <is>
          <t>Will storing preservative free eye drops in the fridge enable them to last longer?</t>
        </is>
      </c>
      <c r="C1575" t="inlineStr">
        <is>
          <t>I posses some preservative free glaucoma brimonidine tartrate drops, and I'm concerned about their longevity. Would storing the drops in the fridge help to ensure that they remain bacteria-free for longer?</t>
        </is>
      </c>
      <c r="D1575" t="n">
        <v>1</v>
      </c>
      <c r="E1575" t="n">
        <v>1</v>
      </c>
      <c r="F1575">
        <f>HYPERLINK("https://www.reddit.com/r/eyetriage/comments/gcef3g/will_storing_preservative_free_eye_drops_in_the/")</f>
        <v/>
      </c>
      <c r="G1575" t="inlineStr">
        <is>
          <t>2020-05-02 14:34:10</t>
        </is>
      </c>
      <c r="H1575" t="inlineStr"/>
    </row>
    <row r="1576">
      <c r="A1576" t="inlineStr">
        <is>
          <t>gcmuvp</t>
        </is>
      </c>
      <c r="B1576" t="inlineStr">
        <is>
          <t>Fuzzy\hazy peripheral vision - find it hard watching movies and reading.</t>
        </is>
      </c>
      <c r="C1576" t="inlineStr">
        <is>
          <t>First off, no health problems or history of eye disease or trauma apart from ocular migraines. I've had an MRI and have seen both an ophthalmologist and optometrist; have had a visual field test, dilated eye exam, retinal scan and oct of the macula. Getting to the main concern, my vision seems like it has been declining since last November last year and during a very stressful period- I was studying for exams, writing notes, then all of a sudden its like something "snapped" and vision become hazy and just weird. Ever since then it has seemed to be getting worse or vision has been changing. Peripheral is hazy and hard to make things out, I can't read more than 2 words at a time because the rest of the paragraph is just splotches and can't make much details when watching movies; like blind spots. I've been anxious ever since it happened and now on a ssri. Any idea on what this is?</t>
        </is>
      </c>
      <c r="D1576" t="n">
        <v>1</v>
      </c>
      <c r="E1576" t="n">
        <v>0</v>
      </c>
      <c r="F1576">
        <f>HYPERLINK("https://www.reddit.com/r/eyetriage/comments/gcmuvp/fuzzyhazy_peripheral_vision_find_it_hard_watching/")</f>
        <v/>
      </c>
      <c r="G1576" t="inlineStr">
        <is>
          <t>2020-05-03 00:59:04</t>
        </is>
      </c>
      <c r="H1576" t="inlineStr"/>
    </row>
    <row r="1577">
      <c r="A1577" t="inlineStr">
        <is>
          <t>gd28qo</t>
        </is>
      </c>
      <c r="B1577" t="inlineStr">
        <is>
          <t>Ortho k lens</t>
        </is>
      </c>
      <c r="C1577" t="inlineStr">
        <is>
          <t>I'm not a good candidate for Lasik (extreme dry eye) and considered Ortho k. It's my second month using these but my opthalmologist strongly advises against this. The lens is working fine at this time and my prescription is less than -2 (so I saw full correction within a week), but I'm contemplating switching back to glasses if the risk of infection from overnight lenses is very high. Just wanted to see if anyone here might have additional information. Thank you!</t>
        </is>
      </c>
      <c r="D1577" t="n">
        <v>1</v>
      </c>
      <c r="E1577" t="n">
        <v>10</v>
      </c>
      <c r="F1577">
        <f>HYPERLINK("https://www.reddit.com/r/eyetriage/comments/gd28qo/ortho_k_lens/")</f>
        <v/>
      </c>
      <c r="G1577" t="inlineStr">
        <is>
          <t>2020-05-03 18:18:27</t>
        </is>
      </c>
      <c r="H1577" t="inlineStr"/>
    </row>
    <row r="1578">
      <c r="A1578" t="inlineStr">
        <is>
          <t>gd32mb</t>
        </is>
      </c>
      <c r="B1578" t="inlineStr">
        <is>
          <t>Please tell me this is a stye...</t>
        </is>
      </c>
      <c r="C1578" t="inlineStr">
        <is>
          <t>I have a history with chalazions (5-6 in the past, all excised) but this looks like a stye because of the white head which I don't get with chalazions.
[Picture](https://media.discordapp.net/attachments/449732160128024576/706689053042671656/Screenshot_20200504-050815_Gallery.jpg?width=689&amp;amp;height=711)
Literally just felt it when I woke up today, felt the pain when I woke up and I instantly knew. I've been doing warm compresses and the white tip started showing more. 
It looks more red than it is in the picture, probably because the pic is post compress.
Its a stye not a chalazion right? I really don't want to get surgery again.
How often can I do warm compresses? I wanna nuke the fuck out of this thing lol</t>
        </is>
      </c>
      <c r="D1578" t="n">
        <v>1</v>
      </c>
      <c r="E1578" t="n">
        <v>0</v>
      </c>
      <c r="F1578">
        <f>HYPERLINK("https://www.reddit.com/r/eyetriage/comments/gd32mb/please_tell_me_this_is_a_stye/")</f>
        <v/>
      </c>
      <c r="G1578" t="inlineStr">
        <is>
          <t>2020-05-03 19:16:35</t>
        </is>
      </c>
      <c r="H1578" t="inlineStr"/>
    </row>
    <row r="1579">
      <c r="A1579" t="inlineStr">
        <is>
          <t>gd94am</t>
        </is>
      </c>
      <c r="B1579" t="inlineStr">
        <is>
          <t>Will storing preservative free eye drops in the fridge enable them to last longer?</t>
        </is>
      </c>
      <c r="C1579" t="inlineStr">
        <is>
          <t>I posses some preservative free glaucoma brimonidine tartrate drops, and I'm concerned about their longevity. Would storing the drops in the fridge help to ensure that they remain bacteria-free for longer?</t>
        </is>
      </c>
      <c r="D1579" t="n">
        <v>1</v>
      </c>
      <c r="E1579" t="n">
        <v>3</v>
      </c>
      <c r="F1579">
        <f>HYPERLINK("https://www.reddit.com/r/eyetriage/comments/gd94am/will_storing_preservative_free_eye_drops_in_the/")</f>
        <v/>
      </c>
      <c r="G1579" t="inlineStr">
        <is>
          <t>2020-05-04 03:27:03</t>
        </is>
      </c>
      <c r="H1579" t="inlineStr"/>
    </row>
    <row r="1580">
      <c r="A1580" t="inlineStr">
        <is>
          <t>gdlotm</t>
        </is>
      </c>
      <c r="B1580" t="inlineStr">
        <is>
          <t>Super burning eyelids.</t>
        </is>
      </c>
      <c r="C1580" t="inlineStr">
        <is>
          <t>I wake up with dry eyes every day. I have tried mild drops and severe dryness gel and it doesn't help. The problem is that when I play video games I get my eyelids burning super. Also if I scratch the eye I feel like pain in the eyelid or maybe it's the eye I don't know. Like a sharp burning itch. I think it's the tip of the eyelid that this pain is occured but I am not sure. I have an appointment on June for OCT(because I have raised IOP, 19-20) so I won't go before then. What should I do? I can't play video games any more. I don't have a problem if not watching the screen except than a soft dryness but when I play the eyes get really irritated. I didn't have this problem before. But it's getting really really annoying and I don't know what to do and why this is happening.Also, when I watch a screen I don't have this problem, only when I play video games. 
No vision changes, but my eyes are really red. The doctor told me to use steroids for some days. It was working for that moment after the steroid drops but it was only temporary. 
To sum this up, the worst symptom for me is that I wake up with dry eyes(but like super dry eyes) and I close my eyes completely 100% while asleep. 
Is it severe dry eye syndrome and needs an actual cure? I am trying to turn the eyelid the other side to see if there is a problem but I can't do it,i can't catch it right for it to turn.</t>
        </is>
      </c>
      <c r="D1580" t="n">
        <v>1</v>
      </c>
      <c r="E1580" t="n">
        <v>9</v>
      </c>
      <c r="F1580">
        <f>HYPERLINK("https://www.reddit.com/r/eyetriage/comments/gdlotm/super_burning_eyelids/")</f>
        <v/>
      </c>
      <c r="G1580" t="inlineStr">
        <is>
          <t>2020-05-04 15:31:56</t>
        </is>
      </c>
      <c r="H1580" t="inlineStr"/>
    </row>
    <row r="1581">
      <c r="A1581" t="inlineStr">
        <is>
          <t>gdq9kw</t>
        </is>
      </c>
      <c r="B1581" t="inlineStr">
        <is>
          <t>Intermittent Orbital Pain</t>
        </is>
      </c>
      <c r="C1581" t="inlineStr">
        <is>
          <t>So recently within the past 4 months I've been having orbital pain. Sometimes its the outside of the eyeball, sometimes its the inside of the eye. It started from looking at the computer screen, but now it can happen even when im not looking if i blink hard enough. lt went from one eye to  both eyes. 
I've gone from not needing glasses to needing glasses to needing to double my prescription. I'm hypermetropic but I've recently had problems reading text about 5-10 ft away and things very far away lose detail, yet, i can see very fine details(think strands of lint in between stitching on clothes, etc) when things are right in front of me. 
I also was diagnosed this month with blepharitis(antibiotic plus steroid)
Ive already been to an optometrist and opthomalogist and im worried because they said im glaucoma suspect and this pain just started in the past few months and it feels like my vision is getting worst. Im seeing starbursts at night in the eye that has less astigmatism. 
My biggest fear is that the orbital pain is related to glaucoma because it seems to be related to my loss of accommodation.</t>
        </is>
      </c>
      <c r="D1581" t="n">
        <v>1</v>
      </c>
      <c r="E1581" t="n">
        <v>10</v>
      </c>
      <c r="F1581">
        <f>HYPERLINK("https://www.reddit.com/r/eyetriage/comments/gdq9kw/intermittent_orbital_pain/")</f>
        <v/>
      </c>
      <c r="G1581" t="inlineStr">
        <is>
          <t>2020-05-04 20:25:21</t>
        </is>
      </c>
      <c r="H1581" t="inlineStr"/>
    </row>
    <row r="1582">
      <c r="A1582" t="inlineStr">
        <is>
          <t>gdx2pi</t>
        </is>
      </c>
      <c r="B1582" t="inlineStr">
        <is>
          <t>Ocasional prolonged blurry vision after waking up</t>
        </is>
      </c>
      <c r="C1582" t="inlineStr">
        <is>
          <t>Hey everyone! I have been experiencing ocasional blurriness in my vision after waking up, which lasts for up to a few hours, and I thought I would ask here since I’m not sure if I should be concerned or not, specially since right now it’d be difficult to get a doctors appointment. 
My vision is pretty bad as is and I wear prescription glasses. Today my vision has been blurry for a couple of hours since I woke up. I did notice that I was sleeping on my face and my left eye was sore, like my eyelashes had been digging into my eye, but I’m unsure if it’s related. It’s not the first time I have blurry vision after waking up but I can’t recall if the circumstances were the same. My eyes don’t feel dry and there doesn’t seem to be a “film”in my eye that could explain this. I’m more frustrated than concerned but I’m wondering if I should be more worried.
[Here](https://imgur.com/a/T0r2C0K) 
is my latest prescription and
 [here](https://imgur.com/a/9onEWuu)
is a picture of my fundus. Not sure if it’ll be useful in any way. May be worth mentioning that there’s a history of glaucoma in my family but I’m 29 and check my eye pressure regularly. Also I have very thin corneas. 
Thank you!</t>
        </is>
      </c>
      <c r="D1582" t="n">
        <v>1</v>
      </c>
      <c r="E1582" t="n">
        <v>12</v>
      </c>
      <c r="F1582">
        <f>HYPERLINK("https://www.reddit.com/r/eyetriage/comments/gdx2pi/ocasional_prolonged_blurry_vision_after_waking_up/")</f>
        <v/>
      </c>
      <c r="G1582" t="inlineStr">
        <is>
          <t>2020-05-05 05:45:24</t>
        </is>
      </c>
      <c r="H1582" t="inlineStr"/>
    </row>
    <row r="1583">
      <c r="A1583" t="inlineStr">
        <is>
          <t>gdz6yx</t>
        </is>
      </c>
      <c r="B1583" t="inlineStr">
        <is>
          <t>Tearing hurts?</t>
        </is>
      </c>
      <c r="C1583" t="inlineStr">
        <is>
          <t>Hello dear ophthalmologists.
My question is this: Around 1 and a half year ago I noticed that when my eye gets wet (tears up) from anything, it hurts/stings in my eye. I noticed this because it was december and cold winds in the morning make me tear up easily. Of course it's the 21st century, I work in front of monitors but this was not an issue before. What might be the issue?  I wear glasses, minus 2.</t>
        </is>
      </c>
      <c r="D1583" t="n">
        <v>1</v>
      </c>
      <c r="E1583" t="n">
        <v>4</v>
      </c>
      <c r="F1583">
        <f>HYPERLINK("https://www.reddit.com/r/eyetriage/comments/gdz6yx/tearing_hurts/")</f>
        <v/>
      </c>
      <c r="G1583" t="inlineStr">
        <is>
          <t>2020-05-05 07:54:44</t>
        </is>
      </c>
      <c r="H1583" t="inlineStr"/>
    </row>
    <row r="1584">
      <c r="A1584" t="inlineStr">
        <is>
          <t>ge0fqx</t>
        </is>
      </c>
      <c r="B1584" t="inlineStr">
        <is>
          <t>Swimming with contact lenses.</t>
        </is>
      </c>
      <c r="C1584" t="inlineStr">
        <is>
          <t>So, I made a post below about red eyes, I am not giving details now, but I was thinking if contact lenses caused the problem. I was wearing contact lenses and sometimes when I was going for swimming on the beach . I also dived in the water with the lenses and they wee getting wet.Also,i didn't remove them after I was going out immediatly because I want home,so I removed them after 5-6 hours. I did this 2 years ago but the problem occurred now. Is it possible a problem caused then and appeared now after 2 years. I have stopped wearing lenses for 2 years.</t>
        </is>
      </c>
      <c r="D1584" t="n">
        <v>0</v>
      </c>
      <c r="E1584" t="n">
        <v>5</v>
      </c>
      <c r="F1584">
        <f>HYPERLINK("https://www.reddit.com/r/eyetriage/comments/ge0fqx/swimming_with_contact_lenses/")</f>
        <v/>
      </c>
      <c r="G1584" t="inlineStr">
        <is>
          <t>2020-05-05 09:01:36</t>
        </is>
      </c>
      <c r="H1584" t="inlineStr"/>
    </row>
    <row r="1585">
      <c r="A1585" t="inlineStr">
        <is>
          <t>gegpyn</t>
        </is>
      </c>
      <c r="B1585" t="inlineStr">
        <is>
          <t>Intermittent Sudden Double Vision 2 Weeks Ago (Suspected MGD) - Concern as there has been no clearup of double vision?</t>
        </is>
      </c>
      <c r="C1585" t="inlineStr">
        <is>
          <t>Just a brief rundown of the occurrence.
2 weeks ago, at night had sudden onset of vertical double vision. Currently home working and use a computer for my job. Came on at night whilst having downtime on a game. Use glasses for anything computer related. Thought it could be slept off but couldn't. It's not persistent but rather intermittent, so can happen at any random time.
Went to the opticians and the optometrist believed it was MGD. Didn't think there was muscle issues and vision tests I apparently did well in. So have been using an eye compress (The Eye Doctor) for a week and half. Been able to move the oils in the eyes and lid clean but no difference to the double vision, have good days where it doesn't happen as much and days where it's quite often (today so far has been a good day.)
If the issue is MGD as he thinks, how long does treatment need to last before I will see the benefits and the double vision going? I understand this is chronic.
No headaches, no difficulty swallowing, no issues with balance or hand-eye coordination, left eye lid bit lower than the right and no weakness in any part of the body. Can correct the double vision by slightly tilting my head forward or if I look directly up with my eyes when it happens. 
First though was just heavy eye strain has taken it's toll thanks to my job and then a bit of gaming afterwards. Lazy eye also crossed my mind. MGD of course. General health is very good, no illnesses. Hoping it's just eye strain more than anything.
Thanks</t>
        </is>
      </c>
      <c r="D1585" t="n">
        <v>1</v>
      </c>
      <c r="E1585" t="n">
        <v>4</v>
      </c>
      <c r="F1585">
        <f>HYPERLINK("https://www.reddit.com/r/eyetriage/comments/gegpyn/intermittent_sudden_double_vision_2_weeks_ago/")</f>
        <v/>
      </c>
      <c r="G1585" t="inlineStr">
        <is>
          <t>2020-05-06 02:25:46</t>
        </is>
      </c>
      <c r="H1585" t="inlineStr"/>
    </row>
    <row r="1586">
      <c r="A1586" t="inlineStr">
        <is>
          <t>geqlaw</t>
        </is>
      </c>
      <c r="B1586" t="inlineStr">
        <is>
          <t>Seeing large orange bright spot in both eyes</t>
        </is>
      </c>
      <c r="C1586" t="inlineStr">
        <is>
          <t>Has anyone heard about this issue where a bright orange blob appears in the vision of both eyes?  This is the second time this has happened to me.  Basically I go outside wearing sunglasses for about an hour, but when I go inside all of a sudden I see these large orange blobs in both eyes and it basically blinds me for about 5 minutes.  Has anyone else dealt with this issue?</t>
        </is>
      </c>
      <c r="D1586" t="n">
        <v>1</v>
      </c>
      <c r="E1586" t="n">
        <v>2</v>
      </c>
      <c r="F1586">
        <f>HYPERLINK("https://www.reddit.com/r/eyetriage/comments/geqlaw/seeing_large_orange_bright_spot_in_both_eyes/")</f>
        <v/>
      </c>
      <c r="G1586" t="inlineStr">
        <is>
          <t>2020-05-06 12:22:37</t>
        </is>
      </c>
      <c r="H1586" t="inlineStr"/>
    </row>
    <row r="1587">
      <c r="A1587" t="inlineStr">
        <is>
          <t>ges52j</t>
        </is>
      </c>
      <c r="B1587" t="inlineStr">
        <is>
          <t>Give up or try more</t>
        </is>
      </c>
      <c r="C1587" t="inlineStr">
        <is>
          <t>I was recently to a optician. Who was confident enough on the phone. He could improve my eyesight. But when he read my medical history. He said it’s to late he could maybe improve my eyesight a little bit. But he said It would be wast of money. Although I’m grateful that he was honest can he be wrong.</t>
        </is>
      </c>
      <c r="D1587" t="n">
        <v>1</v>
      </c>
      <c r="E1587" t="n">
        <v>4</v>
      </c>
      <c r="F1587">
        <f>HYPERLINK("https://www.reddit.com/r/eyetriage/comments/ges52j/give_up_or_try_more/")</f>
        <v/>
      </c>
      <c r="G1587" t="inlineStr">
        <is>
          <t>2020-05-06 13:43:03</t>
        </is>
      </c>
      <c r="H1587" t="inlineStr"/>
    </row>
    <row r="1588">
      <c r="A1588" t="inlineStr">
        <is>
          <t>gfhy9o</t>
        </is>
      </c>
      <c r="B1588" t="inlineStr">
        <is>
          <t>Eye flashes at night after retinal tear laser/ photocoagulation</t>
        </is>
      </c>
      <c r="C1588" t="inlineStr">
        <is>
          <t>I had photocoagulation/retinal tear laser procedure a few days ago and since then I have been getting eye flashes at night in my central-top part of my vision of that eye. I only see it when I'm about to fall asleep. It lasts about a long 1 second and looks like a dimmed camera flash. Always startles me.
Prior to this, minimal flashes were noted. Went back to my eye doctor and said that it is normal that the eye moves while we try to sleep which causes the vitreous gel to move and tug the retina causing stimulation. Advised that no new tears and vitreous hasn't detached any further from when I last saw him for the laser procedure.
Is it possible that this could be a side effect of the laser precedure and it's just my retina healing? How long can it last for?
I've been stressed lately and can't get proper sleep due to this. Hopefully I can get some reassurance or answers.
Thanks</t>
        </is>
      </c>
      <c r="D1588" t="n">
        <v>1</v>
      </c>
      <c r="E1588" t="n">
        <v>12</v>
      </c>
      <c r="F1588">
        <f>HYPERLINK("https://www.reddit.com/r/eyetriage/comments/gfhy9o/eye_flashes_at_night_after_retinal_tear_laser/")</f>
        <v/>
      </c>
      <c r="G1588" t="inlineStr">
        <is>
          <t>2020-05-07 16:39:39</t>
        </is>
      </c>
      <c r="H1588" t="inlineStr"/>
    </row>
    <row r="1589">
      <c r="A1589" t="inlineStr">
        <is>
          <t>gfpa7j</t>
        </is>
      </c>
      <c r="B1589" t="inlineStr">
        <is>
          <t>Blurred and double vision</t>
        </is>
      </c>
      <c r="C1589" t="inlineStr">
        <is>
          <t>Someone close to me has been seeing double vision lately and blurred eyes. Doctor said it is something serious and sent him to an eye doctor. Are these symptoms along with doctor saying “it’s something serious” pointing to a brain tumor or eye tumor?</t>
        </is>
      </c>
      <c r="D1589" t="n">
        <v>1</v>
      </c>
      <c r="E1589" t="n">
        <v>2</v>
      </c>
      <c r="F1589">
        <f>HYPERLINK("https://www.reddit.com/r/eyetriage/comments/gfpa7j/blurred_and_double_vision/")</f>
        <v/>
      </c>
      <c r="G1589" t="inlineStr">
        <is>
          <t>2020-05-08 01:31:01</t>
        </is>
      </c>
      <c r="H1589" t="inlineStr"/>
    </row>
    <row r="1590">
      <c r="A1590" t="inlineStr">
        <is>
          <t>gfsqsx</t>
        </is>
      </c>
      <c r="B1590" t="inlineStr">
        <is>
          <t>Can't focus with both eyes</t>
        </is>
      </c>
      <c r="C1590" t="inlineStr">
        <is>
          <t>t's been a few weeks that i have been experiencing this problem. If i close my right eye i can perfectly focus with my left eye, and so goes the other way around, there is always one eye that stays a little blurry, which pisses me off when im reading. I dont choose which eye is going to be the "dominant" one, there are days that it is the left eye, and other days are the right eye. I have -3 myopia and -0.5 astigmatism on my left eye and -2.75 myopia on my right eye.
Any ideas on what this could be?</t>
        </is>
      </c>
      <c r="D1590" t="n">
        <v>1</v>
      </c>
      <c r="E1590" t="n">
        <v>4</v>
      </c>
      <c r="F1590">
        <f>HYPERLINK("https://www.reddit.com/r/eyetriage/comments/gfsqsx/cant_focus_with_both_eyes/")</f>
        <v/>
      </c>
      <c r="G1590" t="inlineStr">
        <is>
          <t>2020-05-08 05:58:29</t>
        </is>
      </c>
      <c r="H1590" t="inlineStr"/>
    </row>
    <row r="1591">
      <c r="A1591" t="inlineStr">
        <is>
          <t>gft8y0</t>
        </is>
      </c>
      <c r="B1591" t="inlineStr">
        <is>
          <t>Is this cataract or something else?</t>
        </is>
      </c>
      <c r="C1591" t="inlineStr">
        <is>
          <t>&amp;amp;#x200B;
While looking at the mirror, i noticed a small speck of color, kind of brownish on the extremity of my pupil very near where the iris starts but on my pupil though. I have got brown eyes.
&amp;amp;#x200B;
Thank you</t>
        </is>
      </c>
      <c r="D1591" t="n">
        <v>1</v>
      </c>
      <c r="E1591" t="n">
        <v>2</v>
      </c>
      <c r="F1591">
        <f>HYPERLINK("https://www.reddit.com/r/eyetriage/comments/gft8y0/is_this_cataract_or_something_else/")</f>
        <v/>
      </c>
      <c r="G1591" t="inlineStr">
        <is>
          <t>2020-05-08 06:29:28</t>
        </is>
      </c>
      <c r="H1591" t="inlineStr"/>
    </row>
    <row r="1592">
      <c r="A1592" t="inlineStr">
        <is>
          <t>gftml9</t>
        </is>
      </c>
      <c r="B1592" t="inlineStr">
        <is>
          <t>Redness and swelling on the side of the eye</t>
        </is>
      </c>
      <c r="C1592" t="inlineStr">
        <is>
          <t>I suddenly got a burning sensation.my initial reaction was scratching it softly thenI used cold artificial tears and then checked my eye and saw [this](https://i.imgur.com/kOEaeOH.jpg) ( [this](https://i.imgur.com/N6cIrCi.jpg) is my normal eye for comparison) 
Another [pic](https://i.imgur.com/sbTq3cJ.jpg) of problematic eye 
What this could be? I am 19 years old and due to covid19 under 20 is banned to go outside so I can't visit my eye doctor
Edit:I also feel the swelling like there's something on that side</t>
        </is>
      </c>
      <c r="D1592" t="n">
        <v>1</v>
      </c>
      <c r="E1592" t="n">
        <v>4</v>
      </c>
      <c r="F1592">
        <f>HYPERLINK("https://www.reddit.com/r/eyetriage/comments/gftml9/redness_and_swelling_on_the_side_of_the_eye/")</f>
        <v/>
      </c>
      <c r="G1592" t="inlineStr">
        <is>
          <t>2020-05-08 06:52:51</t>
        </is>
      </c>
      <c r="H1592" t="inlineStr"/>
    </row>
    <row r="1593">
      <c r="A1593" t="inlineStr">
        <is>
          <t>gg1psr</t>
        </is>
      </c>
      <c r="B1593" t="inlineStr">
        <is>
          <t>Does closing eyes work the same as looking in the distance (as in it relaxes ciliary muscle)?</t>
        </is>
      </c>
      <c r="C1593" t="inlineStr">
        <is>
          <t xml:space="preserve"> I work on the computer a lot and to prevent eye strain I've been trying to follow 20-20-20 rule. However, it's annoying to get up every 20-30 minutes and go stare out the window (I don't have such a distance available in the room where I work). Can looking in the distance be replaced with 20 seconds of simply closing my eyes?</t>
        </is>
      </c>
      <c r="D1593" t="n">
        <v>1</v>
      </c>
      <c r="E1593" t="n">
        <v>9</v>
      </c>
      <c r="F1593">
        <f>HYPERLINK("https://www.reddit.com/r/eyetriage/comments/gg1psr/does_closing_eyes_work_the_same_as_looking_in_the/")</f>
        <v/>
      </c>
      <c r="G1593" t="inlineStr">
        <is>
          <t>2020-05-08 14:08:17</t>
        </is>
      </c>
      <c r="H1593" t="inlineStr"/>
    </row>
    <row r="1594">
      <c r="A1594" t="inlineStr">
        <is>
          <t>gg66cg</t>
        </is>
      </c>
      <c r="B1594" t="inlineStr">
        <is>
          <t>Seeing Purkinje Tree for a split second as soon as I wake up.</t>
        </is>
      </c>
      <c r="C1594" t="inlineStr">
        <is>
          <t>Hi. I have this phenomenon for over a year now and I have just get my guts together to go see the doctor. Basically he checked for any retinal detachment (negative) and he said that it is probably because of my eye degree which is very high. ( both almost -10 . Currently -9).   So he gave me some eye drops for cataracts. Im only 32. Is seeing purkinje tree signs of retinal detachment ?</t>
        </is>
      </c>
      <c r="D1594" t="n">
        <v>1</v>
      </c>
      <c r="E1594" t="n">
        <v>6</v>
      </c>
      <c r="F1594">
        <f>HYPERLINK("https://www.reddit.com/r/eyetriage/comments/gg66cg/seeing_purkinje_tree_for_a_split_second_as_soon/")</f>
        <v/>
      </c>
      <c r="G1594" t="inlineStr">
        <is>
          <t>2020-05-08 18:30:41</t>
        </is>
      </c>
      <c r="H1594" t="inlineStr"/>
    </row>
    <row r="1595">
      <c r="A1595" t="inlineStr">
        <is>
          <t>ggiruv</t>
        </is>
      </c>
      <c r="B1595" t="inlineStr">
        <is>
          <t>weird waves and flashes in eyes. high myopia</t>
        </is>
      </c>
      <c r="C1595" t="inlineStr">
        <is>
          <t>I'm 15F. 5'9" 130lbs Asian
I have had myopia since early childhood, I was diagnosed at the age of 4 for the first time
My diagnose: high degree myopia, degenerative, isometropic, astigmatism, complicated chorioretinal, developed. Peripheral choriental dystrophy
I have been to eye doctor last time in July 2019 and I have done cycloscopy or retinal diagnostics in August 2019. Doctor told me that my eyes are okay, I don't have detachments or tears and that I don't need surgery or anything else.
My eyes are -9.5 in both eyes. I use soft contact lenses everyday for last year. I wear glasses at home. My glasses and contacts are -7. I see well in glasses and contacts. I have been seeing weird waves and flashes last 3 years. Usually I don't think about them and they are unnoticeable. They get intense at dark and after changing lights, for example when I turn on or turn of lights. They are noticeable in daytime and with lights too
I don't have any other serious health issues. I often have headaches and dizziness, I have had it since childhood. Doctor told me I have headaches and dizziness because of narrowed brain blood vessel. I took medication for it for 1 months and dizziness and headaches are gone, tho I have headaches occasionally(\~2 times in a months). I think waves and flashes sin my vision may be connected to it. Also I have quite bad anxiety
I have planned going to eye doctor in April but coronavirus started and I couldn't do it
What should I do?</t>
        </is>
      </c>
      <c r="D1595" t="n">
        <v>1</v>
      </c>
      <c r="E1595" t="n">
        <v>9</v>
      </c>
      <c r="F1595">
        <f>HYPERLINK("https://www.reddit.com/r/eyetriage/comments/ggiruv/weird_waves_and_flashes_in_eyes_high_myopia/")</f>
        <v/>
      </c>
      <c r="G1595" t="inlineStr">
        <is>
          <t>2020-05-09 09:44:11</t>
        </is>
      </c>
      <c r="H1595" t="inlineStr"/>
    </row>
    <row r="1596">
      <c r="A1596" t="inlineStr">
        <is>
          <t>ggq2uv</t>
        </is>
      </c>
      <c r="B1596" t="inlineStr">
        <is>
          <t>Sun was reflecting off car directly into my eyes</t>
        </is>
      </c>
      <c r="C1596" t="inlineStr">
        <is>
          <t>So today I was just outside my house when my friend drove by and stopped to talk to me. He has a shiny black car, and the car was positioned so that the sun was reflecting off the windows and it’s surface into my eyes while I was talking to him. I’m scared this is gonna damage my eyes cause it was really bright and hurt while it was shining in my eyes. How can I tell it damaged my eyes?</t>
        </is>
      </c>
      <c r="D1596" t="n">
        <v>1</v>
      </c>
      <c r="E1596" t="n">
        <v>1</v>
      </c>
      <c r="F1596">
        <f>HYPERLINK("https://www.reddit.com/r/eyetriage/comments/ggq2uv/sun_was_reflecting_off_car_directly_into_my_eyes/")</f>
        <v/>
      </c>
      <c r="G1596" t="inlineStr">
        <is>
          <t>2020-05-09 16:21:01</t>
        </is>
      </c>
      <c r="H1596" t="inlineStr"/>
    </row>
    <row r="1597">
      <c r="A1597" t="inlineStr">
        <is>
          <t>ggug43</t>
        </is>
      </c>
      <c r="B1597" t="inlineStr">
        <is>
          <t>weird flashes in my eye</t>
        </is>
      </c>
      <c r="C1597" t="inlineStr">
        <is>
          <t>So lately in my right eye I notice that multiple times a day, I'll see a black flash in a specific shape that'll flash for a second and quickly go away. It's in the same spot and is kind of in the shape of an upside down Y or a lambda. I see it even when my eyes are closed. I have a slight astigmatism in my eye in addition to seasonal allergies (vision is a little blurry in right eye but that's due to astigmatism). I had my eyes checked a year ago and my optometrist said my retina looked good. This just freaks me out and every time I google about flashes I can't really find much. I'm unable to see my optometrist because of Covid but wanted to see if anyone here knows what this is!</t>
        </is>
      </c>
      <c r="D1597" t="n">
        <v>1</v>
      </c>
      <c r="E1597" t="n">
        <v>1</v>
      </c>
      <c r="F1597">
        <f>HYPERLINK("https://www.reddit.com/r/eyetriage/comments/ggug43/weird_flashes_in_my_eye/")</f>
        <v/>
      </c>
      <c r="G1597" t="inlineStr">
        <is>
          <t>2020-05-09 20:59:53</t>
        </is>
      </c>
      <c r="H1597" t="inlineStr"/>
    </row>
    <row r="1598">
      <c r="A1598" t="inlineStr">
        <is>
          <t>ggvtnn</t>
        </is>
      </c>
      <c r="B1598" t="inlineStr">
        <is>
          <t>Diagnosed with alternating esotropia. Would it go away on its own?</t>
        </is>
      </c>
      <c r="C1598" t="inlineStr">
        <is>
          <t>Had double vision at a distance for a while and finally was referred to a strabismus specialist who said I had alternating esotropia. It’s rare she said to have it in adults. So maybe she said I had it as a kid, it went away and came back now. I did a 4 dot test or something to confirm and she tried different prisms and recommended I should use prisms. Just wondering is there any way this may go away on its own or some exercises that would help. I had high BP for a while now and only recently was it diagnosed and corrected with meds. Is there any chance that might have caused it? Not even sure if prisms will help with alternating esotropia</t>
        </is>
      </c>
      <c r="D1598" t="n">
        <v>1</v>
      </c>
      <c r="E1598" t="n">
        <v>4</v>
      </c>
      <c r="F1598">
        <f>HYPERLINK("https://www.reddit.com/r/eyetriage/comments/ggvtnn/diagnosed_with_alternating_esotropia_would_it_go/")</f>
        <v/>
      </c>
      <c r="G1598" t="inlineStr">
        <is>
          <t>2020-05-09 22:46:12</t>
        </is>
      </c>
      <c r="H1598" t="inlineStr"/>
    </row>
    <row r="1599">
      <c r="A1599" t="inlineStr">
        <is>
          <t>ggw7gu</t>
        </is>
      </c>
      <c r="B1599" t="inlineStr">
        <is>
          <t>My right eye vision is kinda blurry.</t>
        </is>
      </c>
      <c r="C1599" t="inlineStr">
        <is>
          <t>Good day guys! I just wanna know what happen to my right eye. Objects from afar suddenly seem blurry, but my left eye is totally okay. Before this happen I spent most of my time in front of my laptop and reading a book, then I notice this problem. It's been a week now having this. What should I do?</t>
        </is>
      </c>
      <c r="D1599" t="n">
        <v>1</v>
      </c>
      <c r="E1599" t="n">
        <v>2</v>
      </c>
      <c r="F1599">
        <f>HYPERLINK("https://www.reddit.com/r/eyetriage/comments/ggw7gu/my_right_eye_vision_is_kinda_blurry/")</f>
        <v/>
      </c>
      <c r="G1599" t="inlineStr">
        <is>
          <t>2020-05-09 23:17:32</t>
        </is>
      </c>
      <c r="H1599" t="inlineStr"/>
    </row>
    <row r="1600">
      <c r="A1600" t="inlineStr">
        <is>
          <t>ghd5pq</t>
        </is>
      </c>
      <c r="B1600" t="inlineStr">
        <is>
          <t>Skin/cila rubbing on corneas.. quick question</t>
        </is>
      </c>
      <c r="C1600" t="inlineStr">
        <is>
          <t>Hi,
40/M
I've been dealing with some degree of foreign object sensation in both eyes since I was 11. Nobody thought to look at the underside of my eyelid until I was 21 or 22. The cause was I had rows of very thin white hairs on underside of my eyelids. So the long story short is I had electralysis to try to remove the hairs, tarsal rotation to move the hairs away from my corneas. When that didnt really help the doctor removed some of the margin of my eyelid. By this point I was likely 30 or so and was still in pain so I just went to an optometrist and asked them to prescribe contacts for me. This helped some but the hairs and skin rubbing on my contacts would knock my contacts loose all of the time which caused a lot of irritation.
So I continued to try surgical alternatives every few years once I worked up the nerve to try again. Back in December I had a surgery where they did a mixed thickness fat graft from my leg and grafted it into the hard ridge of my eyelid in order to move the lid, etc away from my eyes.
This worked really well in my right eye and even improved my left eye to some degree. I can open my eyes without wearing contact lenses. The thing that confuses me about my left eye is that it feels wildly different every day. Im not saying like 5%.. its either kind of bad or world ending bad. My right eye is pretty much always a little irritated but nothing like it would have been before the surgery.
So my question is: If the pain I feel in my left eye is mechanical/rubbing then why would it vary so much unless either my eye or eyelid is different every day? Do eyes and eyelids swell? Is there any way to minimize inflamation in eyes or eyelids? Is there an effective antiinflamatory for eyes/eyelids? I am thankful for it being a little better but I am just trying to understand the variation. A doctor I met at Cleveland Clinic mentioned that my slight rosacea might be affecting my eyelids but I havent had much luck at controlling it. I use artificial tears sometimes but they seem to irritate the inside of my eyelids for some unknown reason.</t>
        </is>
      </c>
      <c r="D1600" t="n">
        <v>1</v>
      </c>
      <c r="E1600" t="n">
        <v>0</v>
      </c>
      <c r="F1600">
        <f>HYPERLINK("https://www.reddit.com/r/eyetriage/comments/ghd5pq/skincila_rubbing_on_corneas_quick_question/")</f>
        <v/>
      </c>
      <c r="G1600" t="inlineStr">
        <is>
          <t>2020-05-10 17:30:34</t>
        </is>
      </c>
      <c r="H1600" t="inlineStr"/>
    </row>
    <row r="1601">
      <c r="A1601" t="inlineStr">
        <is>
          <t>ghemp4</t>
        </is>
      </c>
      <c r="B1601" t="inlineStr">
        <is>
          <t>Help parsing a written glasses prescription to order online?</t>
        </is>
      </c>
      <c r="C1601" t="inlineStr">
        <is>
          <t>I am trying to order glasses online for my almost elderly aunt and I have having a bit of an issue figuring out how some info on a written prescription I have from her translate to fields on a website: Could someone with knowledge on the subject possibly take a look at the photo and offer input (at the top is a photo of prescription and below a screenshot of website)? I started putting in data but got stumped concerning what appears to be "OU add +2.75 J1" at the bottom of the script. Thank you for any help here, and I apologize for the stupid question.</t>
        </is>
      </c>
      <c r="D1601" t="n">
        <v>1</v>
      </c>
      <c r="E1601" t="n">
        <v>2</v>
      </c>
      <c r="F1601">
        <f>HYPERLINK("https://www.reddit.com/r/eyetriage/comments/ghemp4/help_parsing_a_written_glasses_prescription_to/")</f>
        <v/>
      </c>
      <c r="G1601" t="inlineStr">
        <is>
          <t>2020-05-10 19:03:18</t>
        </is>
      </c>
      <c r="H1601" t="inlineStr"/>
    </row>
    <row r="1602">
      <c r="A1602" t="inlineStr">
        <is>
          <t>ghg5jp</t>
        </is>
      </c>
      <c r="B1602" t="inlineStr">
        <is>
          <t>Blurry covering over vision</t>
        </is>
      </c>
      <c r="C1602" t="inlineStr">
        <is>
          <t>21 F 157 lbs non smoker, GAD.
So I have had this problem for a few months where if i look somewhere and look back, theres a faint blurry covering over my vision. It's most noticeable in areas of bright light. I also see halos and streaks of light especially at night.
 I asked questions about my problem on a JustAnswer website twice and both ophthalmologists who answered my question said it was nothing to worry about, but to make an appointment with my eye doctor non urgently. 
So Friday I went to the eye center in my area for a medical checkup, and the optometrist looking at my eyes said they were completely healthy, just slight astigmatism in the left eye. I described my problem in as much detail as possible, because surely my eyes aren't completely healthy and normal if I'm seeing this blurry thing in my eyes.  All they did was write me a new prescription. I'm very confused and frustrated by this. 
I had a prescription given to me in september with lower numbers than what I received a few days ago, and I can understand how I might've been wearing the wrong prescription because the eye place I went to in september is prone to mishaps, since they rely more on telemed than in person optometrists. However, I keep reading that using a wrong prescription doesn't damage your eyes, and I hadn't had this problem until well after I received my prescription in september. 
Does anyone have any insight on this? I'm very annoyed and I just want this problem to be solved. It just seems like it's getting worse.</t>
        </is>
      </c>
      <c r="D1602" t="n">
        <v>1</v>
      </c>
      <c r="E1602" t="n">
        <v>5</v>
      </c>
      <c r="F1602">
        <f>HYPERLINK("https://www.reddit.com/r/eyetriage/comments/ghg5jp/blurry_covering_over_vision/")</f>
        <v/>
      </c>
      <c r="G1602" t="inlineStr">
        <is>
          <t>2020-05-10 20:47:11</t>
        </is>
      </c>
      <c r="H1602" t="inlineStr"/>
    </row>
    <row r="1603">
      <c r="A1603" t="inlineStr">
        <is>
          <t>ghgk3b</t>
        </is>
      </c>
      <c r="B1603" t="inlineStr">
        <is>
          <t>Post-surgery of traumatic macular hole</t>
        </is>
      </c>
      <c r="C1603" t="inlineStr">
        <is>
          <t>just over 2 weeks ago, I had a vitrectomy performed on my left eye for a traumatic macular hole. I'm 23. I currently have a gas bubble in my eye which is still visible in the bottom portion of my vision but not the top. Unfortunately, my vision is still just as bad in the top portion of my vision as it was pre-operation. Is it too early for me to be concerned about not getting much of my acuity back? I'm starting to lose hope and the waiting is killing me.</t>
        </is>
      </c>
      <c r="D1603" t="n">
        <v>1</v>
      </c>
      <c r="E1603" t="n">
        <v>2</v>
      </c>
      <c r="F1603">
        <f>HYPERLINK("https://www.reddit.com/r/eyetriage/comments/ghgk3b/postsurgery_of_traumatic_macular_hole/")</f>
        <v/>
      </c>
      <c r="G1603" t="inlineStr">
        <is>
          <t>2020-05-10 21:14:29</t>
        </is>
      </c>
      <c r="H1603" t="inlineStr"/>
    </row>
    <row r="1604">
      <c r="A1604" t="inlineStr">
        <is>
          <t>ghjkw2</t>
        </is>
      </c>
      <c r="B1604" t="inlineStr">
        <is>
          <t>Visual migraines without headache or aura</t>
        </is>
      </c>
      <c r="C1604" t="inlineStr">
        <is>
          <t>I've persistently been experiencing visual/ocular migraines for months now, though haven't experienced the headache or aura/zig zags that used to affect me years ago apart from 1 about a month back. From what I can describe, my vision is patchy and have a blind spot/s; can't see top lip when looking straight at my face in the mirror and when looking at my laptop keyboard, there's a portion I can't see  if i look at the center of it. I've heard persistent or chronic ocular migraines are rare and my neurologist believes I may have it since nothing has come up on my eye tests. I believe it slowly is getting worse, any advice on what to do?</t>
        </is>
      </c>
      <c r="D1604" t="n">
        <v>1</v>
      </c>
      <c r="E1604" t="n">
        <v>10</v>
      </c>
      <c r="F1604">
        <f>HYPERLINK("https://www.reddit.com/r/eyetriage/comments/ghjkw2/visual_migraines_without_headache_or_aura/")</f>
        <v/>
      </c>
      <c r="G1604" t="inlineStr">
        <is>
          <t>2020-05-11 01:18:09</t>
        </is>
      </c>
      <c r="H1604" t="inlineStr"/>
    </row>
    <row r="1605">
      <c r="A1605" t="inlineStr">
        <is>
          <t>ghk4e1</t>
        </is>
      </c>
      <c r="B1605" t="inlineStr">
        <is>
          <t>Bright area on choroid</t>
        </is>
      </c>
      <c r="C1605" t="inlineStr">
        <is>
          <t>Hey there,
Around 7 years ago I went to go see an Ophthalmologist who did a full work-up on me, fluorescein angiogram, dilation, the whole 9 yards. I got pictures of my retina done and choroid in general, I had to look in all different directions and then they snap a pic. Anyways, in my right eye on the side (on the choroid I guess?) well off of my retina since I have to look to my far right to give a proper viewing, lays this very large bright spot. The closest example I could find is when I google "choroidal melanoma".
It caught my doctor by surprise, all he really asked is if I got hit in the head as a kid, and that it could of been there since birth. He really did not pay any mind to it and I trust his professional judgment. Now that we're all locked up inside, the thought of this "spot" has crept back into my mind.
Has anyone else seen this in practice and have a better idea what it might be? My OCT's come back perfectly normal. My straight forward pictures are unremarkable and all is gravy. For the doctor to get viewing of it they have to put on that headset looking device and make me look to my far right .
I decided to go down the path of accountancy and not ophthalmology, so my bet is on a choroidal nevus.. would I make the cut into opthal? ;)</t>
        </is>
      </c>
      <c r="D1605" t="n">
        <v>1</v>
      </c>
      <c r="E1605" t="n">
        <v>0</v>
      </c>
      <c r="F1605">
        <f>HYPERLINK("https://www.reddit.com/r/eyetriage/comments/ghk4e1/bright_area_on_choroid/")</f>
        <v/>
      </c>
      <c r="G1605" t="inlineStr">
        <is>
          <t>2020-05-11 02:05:39</t>
        </is>
      </c>
      <c r="H1605" t="inlineStr"/>
    </row>
    <row r="1606">
      <c r="A1606" t="inlineStr">
        <is>
          <t>gi8kjn</t>
        </is>
      </c>
      <c r="B1606" t="inlineStr">
        <is>
          <t>Pat. [24M] with history of bilat. Myopia and Dry-Eyes wakes up having developed Monocular diplopia in OS overnight with vertical afterimage, sudden onset vertical astigmatism? Keratoconus?</t>
        </is>
      </c>
      <c r="C1606" t="inlineStr">
        <is>
          <t>What could cause such a rapid onset vertical monocular diplopia after waking up?</t>
        </is>
      </c>
      <c r="D1606" t="n">
        <v>1</v>
      </c>
      <c r="E1606" t="n">
        <v>5</v>
      </c>
      <c r="F1606">
        <f>HYPERLINK("https://www.reddit.com/r/eyetriage/comments/gi8kjn/pat_24m_with_history_of_bilat_myopia_and_dryeyes/")</f>
        <v/>
      </c>
      <c r="G1606" t="inlineStr">
        <is>
          <t>2020-05-12 03:21:18</t>
        </is>
      </c>
      <c r="H1606" t="inlineStr"/>
    </row>
    <row r="1607">
      <c r="A1607" t="inlineStr">
        <is>
          <t>giei80</t>
        </is>
      </c>
      <c r="B1607" t="inlineStr">
        <is>
          <t>To apply eye ointment with hand or tube?</t>
        </is>
      </c>
      <c r="C1607" t="inlineStr">
        <is>
          <t>My instructions do not recommend using the tube on the eye, but the ointment is liquid and in a youtube video by a real doctor he did indeed press it to the eyefold and use it.
Which is correct?</t>
        </is>
      </c>
      <c r="D1607" t="n">
        <v>1</v>
      </c>
      <c r="E1607" t="n">
        <v>6</v>
      </c>
      <c r="F1607">
        <f>HYPERLINK("https://www.reddit.com/r/eyetriage/comments/giei80/to_apply_eye_ointment_with_hand_or_tube/")</f>
        <v/>
      </c>
      <c r="G1607" t="inlineStr">
        <is>
          <t>2020-05-12 09:25:41</t>
        </is>
      </c>
      <c r="H1607" t="inlineStr"/>
    </row>
    <row r="1608">
      <c r="A1608" t="inlineStr">
        <is>
          <t>gig0m3</t>
        </is>
      </c>
      <c r="B1608" t="inlineStr">
        <is>
          <t>Blind spot in left eye...</t>
        </is>
      </c>
      <c r="C1608" t="inlineStr">
        <is>
          <t>For reference, I'm 21 F, with no eye problems besides a slight prescription, no health problems, and no significant family history of eye problems besides the usual issues of old age.
About a week ago (I should have taken a date down but didn't), I noticed a semi-opaque blind spot in the center of my vision in my left eye. There was some color to it and a kind of distortion effect under it, kind of like the after-effect you get if you look into a bright light. In the past I've had a similar phenomenon that was diagnosed as just an atypical migraine aura, so I left it be and figured it would go away. 
A few days have passed and the spot has not only failed to improve but seems to be worse – namely, it's now less a multicolor blurry blob and more of a gray opaque blob. It's making close work like doing my makeup, reading, typing this, etc. really difficult and I'm quite concerned, but I don't know if or how to seek help since my region is still shut down due to COVID-19. I can't think of any event that would have caused this, either, so I don't even know what I'd say to the doctor. As I've been trying to research, the most similar-sounding thing I've seen is macular degeneration, but I'm obviously a little young for that...
What steps do I need to take next and has anyone ever heard of something like this happening so suddenly/randomly?</t>
        </is>
      </c>
      <c r="D1608" t="n">
        <v>1</v>
      </c>
      <c r="E1608" t="n">
        <v>7</v>
      </c>
      <c r="F1608">
        <f>HYPERLINK("https://www.reddit.com/r/eyetriage/comments/gig0m3/blind_spot_in_left_eye/")</f>
        <v/>
      </c>
      <c r="G1608" t="inlineStr">
        <is>
          <t>2020-05-12 10:37:51</t>
        </is>
      </c>
      <c r="H1608" t="inlineStr"/>
    </row>
    <row r="1609">
      <c r="A1609" t="inlineStr">
        <is>
          <t>gihpfg</t>
        </is>
      </c>
      <c r="B1609" t="inlineStr">
        <is>
          <t>Trying to get to the bottom of my lifelong vision issues</t>
        </is>
      </c>
      <c r="C1609" t="inlineStr">
        <is>
          <t>I apologize if this post is confusing — I’ve never had an ophthalmologist give me a straight answer on my vision, so I have had to talk around the subject because I lack the proper vocabulary. 
Both of my eyes require corrective lenses, but it’s always been unclear exactly what prescription to use for my right eye. That’s because, although I can distinguish sharpness and identify basic shapes, the Snellen chart exam is difficult because I just don’t seem to be able to process images that aren’t stored in short-term memory. (That is, if I look at a billboard with my left eye and then cover it, I don’t have a problem identifying text and images with my right eye; if it’s a new stimulus, it takes a lot of work/guesswork to know what I’m looking at.)
I just stumbled on an article on amblyopia, which sounds a lot like what I’m dealing with. My left eye does all the work and I’d be quite literally stumbling around if I only had my right eye. I vaguely remember being administered atropine drops and using eye patches (taking those off will be burned in my memory forever) when I was about 5 years old. 
Once ophthalmology services resume in my area, what kind of information should I provide to the ophthalmologist to confirm or rule out this possibility?</t>
        </is>
      </c>
      <c r="D1609" t="n">
        <v>1</v>
      </c>
      <c r="E1609" t="n">
        <v>12</v>
      </c>
      <c r="F1609">
        <f>HYPERLINK("https://www.reddit.com/r/eyetriage/comments/gihpfg/trying_to_get_to_the_bottom_of_my_lifelong_vision/")</f>
        <v/>
      </c>
      <c r="G1609" t="inlineStr">
        <is>
          <t>2020-05-12 11:53:31</t>
        </is>
      </c>
      <c r="H1609" t="inlineStr"/>
    </row>
    <row r="1610">
      <c r="A1610" t="inlineStr">
        <is>
          <t>giicqz</t>
        </is>
      </c>
      <c r="B1610" t="inlineStr">
        <is>
          <t>Question about Biofinity contacts</t>
        </is>
      </c>
      <c r="C1610" t="inlineStr">
        <is>
          <t>I used to have the Air Optix Day and Night contacts. I would only wear one at a time and alternate which eye I put it in every month. I switched over to Cooper Vision Biofinity where I take it out every six days leave it in solution overnight and put it in the opposite eye in the morning. I replace the contacts every month just like I did with the air optix. I am wondering if it is okay if I just take the contact out and immediately place it in the opposite eye every six days or do I need to leave the contact in solution overnight like I’m currently doing? Both eyes are the same prescription obviously.</t>
        </is>
      </c>
      <c r="D1610" t="n">
        <v>1</v>
      </c>
      <c r="E1610" t="n">
        <v>1</v>
      </c>
      <c r="F1610">
        <f>HYPERLINK("https://www.reddit.com/r/eyetriage/comments/giicqz/question_about_biofinity_contacts/")</f>
        <v/>
      </c>
      <c r="G1610" t="inlineStr">
        <is>
          <t>2020-05-12 12:24:14</t>
        </is>
      </c>
      <c r="H1610" t="inlineStr"/>
    </row>
    <row r="1611">
      <c r="A1611" t="inlineStr">
        <is>
          <t>gisv8b</t>
        </is>
      </c>
      <c r="B1611" t="inlineStr">
        <is>
          <t>Odd shimmering effect in my left eye</t>
        </is>
      </c>
      <c r="C1611" t="inlineStr">
        <is>
          <t>Hey guys,
In my left eye peripheral there is this constant shimmering/flickering effect. Its literally impossible to describe but my most accurate description looks like the effect the sun gives as it sparkles off the water. Its in my extreme temporal peripheral so it doesn't appear to be blocking my vision, but I can still see and acknowledge the effect. I've had this for \~15 years and its only really noticeable if I think about it, of coarse I thought about it recently and now its sending me down a hypochondriac path.
Some more details: 
\-It doesn't change position no matter what direction I look
\-When I enter a dark room and close my eyes, the effect slowly dissipates, as if the "dial" is slowly being turned down (retina related perhaps?)
&amp;amp;#x200B;
Thanks</t>
        </is>
      </c>
      <c r="D1611" t="n">
        <v>1</v>
      </c>
      <c r="E1611" t="n">
        <v>7</v>
      </c>
      <c r="F1611">
        <f>HYPERLINK("https://www.reddit.com/r/eyetriage/comments/gisv8b/odd_shimmering_effect_in_my_left_eye/")</f>
        <v/>
      </c>
      <c r="G1611" t="inlineStr">
        <is>
          <t>2020-05-12 22:39:07</t>
        </is>
      </c>
      <c r="H1611" t="inlineStr"/>
    </row>
    <row r="1612">
      <c r="A1612" t="inlineStr">
        <is>
          <t>gixj7q</t>
        </is>
      </c>
      <c r="B1612" t="inlineStr">
        <is>
          <t>What can cause pressure in the inside corner of my eye?</t>
        </is>
      </c>
      <c r="C1612" t="inlineStr">
        <is>
          <t>It feels like a pencil eraser is being push behind the eye near the bridge of my nose.  It happen a few times a month.
A few times, when it's really bad, I have double vision.
I've read a sigmoid sinus infection can present with symptoms similar to this.
Anything else a possible cause?</t>
        </is>
      </c>
      <c r="D1612" t="n">
        <v>1</v>
      </c>
      <c r="E1612" t="n">
        <v>1</v>
      </c>
      <c r="F1612">
        <f>HYPERLINK("https://www.reddit.com/r/eyetriage/comments/gixj7q/what_can_cause_pressure_in_the_inside_corner_of/")</f>
        <v/>
      </c>
      <c r="G1612" t="inlineStr">
        <is>
          <t>2020-05-13 04:52:10</t>
        </is>
      </c>
      <c r="H1612" t="inlineStr"/>
    </row>
    <row r="1613">
      <c r="A1613" t="inlineStr">
        <is>
          <t>gj3wu3</t>
        </is>
      </c>
      <c r="B1613" t="inlineStr">
        <is>
          <t>Dettol Liquid Antiseptic in my freakin Eye</t>
        </is>
      </c>
      <c r="C1613" t="inlineStr">
        <is>
          <t>I just accidentally poured dettol in my right eye while trying to look at the label (the cap wasn't tightened).
Should i be worried? I splashed a lot of water in my eye amd tried my best to get rid of it. It doesn't feel like anything except super dry and I can see fine.
Should I be worried for anything in the future?
Thanks for any answers.</t>
        </is>
      </c>
      <c r="D1613" t="n">
        <v>1</v>
      </c>
      <c r="E1613" t="n">
        <v>6</v>
      </c>
      <c r="F1613">
        <f>HYPERLINK("https://www.reddit.com/r/eyetriage/comments/gj3wu3/dettol_liquid_antiseptic_in_my_freakin_eye/")</f>
        <v/>
      </c>
      <c r="G1613" t="inlineStr">
        <is>
          <t>2020-05-13 10:53:21</t>
        </is>
      </c>
      <c r="H1613" t="inlineStr"/>
    </row>
    <row r="1614">
      <c r="A1614" t="inlineStr">
        <is>
          <t>gj5wyk</t>
        </is>
      </c>
      <c r="B1614" t="inlineStr">
        <is>
          <t>Pain in outer corner of left eye</t>
        </is>
      </c>
      <c r="C1614" t="inlineStr">
        <is>
          <t>Last week, I noticed that my left eye was feeling very uncomfortable. The outer corner of my left eye is where I feel it the most. It almost feels like an eyelash stuck in my eye, but since I have been washing/splashing my eyes with water and I can still feel it now I'm not sure what it is. 
For reference, I wear contacts and I especially notice it once I go to bed and take my contacts out.</t>
        </is>
      </c>
      <c r="D1614" t="n">
        <v>1</v>
      </c>
      <c r="E1614" t="n">
        <v>1</v>
      </c>
      <c r="F1614">
        <f>HYPERLINK("https://www.reddit.com/r/eyetriage/comments/gj5wyk/pain_in_outer_corner_of_left_eye/")</f>
        <v/>
      </c>
      <c r="G1614" t="inlineStr">
        <is>
          <t>2020-05-13 12:31:58</t>
        </is>
      </c>
      <c r="H1614" t="inlineStr"/>
    </row>
    <row r="1615">
      <c r="A1615" t="inlineStr">
        <is>
          <t>gjalto</t>
        </is>
      </c>
      <c r="B1615" t="inlineStr">
        <is>
          <t>Is this harmful?</t>
        </is>
      </c>
      <c r="C1615" t="inlineStr">
        <is>
          <t>Could the infrared LED’s on this trail camera harm your eyes (ie burn your retina) if the infrared flash went off in your face several times without you knowing it?
https://browningtrailcameras.com/products/strike-force-apex</t>
        </is>
      </c>
      <c r="D1615" t="n">
        <v>1</v>
      </c>
      <c r="E1615" t="n">
        <v>5</v>
      </c>
      <c r="F1615">
        <f>HYPERLINK("https://www.reddit.com/r/eyetriage/comments/gjalto/is_this_harmful/")</f>
        <v/>
      </c>
      <c r="G1615" t="inlineStr">
        <is>
          <t>2020-05-13 16:35:32</t>
        </is>
      </c>
      <c r="H1615" t="inlineStr"/>
    </row>
    <row r="1616">
      <c r="A1616" t="inlineStr">
        <is>
          <t>gjanmn</t>
        </is>
      </c>
      <c r="B1616" t="inlineStr">
        <is>
          <t>Dry eyes or allergies?</t>
        </is>
      </c>
      <c r="C1616" t="inlineStr">
        <is>
          <t>I’ve never had issues with allergies in my life, and I still don’t think I do, but in the last few years I’ve developed an issue where I’ll randomly get a burning/stinging sensation in my eyes, and they’ll start watering profusely, to the point that my nose is slightly watery too. My vision will get blurry, and I’ll become very photosensitive. I’ve been to the eye doctor a few times over the years, and my eyes are healthy (minus myopia and mild astigmatism), but the doctors never really addressed my issue with my eyes burning, only making a passing mention of dry eyes or blepharitis on my chart. 
The issue seems to happen anywhere from once a day, to a few times a week, and it doesn’t matter if I’m inside, outside, or driving. I remember one time, it was so bad, I had to pull the car over. Splashing water on my eyes seems to help, but otherwise I’ll just wipe my eyes and wait a few minutes for it to pass. Does anyone have a suggestion of what it could be and how to treat it? Thank you!</t>
        </is>
      </c>
      <c r="D1616" t="n">
        <v>1</v>
      </c>
      <c r="E1616" t="n">
        <v>8</v>
      </c>
      <c r="F1616">
        <f>HYPERLINK("https://www.reddit.com/r/eyetriage/comments/gjanmn/dry_eyes_or_allergies/")</f>
        <v/>
      </c>
      <c r="G1616" t="inlineStr">
        <is>
          <t>2020-05-13 16:38:21</t>
        </is>
      </c>
      <c r="H1616" t="inlineStr"/>
    </row>
    <row r="1617">
      <c r="A1617" t="inlineStr">
        <is>
          <t>gjco3b</t>
        </is>
      </c>
      <c r="B1617" t="inlineStr">
        <is>
          <t>Quick question</t>
        </is>
      </c>
      <c r="C1617" t="inlineStr">
        <is>
          <t>I went and got my new glasses today and they came with a paper about my lense prescription but I have no idea what this means and how to tell if it is good or bad. It has a little chart that I'm confused about. It says: PD dist binocular 67.0 R, monocular 33.5 L, near binocular 64.0 R, monocular 32.0 L. What does that mean exactly? I know it has to do with my eyes being not so good but on like a scale of 1-10 how not so good is that?</t>
        </is>
      </c>
      <c r="D1617" t="n">
        <v>1</v>
      </c>
      <c r="E1617" t="n">
        <v>1</v>
      </c>
      <c r="F1617">
        <f>HYPERLINK("https://www.reddit.com/r/eyetriage/comments/gjco3b/quick_question/")</f>
        <v/>
      </c>
      <c r="G1617" t="inlineStr">
        <is>
          <t>2020-05-13 18:36:51</t>
        </is>
      </c>
      <c r="H1617" t="inlineStr"/>
    </row>
    <row r="1618">
      <c r="A1618" t="inlineStr">
        <is>
          <t>gjfop4</t>
        </is>
      </c>
      <c r="B1618" t="inlineStr">
        <is>
          <t>Flonase Use and Eye Symptoms</t>
        </is>
      </c>
      <c r="C1618" t="inlineStr">
        <is>
          <t>Hi everyone. I have seasonal allergies in the fall and spring and I also have a cat and a dog that can sometimes give me allergy symptoms. Due to these allergies, I have been taking Flonase off and on for several years. I see an ophthalmologist once a year and I saw my ophthalmologist in May of 2019. He did not mention any abnormal eye pressure readings at the time of this exam or during any other exams that I have received and he always does the glaucoma tests. I have 20/20 vision and I am a 29 year old female. Recently, I have started to have some symptoms that I am concerned about:
\-I have started seeing rays coming out of the headlights of cars while driving at night (it looks like crosses of light)
\-eye pain behind the eyes that isn't constant and doesn't happen every day (the pain is not severe and it can be both eyes at the same time or only one eye at a time)
\-slight headaches 
\-random redness in eyes (my eyes are not itchy)
I am working from home due to the current circumstances and I am staring at a computer screen far more frequently than I ever was previously and it feels like my eyes are sometimes strained. Of course, I Googled my symptoms and saw glaucoma pop up and I will admit that I am now very scared that I have glaucoma or increased eye pressure that is damaging my vision caused by using Flonase. My usual ophthalmologist is not seeing patients right now but I should be able to see a new, different ophthalmologist tomorrow who is currently still seeing patients regularly. Should I rush to see an ophthalmologist or just stop using Flonase? Any help would be greatly appreciated. I am super worried. Thank you in advance for any responses.</t>
        </is>
      </c>
      <c r="D1618" t="n">
        <v>1</v>
      </c>
      <c r="E1618" t="n">
        <v>3</v>
      </c>
      <c r="F1618">
        <f>HYPERLINK("https://www.reddit.com/r/eyetriage/comments/gjfop4/flonase_use_and_eye_symptoms/")</f>
        <v/>
      </c>
      <c r="G1618" t="inlineStr">
        <is>
          <t>2020-05-13 21:58:21</t>
        </is>
      </c>
      <c r="H1618" t="inlineStr"/>
    </row>
    <row r="1619">
      <c r="A1619" t="inlineStr">
        <is>
          <t>gk353d</t>
        </is>
      </c>
      <c r="B1619" t="inlineStr">
        <is>
          <t>Eye mucus</t>
        </is>
      </c>
      <c r="C1619" t="inlineStr">
        <is>
          <t>I’ve noticed an excessive amount of mucus coming from one eye recently. What could be a possible cause of this and are there any ways to reduce it?</t>
        </is>
      </c>
      <c r="D1619" t="n">
        <v>1</v>
      </c>
      <c r="E1619" t="n">
        <v>2</v>
      </c>
      <c r="F1619">
        <f>HYPERLINK("https://www.reddit.com/r/eyetriage/comments/gk353d/eye_mucus/")</f>
        <v/>
      </c>
      <c r="G1619" t="inlineStr">
        <is>
          <t>2020-05-14 22:26:11</t>
        </is>
      </c>
      <c r="H1619" t="inlineStr"/>
    </row>
    <row r="1620">
      <c r="A1620" t="inlineStr">
        <is>
          <t>gk6d94</t>
        </is>
      </c>
      <c r="B1620" t="inlineStr">
        <is>
          <t>Unknown cause of my lazy eye</t>
        </is>
      </c>
      <c r="C1620" t="inlineStr">
        <is>
          <t>Hello everyone, 
I would like to reach to you experts/enthusiasts as I am unable to put a name on my condition.
I've been diagnosed with hypermetropia in both eyes, although stronger in my right eye, very early in my life (must have been 1 year old or so) and had strabismus. Wore glasses ever since until I was 13-14 years old, had eye patches to help strenghten my RIGHT eye. 
I felt unbelievably uncomfortable trying to see and function only with my right eye, the reason is that the vision from that eye is horrible, and frustratingly hard to explain as well. I finally found a way to describe it and I'm hoping for some answers:
Imagine how you are staring at the sun for too long and thus getting a blind spot right in the middle of your vision, to me it, usually looks purple afterwards and for some time until it heals. 
Now, what I see in my right eye could be hundreds or more tiny blindspots making it impossible to read on my phone. 
Those blindspots don't have a color, instead it looks like I see through them, this isn't a problem if I'm looking at something plain like a pink T-shirt. I believe my brain tries to fill up the empty spaces but fails miserably once I try to read something small enough.
Bonus: I did notice that my colors in my right eye seem very slightly less bright, I had to switch from left to right eye at least 10 times to confirm that.
I am now 22 years old and I do see, I believe, normally using only my left eye, leaving the right one only to be used for extra vision and reflexes. Well anything that doesn't require much acuity. 
Thank you for hearing me out and have a good day!</t>
        </is>
      </c>
      <c r="D1620" t="n">
        <v>1</v>
      </c>
      <c r="E1620" t="n">
        <v>3</v>
      </c>
      <c r="F1620">
        <f>HYPERLINK("https://www.reddit.com/r/eyetriage/comments/gk6d94/unknown_cause_of_my_lazy_eye/")</f>
        <v/>
      </c>
      <c r="G1620" t="inlineStr">
        <is>
          <t>2020-05-15 03:05:58</t>
        </is>
      </c>
      <c r="H1620" t="inlineStr"/>
    </row>
    <row r="1621">
      <c r="A1621" t="inlineStr">
        <is>
          <t>gk7r7p</t>
        </is>
      </c>
      <c r="B1621" t="inlineStr">
        <is>
          <t>Glaucoma neurology help!</t>
        </is>
      </c>
      <c r="C1621" t="inlineStr">
        <is>
          <t>So a few years ago I started sweating on one side of my body. The right side. At the same time I started to get right sided headaches. Along with right sided flushing. Along with right sided neck pain. Difficulty swallowing on the right side of my throat. Pressure behind my right eye. Pressure in my right cheek. During the myriad of drs I saw. They discovered I’d suddenly developed glaucoma. Doesn’t run in my family
Now. The right side of my face has dropped. I’ve seen the same neurologist for years. Who keeps saying nothing is wrong
Now I have taken latanoprost for over two years. But the pressures in my right eye have not stopped increasing. The drs keep telling me I’ll go blind. The vision in my right eye is rapidly deteriorating. Now the pressures in my left eye have also started to increase. Along with de imaging head pains. On the right side. 
My question is why? Why is it getting worse? What happens if it keeps increasing? What if none of the medications work?</t>
        </is>
      </c>
      <c r="D1621" t="n">
        <v>1</v>
      </c>
      <c r="E1621" t="n">
        <v>4</v>
      </c>
      <c r="F1621">
        <f>HYPERLINK("https://www.reddit.com/r/eyetriage/comments/gk7r7p/glaucoma_neurology_help/")</f>
        <v/>
      </c>
      <c r="G1621" t="inlineStr">
        <is>
          <t>2020-05-15 04:56:52</t>
        </is>
      </c>
      <c r="H1621" t="inlineStr"/>
    </row>
    <row r="1622">
      <c r="A1622" t="inlineStr">
        <is>
          <t>gk93n3</t>
        </is>
      </c>
      <c r="B1622" t="inlineStr">
        <is>
          <t>Cataract Surgery Issue Causes Head to Explode</t>
        </is>
      </c>
      <c r="C1622" t="inlineStr">
        <is>
          <t>Trying to make an informed decision about cataract surgery and the research is overheating my puny brain...
* Age = 59 (decent health &amp;amp; good fitness)
* Lifelong super myope: last prescription was -9.00  &amp;amp; -8.00
* Worn soft daily contacts almost exclusively since 1977
* Using readers with contacts since \~age 40 - current readers are +2.25
* Dec. 2018 - Sept. 2019 had retina tear followed months later by detachment in right eye,
* Cataract developed in right eye following surgery (vitrectomy &amp;amp; laser) to repair detachment
* Astigmatism is .5 &amp;amp; .8
Goals:
* Do what's best for the health of my eyes and quality of vision for next 25+ years
* Pass driver's license eye exam (20/40?) without glasses
* Read large print without glasses
Using glasses for reading would not be a hardship. Nor would using glasses to drive at night. Just being basically functional without glasses will be like a dream after a lifetime as a super myope.
My research and thinking have taken me around the world and I'm back to wanting to do standard cataract surgery with monofocal lens (especially as insurance will pay almost entire cost.)
Will see doctor Monday to make final pre-op decisions.
Questions:
* Am I correct in assuming that there is general consensus in the profession that the traditional cataract surgery  achieves at least as good outcomes as laser-assisted?
* In my case does the astigmatism call for laser surgery (as I think my research indicates)? Or could it be corrected with the standard cataract surgery? Or is it necessary to correct?
* All things considered are there other issues or questions that came to your mind as you read this?
And if you read this long story I am so grateful! Many thanks in advance for your thoughts and opinions.
Cheers,</t>
        </is>
      </c>
      <c r="D1622" t="n">
        <v>1</v>
      </c>
      <c r="E1622" t="n">
        <v>2</v>
      </c>
      <c r="F1622">
        <f>HYPERLINK("https://www.reddit.com/r/eyetriage/comments/gk93n3/cataract_surgery_issue_causes_head_to_explode/")</f>
        <v/>
      </c>
      <c r="G1622" t="inlineStr">
        <is>
          <t>2020-05-15 06:27:43</t>
        </is>
      </c>
      <c r="H1622" t="inlineStr"/>
    </row>
    <row r="1623">
      <c r="A1623" t="inlineStr">
        <is>
          <t>gkevh1</t>
        </is>
      </c>
      <c r="B1623" t="inlineStr">
        <is>
          <t>PVD/Retinal detachment or tears caused by videogames?</t>
        </is>
      </c>
      <c r="C1623" t="inlineStr">
        <is>
          <t>Hi everyone,   
So my cousin got diagnosed with PVD recently, after some weird symptoms she was having. She's only 35, mildly myopic (3.75) and is now convinced the PVD happened because she was playing side scrolling video games a lot in the few weeks before the symptoms appeared.   
She's now extremely anxious about playing any kind of video games because she's worried the PVD symptoms will worsen or a retinal detachment might occur if she returns to gaming now.   
I think she's being over cautious, but I thought I'd ask here to see if anyone knows anything about this or has heard of any possibility that playing video games can trigger PVD/retinal detachement/tears in any way? Or can gaming cause symptoms to worsen at all?   
Could looking at a screen (she's a proof reader) for the majority of the day have triggered the PVD or put her vision at risk in any immediate way?   
Or is it all just a coincidence that she got PVD young and was gaming a lot at the time?   
I'd like to try and reassure her that it's okay to go back to playing the games she loves, but I don't want to encourage her to do anything that may risk her vision and wind up with her needing surgery, given the current global situation.   
Any information would be a big help. Thanks.</t>
        </is>
      </c>
      <c r="D1623" t="n">
        <v>2</v>
      </c>
      <c r="E1623" t="n">
        <v>2</v>
      </c>
      <c r="F1623">
        <f>HYPERLINK("https://www.reddit.com/r/eyetriage/comments/gkevh1/pvdretinal_detachment_or_tears_caused_by/")</f>
        <v/>
      </c>
      <c r="G1623" t="inlineStr">
        <is>
          <t>2020-05-15 11:42:16</t>
        </is>
      </c>
      <c r="H1623" t="inlineStr"/>
    </row>
    <row r="1624">
      <c r="A1624" t="inlineStr">
        <is>
          <t>gki1f7</t>
        </is>
      </c>
      <c r="B1624" t="inlineStr">
        <is>
          <t>Dangerous to look at computer/phone screen after eye dilated by ophthalmologist?</t>
        </is>
      </c>
      <c r="C1624" t="inlineStr">
        <is>
          <t>Hi everyone. I had my eyes dilated by my ophthalmologist. When I got home I was looking at my phone and at my computer and I was in the bathroom with a bright light on. Will these things damage my eyes or my retina because my pupil is dilated?</t>
        </is>
      </c>
      <c r="D1624" t="n">
        <v>1</v>
      </c>
      <c r="E1624" t="n">
        <v>6</v>
      </c>
      <c r="F1624">
        <f>HYPERLINK("https://www.reddit.com/r/eyetriage/comments/gki1f7/dangerous_to_look_at_computerphone_screen_after/")</f>
        <v/>
      </c>
      <c r="G1624" t="inlineStr">
        <is>
          <t>2020-05-15 14:35:09</t>
        </is>
      </c>
      <c r="H1624" t="inlineStr"/>
    </row>
    <row r="1625">
      <c r="A1625" t="inlineStr">
        <is>
          <t>gkn7rn</t>
        </is>
      </c>
      <c r="B1625" t="inlineStr">
        <is>
          <t>I had cataract surgery yesterday - mini-monovision question</t>
        </is>
      </c>
      <c r="C1625" t="inlineStr">
        <is>
          <t>Had a monofocal lens placed in the dominate eye yesterday and today at distance I measured at 20/15 which is great.  I'm going to have the non-dominate eye done at the end of next week. My doctor and I have talked about doing the next implant as a mini-monovision.  Unfortunately the cataract in the remaining eye is a dense nuclear cataract and the vision in that eye is just a mess.  We tried dropping in a contact to target about 1 diopter under corrected as a test, but with the monocular diplopia and haziness due to the cataract it's really not a very good test.
So, I'm wondering if any of you professionals could give me your opinions.  I was thinking about doing a 1 diopter mini-mono.  I get the impression that my ophthalmologist likes to go smaller than that, say 0.5d but I'm wondering how useful that will be to me.
My goal is to be able to read my phone and stuff on a shelf in front me in a store without putting on readers.  I know I will never again have near vision like I did before the surgery.  Back when I was wearing glasses it was common for me to end up about a diopter under corrected on one side after a number of years in the same prescription which gave me no issues, but I understand I still had accommodation then so it's not apples and apples.
I am very satisfied with the distance vision I'm getting out of the dominate eye. I doubt I've ever been able to see so well in my life.  I've been myopic since the 7th grade and have never had very good distance vision.  Even with glasses or contacts I was usually never corrected better than 20/25 or 20/30.  But, if course I had *excellent* near vision which I'm actually going to miss since I sometimes need to do close up detailed work in my job and in my hobbies.  I've tried using readers today and it's just not the same being able to focus up close with that myopic eye. But, I'm very thankful that I live in a time where cataract surgery and IOLs are available, because I was headed towards complete blindness at some point without these technologies.
IOLs are an amazing thing.  I went from 20/80 to 20/15 in about 24 hrs.
So, thoughts on mini-mono and how much to do?</t>
        </is>
      </c>
      <c r="D1625" t="n">
        <v>1</v>
      </c>
      <c r="E1625" t="n">
        <v>10</v>
      </c>
      <c r="F1625">
        <f>HYPERLINK("https://www.reddit.com/r/eyetriage/comments/gkn7rn/i_had_cataract_surgery_yesterday_minimonovision/")</f>
        <v/>
      </c>
      <c r="G1625" t="inlineStr">
        <is>
          <t>2020-05-15 19:51:32</t>
        </is>
      </c>
      <c r="H1625" t="inlineStr"/>
    </row>
    <row r="1626">
      <c r="A1626" t="inlineStr">
        <is>
          <t>gkwr97</t>
        </is>
      </c>
      <c r="B1626" t="inlineStr">
        <is>
          <t>Dumb question but...can darting your eyes back and forth cause retinal detachment?</t>
        </is>
      </c>
      <c r="C1626" t="inlineStr">
        <is>
          <t>Hello all,
A stupid question, but nonetheless one I'd like to hear about. I got a sudden increase in floaters recently, and went to get my eyes checked. The eye doc said everything was fine, but said not to dart my eyes back and forth a lot to try and see the floaters, as this can cause retinal detachment. I'd never read this anywhere else online and, being a very anxious person, now it's all I think about lol. I am entering treatment for anxiety soon (covid-19 has really not been helpful here) but I thought I'd just pose the question here: is this true? I'm 22, had a full eye exam, and they said everything else was fine.
Thank you!</t>
        </is>
      </c>
      <c r="D1626" t="n">
        <v>2</v>
      </c>
      <c r="E1626" t="n">
        <v>7</v>
      </c>
      <c r="F1626">
        <f>HYPERLINK("https://www.reddit.com/r/eyetriage/comments/gkwr97/dumb_question_butcan_darting_your_eyes_back_and/")</f>
        <v/>
      </c>
      <c r="G1626" t="inlineStr">
        <is>
          <t>2020-05-16 08:45:12</t>
        </is>
      </c>
      <c r="H1626" t="inlineStr"/>
    </row>
    <row r="1627">
      <c r="A1627" t="inlineStr">
        <is>
          <t>gky95c</t>
        </is>
      </c>
      <c r="B1627" t="inlineStr">
        <is>
          <t>29 years old with floppy eyelid syndrome please help</t>
        </is>
      </c>
      <c r="C1627" t="inlineStr">
        <is>
          <t>Background- 29 F slightly overweight, former smoker, non drinker, non drug user. 
Last year I became pregnant and had a feeling I developed sleep apnea. At the same time I would wake up with dry, gritty eyes sometimes leaking discharge. 
I went to the eye doctor who told me it’s just allergies. I was prescribed olapatadine 0.2% twice a day. 
After I had my baby I was prescribed Zoloft for anxiety. I lost all the weight I gained during pregnancy (35 lbs) but my sleep apnea didn’t go away. After Zoloft it seemed to get worse. I do have very very large tonsils but no one has ever suggested removal. 
I went back to an eye doctor last week saying I believe I have floppy eyelid syndrome. She confirmed that I had “terrible floppy eyelid syndrome” and said there’s not much I can do about it. She said to continue the drops and wear a sleep mask. I asked about surgery or ways to fix it and she said it’s not reversible but I’ve seen things online that suggest otherwise. 
Since wearing the mask my eyes seem less puffy in the mornings. I do end up waking up with the mask off me multiple times a night. 
I know that the first step is doing a sleep study to confirm what I already know. 
My questions are as followed - 
General recommendations ? 
Is this reversible? 
Sleep mask recommendations? 
I don’t know anything about this disorder. Please help.</t>
        </is>
      </c>
      <c r="D1627" t="n">
        <v>1</v>
      </c>
      <c r="E1627" t="n">
        <v>4</v>
      </c>
      <c r="F1627">
        <f>HYPERLINK("https://www.reddit.com/r/eyetriage/comments/gky95c/29_years_old_with_floppy_eyelid_syndrome_please/")</f>
        <v/>
      </c>
      <c r="G1627" t="inlineStr">
        <is>
          <t>2020-05-16 10:11:48</t>
        </is>
      </c>
      <c r="H1627" t="inlineStr"/>
    </row>
    <row r="1628">
      <c r="A1628" t="inlineStr">
        <is>
          <t>gl5qkd</t>
        </is>
      </c>
      <c r="B1628" t="inlineStr">
        <is>
          <t>PVD - how long are you at risk of retinal detachment?</t>
        </is>
      </c>
      <c r="C1628" t="inlineStr">
        <is>
          <t>Hi all,   
Got diagnosed with PVD recently and I was wondering does anyone know how long you are at increased risk of retinal tears or detachment with PVD?   
Are you ever "safe" from retinal damage when PVD is complete?   
I had a couple of different eye exams and a few OCT scans too and was told (and shown with the scans) that the vitreous had already detached from my retina and not to worry about it, but I still have concerns about the potential for complications.   
Any help/advice would be greatly appreciated.   
Thanks.</t>
        </is>
      </c>
      <c r="D1628" t="n">
        <v>1</v>
      </c>
      <c r="E1628" t="n">
        <v>5</v>
      </c>
      <c r="F1628">
        <f>HYPERLINK("https://www.reddit.com/r/eyetriage/comments/gl5qkd/pvd_how_long_are_you_at_risk_of_retinal_detachment/")</f>
        <v/>
      </c>
      <c r="G1628" t="inlineStr">
        <is>
          <t>2020-05-16 17:31:27</t>
        </is>
      </c>
      <c r="H1628" t="inlineStr"/>
    </row>
    <row r="1629">
      <c r="A1629" t="inlineStr">
        <is>
          <t>gl9cvo</t>
        </is>
      </c>
      <c r="B1629" t="inlineStr">
        <is>
          <t>Optic Nerve Atrophy</t>
        </is>
      </c>
      <c r="C1629" t="inlineStr">
        <is>
          <t>Hi. I have optic nerve atrophy and experiencing dimming that come and goes and my condition is currently stable. I am worried about it. Is this happening because of the atrophy?</t>
        </is>
      </c>
      <c r="D1629" t="n">
        <v>1</v>
      </c>
      <c r="E1629" t="n">
        <v>5</v>
      </c>
      <c r="F1629">
        <f>HYPERLINK("https://www.reddit.com/r/eyetriage/comments/gl9cvo/optic_nerve_atrophy/")</f>
        <v/>
      </c>
      <c r="G1629" t="inlineStr">
        <is>
          <t>2020-05-16 21:41:07</t>
        </is>
      </c>
      <c r="H1629" t="inlineStr"/>
    </row>
    <row r="1630">
      <c r="A1630" t="inlineStr">
        <is>
          <t>glcydd</t>
        </is>
      </c>
      <c r="B1630" t="inlineStr">
        <is>
          <t>How to explain what is happening so I'm not wasting the doctor's time &amp;amp; an astigmatism question.</t>
        </is>
      </c>
      <c r="C1630" t="inlineStr">
        <is>
          <t>Light is painful.  Usually a 2 to 2.5 on the pain scale, but it can get worse depending on the intensity of the light.  When it gets worse my eyes water more than they usually do and it's really hard to keep from closing them to protect against the light.  If things touch my eyelashes then my eyes will also water for some reason.  When my eyes water it's hard to focus my vision (of course).  But this means that my eyes are doing nothing but watering during vision tests and eye exams.
This is making it so my vision tests are, while not worthless, kind of a crap shoot.  If the Phoropter (I looked up the name) is touching my eyelashes then my eyes are non-stop watering and I'm having a hard time telling the difference between 1 and 2 because I can't really focus on either one of them and it hurts to look at the letters anyway because they are on a very brightly backlit screen that also makes my eyes water because it's painful to look at.  It ends up with me desperately blinking to clear my eyes and then trying to read them or answer the question as quickly as I can before they go all blurry again.
This led to one eye exam where I tried to look through the 'final prescription' and I couldn't even focus through them.  I felt really bad, but my eyes had watered through the entire exam.  My latest exam was better, but my glasses work best when I an looking through them while they are 3 inches in front of my face.  Is there a way to explain the watering issue it's quick, concise and they get what is happening?  
On to the astigmatism question: when someone asks the question "Which of these is clearer - Number 1 or number 2?" are they asking "which one of these is the sharpest?" or are they asking "which one is the one that each letter is made up of just the one line without the drop shadow?".  
Thanks for your time.</t>
        </is>
      </c>
      <c r="D1630" t="n">
        <v>1</v>
      </c>
      <c r="E1630" t="n">
        <v>2</v>
      </c>
      <c r="F1630">
        <f>HYPERLINK("https://www.reddit.com/r/eyetriage/comments/glcydd/how_to_explain_what_is_happening_so_im_not/")</f>
        <v/>
      </c>
      <c r="G1630" t="inlineStr">
        <is>
          <t>2020-05-17 03:05:01</t>
        </is>
      </c>
      <c r="H1630" t="inlineStr"/>
    </row>
    <row r="1631">
      <c r="A1631" t="inlineStr">
        <is>
          <t>glh1re</t>
        </is>
      </c>
      <c r="B1631" t="inlineStr">
        <is>
          <t>Eye floaters and exercise</t>
        </is>
      </c>
      <c r="C1631" t="inlineStr">
        <is>
          <t>Hey guys, I was hoping you could give me some guidance here. Before I continue I know medical advice is not given over the internet, but I'm currently working/stuck in China due to covid 19, and physically do not have access to my Opthalmologist in the states. I was wondering if there was a correlation between floaters and exercise because I have been noticing more floaters recently, but only whole performing intense cycling rides (generally when I become dehydrated). In normal daily activities before and after I do not notice anything, and on days I don't exercise I don't notice anything. No flashing lights at all. But I am significantly near sighted, and had a percolated hole that was deemed insignificant after a couple follow-ups. I know the smart move is to go in, but I'm in China and even going to the dentist here is vastly different than the States so I expect to have no real advice from them. Just looking to see if there's any research or anectodal evidence that working out or dehydration can cause intermittent increases in symptoms like this. 
Thanks.</t>
        </is>
      </c>
      <c r="D1631" t="n">
        <v>1</v>
      </c>
      <c r="E1631" t="n">
        <v>4</v>
      </c>
      <c r="F1631">
        <f>HYPERLINK("https://www.reddit.com/r/eyetriage/comments/glh1re/eye_floaters_and_exercise/")</f>
        <v/>
      </c>
      <c r="G1631" t="inlineStr">
        <is>
          <t>2020-05-17 08:14:56</t>
        </is>
      </c>
      <c r="H1631" t="inlineStr"/>
    </row>
    <row r="1632">
      <c r="A1632" t="inlineStr">
        <is>
          <t>glmqkp</t>
        </is>
      </c>
      <c r="B1632" t="inlineStr">
        <is>
          <t>One eye seems dryer than the other (contact lenses)</t>
        </is>
      </c>
      <c r="C1632" t="inlineStr">
        <is>
          <t>Hey all,
I have been wearing Coopervision Biofinity lenses for years but over the last while I have noticed that the lens in my right eye becomes a little uncomfortable and drys out far quicker than the one in the left eye.
I use artificial tears sometimes but it brings only temporary relief. I used to use these lenses, as monthly disposables which I could leave in overnight for up to a week. I now wear my glasses far more so don't do this very often and always maintain good hygiene practices with the lenses and use good quality solution. 
However, the situation is a little annoying and I'm a bit worried that maybe, after 15 years of contact lens wearing, many of which was daily, perhaps my eyes are getting sick of them. Can that happen? 
I'm overdue a contact lens checkup but opticians are closed here for another while so can't do it right now. Any advice is greatly appreciated.</t>
        </is>
      </c>
      <c r="D1632" t="n">
        <v>1</v>
      </c>
      <c r="E1632" t="n">
        <v>4</v>
      </c>
      <c r="F1632">
        <f>HYPERLINK("https://www.reddit.com/r/eyetriage/comments/glmqkp/one_eye_seems_dryer_than_the_other_contact_lenses/")</f>
        <v/>
      </c>
      <c r="G1632" t="inlineStr">
        <is>
          <t>2020-05-17 13:30:36</t>
        </is>
      </c>
      <c r="H1632" t="inlineStr"/>
    </row>
    <row r="1633">
      <c r="A1633" t="inlineStr">
        <is>
          <t>gm1d3p</t>
        </is>
      </c>
      <c r="B1633" t="inlineStr">
        <is>
          <t>What is this black dot inside my eye, and is it normal for my eye to be this bloodshot after a lack of sleep?</t>
        </is>
      </c>
      <c r="C1633" t="inlineStr">
        <is>
          <t>Here's the pictures:  [https://imgur.com/a/oMOmMXd](https://imgur.com/a/oMOmMXd)  \- I've been up all night, couldn't sleep, I have anxiety and depression so I'm used to a lack of sleep, but I've never seen my eyes this bloodshot, someone pointed it out to me or I wouldn't have noticed, and then I saw that black/grey dot, is it anything bad?</t>
        </is>
      </c>
      <c r="D1633" t="n">
        <v>1</v>
      </c>
      <c r="E1633" t="n">
        <v>2</v>
      </c>
      <c r="F1633">
        <f>HYPERLINK("https://www.reddit.com/r/eyetriage/comments/gm1d3p/what_is_this_black_dot_inside_my_eye_and_is_it/")</f>
        <v/>
      </c>
      <c r="G1633" t="inlineStr">
        <is>
          <t>2020-05-18 06:22:47</t>
        </is>
      </c>
      <c r="H1633" t="inlineStr"/>
    </row>
    <row r="1634">
      <c r="A1634" t="inlineStr">
        <is>
          <t>gm64qs</t>
        </is>
      </c>
      <c r="B1634" t="inlineStr">
        <is>
          <t>Pressure on eyes from eye mask</t>
        </is>
      </c>
      <c r="C1634" t="inlineStr">
        <is>
          <t>Hi, today I tried Kinecare eye mask to treat my chalazion. The straps were too small for my head and the mask kind of put a lot of pressure on my eyes. I removed it quickly as it wasn't comfortable, but now I'm scared that the pressure hurt my eyes in some way. Could this cause damage or am I too paranoid? Thanks</t>
        </is>
      </c>
      <c r="D1634" t="n">
        <v>1</v>
      </c>
      <c r="E1634" t="n">
        <v>1</v>
      </c>
      <c r="F1634">
        <f>HYPERLINK("https://www.reddit.com/r/eyetriage/comments/gm64qs/pressure_on_eyes_from_eye_mask/")</f>
        <v/>
      </c>
      <c r="G1634" t="inlineStr">
        <is>
          <t>2020-05-18 10:39:50</t>
        </is>
      </c>
      <c r="H1634" t="inlineStr"/>
    </row>
    <row r="1635">
      <c r="A1635" t="inlineStr">
        <is>
          <t>gmfti4</t>
        </is>
      </c>
      <c r="B1635" t="inlineStr">
        <is>
          <t>Stye with post-LASIK dry eye not going away after 7.5 mo</t>
        </is>
      </c>
      <c r="C1635" t="inlineStr">
        <is>
          <t>Hi, so I've had Lasik done to my eyes back in December 2018. As a result, my eyes have suffered from extreme dryness (along with red, veiny eyes and redness behind my eyelids, and small bumps on my eyelids) but while it was extreme at the beginning, it's seemingly still improving at a very slow rate.
I bring this up however, because back in October 2019, I developed a stye in my right eye. At first, it was fairly prominent and visible to anyone else looking at my eye. After two/three weeks, it subsided to the point where you couldn't see it externally. It turned into a small darker brownish bump in the back and center of my lower eyelid.
I've seen a doctor back in Jan/Feb 2020 who prescribed me Tobramycin and Dexamethasone, and told me to start with putting in 3 drops daily for a week, then two drops daily for the next week, and finally one drop daily for a final week. Around this time, I also started taking Restasis for the dry eyes.
After doing all this, I've noticed a few things:
* During the time I was using the antibiotic/steroid drops, the redness on my eyes become much clearer, the dryness improved a good deal, and the bumps on my eyelids were gone.
* The bump behind my right eyelid is still the same.
* It's been about a full week since I stopped the steroid drops and the small bumps on my eyelids are back, maybe even more than before -- I'm not sure. The dryness does seem to be a good deal better than it was before starting the steroid drops though. Not sure if that's just residual effects of the drops.
My questions are:
* Does the improvement I'm seeing in regard to the LASIK dryness even after finishing the steroid drops look promising for a full recovery from dry eye without any Restasis? Or will it revert back to how it was before the drops soon?
* Is there anything else that could help with the remnants of the stye? I'm worried if I can't treat it soon, it will cause meibomian gland atrophy. I've used a Bruder mask to help with the dry eyes as well as to liquefy the stye, but it seems to make the redness and sometimes dryness of my eyes worse, with no visible benefit to the stye.
Sorry for the long post, I've just got a lot going on with my eyes in the past couple years since after LASIK that I wanted to include as much detail as I could, in case anyone could help. Before LASIK, I never had any dryness or styes, or excessive redness on my eyes or anything.</t>
        </is>
      </c>
      <c r="D1635" t="n">
        <v>1</v>
      </c>
      <c r="E1635" t="n">
        <v>3</v>
      </c>
      <c r="F1635">
        <f>HYPERLINK("https://www.reddit.com/r/eyetriage/comments/gmfti4/stye_with_postlasik_dry_eye_not_going_away_after/")</f>
        <v/>
      </c>
      <c r="G1635" t="inlineStr">
        <is>
          <t>2020-05-18 19:25:49</t>
        </is>
      </c>
      <c r="H1635" t="inlineStr"/>
    </row>
    <row r="1636">
      <c r="A1636" t="inlineStr">
        <is>
          <t>gmipn2</t>
        </is>
      </c>
      <c r="B1636" t="inlineStr">
        <is>
          <t>What's it called when you're unable to tell similar shades of the same color apart?</t>
        </is>
      </c>
      <c r="C1636" t="inlineStr">
        <is>
          <t>Like you know that Carmine, maroon and burgundy are shades of red but if they were in front of you you would just see one shade of red.</t>
        </is>
      </c>
      <c r="D1636" t="n">
        <v>1</v>
      </c>
      <c r="E1636" t="n">
        <v>2</v>
      </c>
      <c r="F1636">
        <f>HYPERLINK("https://www.reddit.com/r/eyetriage/comments/gmipn2/whats_it_called_when_youre_unable_to_tell_similar/")</f>
        <v/>
      </c>
      <c r="G1636" t="inlineStr">
        <is>
          <t>2020-05-18 22:49:13</t>
        </is>
      </c>
      <c r="H1636" t="inlineStr"/>
    </row>
    <row r="1637">
      <c r="A1637" t="inlineStr">
        <is>
          <t>gmkkmf</t>
        </is>
      </c>
      <c r="B1637" t="inlineStr">
        <is>
          <t>Cannot find information online about my condition.</t>
        </is>
      </c>
      <c r="C1637" t="inlineStr">
        <is>
          <t>Hello everyone. From a very young age I was diagnosed with strabismus. At first I was told that it was becasue I have a lot of pigment on my macula, but recently I was tested with a new machine and they told me that the pigment is distributed unevenly. The doctor didn't explain what this causes and how this alters my vision. I have tried to look for information but this seems like it doesn't have a name or it's too unspecific.
Can anyone help me find a name for this or some information?
Thank you :)</t>
        </is>
      </c>
      <c r="D1637" t="n">
        <v>1</v>
      </c>
      <c r="E1637" t="n">
        <v>1</v>
      </c>
      <c r="F1637">
        <f>HYPERLINK("https://www.reddit.com/r/eyetriage/comments/gmkkmf/cannot_find_information_online_about_my_condition/")</f>
        <v/>
      </c>
      <c r="G1637" t="inlineStr">
        <is>
          <t>2020-05-19 01:24:37</t>
        </is>
      </c>
      <c r="H1637" t="inlineStr"/>
    </row>
    <row r="1638">
      <c r="A1638" t="inlineStr">
        <is>
          <t>gml8nq</t>
        </is>
      </c>
      <c r="B1638" t="inlineStr">
        <is>
          <t>Is it normal to have issues nearly a year after a corneal abrasion?</t>
        </is>
      </c>
      <c r="C1638" t="inlineStr">
        <is>
          <t>Last summer I managed to scratch my eye, I went to hospital and had it checked and had a follow up where they said it had healed nicely but would be sensitive for a while. It’s nearly a year later and if I rub my eye I get instant pain, it feels the same as it did when I first scratched it except these eases off in under a minute. Sometimes on a bright day if I look outside I can see the shape of the abrasion (but upside down to when I saw it when they rolled my eyelid up and looked in hospital). Is it normal? I will get my eyes seen to when there’s not a pandemic but goodness knows how long that will be</t>
        </is>
      </c>
      <c r="D1638" t="n">
        <v>1</v>
      </c>
      <c r="E1638" t="n">
        <v>4</v>
      </c>
      <c r="F1638">
        <f>HYPERLINK("https://www.reddit.com/r/eyetriage/comments/gml8nq/is_it_normal_to_have_issues_nearly_a_year_after_a/")</f>
        <v/>
      </c>
      <c r="G1638" t="inlineStr">
        <is>
          <t>2020-05-19 02:23:14</t>
        </is>
      </c>
      <c r="H1638" t="inlineStr"/>
    </row>
    <row r="1639">
      <c r="A1639" t="inlineStr">
        <is>
          <t>gmv5vk</t>
        </is>
      </c>
      <c r="B1639" t="inlineStr">
        <is>
          <t>Flickering vision</t>
        </is>
      </c>
      <c r="C1639" t="inlineStr">
        <is>
          <t>I only notice this outdoorson bright sunny days especially the afternoon. When I focus on the sky or the road I'll start to notice a a faint flickering shimmering phenomenon which gets more and more  noticeable if I don't look away or blink. I was wondering if anyone else has noticed anything similar. I feel like I've had this for a while, but I just re  noticed it, and know I can't unsee it.</t>
        </is>
      </c>
      <c r="D1639" t="n">
        <v>1</v>
      </c>
      <c r="E1639" t="n">
        <v>25</v>
      </c>
      <c r="F1639">
        <f>HYPERLINK("https://www.reddit.com/r/eyetriage/comments/gmv5vk/flickering_vision/")</f>
        <v/>
      </c>
      <c r="G1639" t="inlineStr">
        <is>
          <t>2020-05-19 12:15:47</t>
        </is>
      </c>
      <c r="H1639" t="inlineStr"/>
    </row>
    <row r="1640">
      <c r="A1640" t="inlineStr">
        <is>
          <t>gmy5jd</t>
        </is>
      </c>
      <c r="B1640" t="inlineStr">
        <is>
          <t>Sun damage, dumb question</t>
        </is>
      </c>
      <c r="C1640" t="inlineStr">
        <is>
          <t>I was sunbathing and a had a shirt over my face and looked at the sun  through it for a moment or two until I final woke up and realized what I  was doing. I was just looking at the kind of rainbow the light created and some floaters.  Is there a chance my eye could be/become damaged from that? I don't notice anything different with my eye or eyes besides some possible  discomfort in my right eye, unless that is in my mind.
Sorry for the dumb question</t>
        </is>
      </c>
      <c r="D1640" t="n">
        <v>1</v>
      </c>
      <c r="E1640" t="n">
        <v>2</v>
      </c>
      <c r="F1640">
        <f>HYPERLINK("https://www.reddit.com/r/eyetriage/comments/gmy5jd/sun_damage_dumb_question/")</f>
        <v/>
      </c>
      <c r="G1640" t="inlineStr">
        <is>
          <t>2020-05-19 14:52:06</t>
        </is>
      </c>
      <c r="H1640" t="inlineStr"/>
    </row>
    <row r="1641">
      <c r="A1641" t="inlineStr">
        <is>
          <t>gn1lr5</t>
        </is>
      </c>
      <c r="B1641" t="inlineStr">
        <is>
          <t>Do they make positive diopter contact lenses?</t>
        </is>
      </c>
      <c r="C1641" t="inlineStr">
        <is>
          <t>I've only seen negative power contact lenses.</t>
        </is>
      </c>
      <c r="D1641" t="n">
        <v>1</v>
      </c>
      <c r="E1641" t="n">
        <v>2</v>
      </c>
      <c r="F1641">
        <f>HYPERLINK("https://www.reddit.com/r/eyetriage/comments/gn1lr5/do_they_make_positive_diopter_contact_lenses/")</f>
        <v/>
      </c>
      <c r="G1641" t="inlineStr">
        <is>
          <t>2020-05-19 18:08:17</t>
        </is>
      </c>
      <c r="H1641" t="inlineStr"/>
    </row>
    <row r="1642">
      <c r="A1642" t="inlineStr">
        <is>
          <t>gncrby</t>
        </is>
      </c>
      <c r="B1642" t="inlineStr">
        <is>
          <t>Glaucoma testing tomorrow - worried about possible diagnosis</t>
        </is>
      </c>
      <c r="C1642" t="inlineStr">
        <is>
          <t>Hi! I appreciate any info you can give me on glaucoma, as I am having testing tomorrow and am suddenly scared for a diagnosis.
I am 40-year old female. Last summer at my optometrist appointment, I was told I need to go in to an eye center within the next two years to have a glaucoma work-up - she said the "hole in my donut was too big". She said this could be anatomical, but she is usually good at charting that, and she had not charted anything at my visit a year before.
A few months ago I was having trouble with my eye and I saw an optometrist through a hospital system. I told him about what the other optometrist said, and he agreed. He pushed me to schedule the work-up as glaucoma is best if diagnosed early. He said my pressures were fine, but I did have a large "donut hole".
I have had some cardiac and liver issues in my life, and diagnostic tests never worried me - but a couple days ago I started panicking about going blind. I'm not sure what I'm looking for from you all, I know you can't diagnose or treat me, but I guess I am looking for general info. How fast does glaucoma progress? Are there options to slow the progression? I am 1 semester away from graduating nursing school and I am afraid I will never get to work as a nurse.</t>
        </is>
      </c>
      <c r="D1642" t="n">
        <v>1</v>
      </c>
      <c r="E1642" t="n">
        <v>12</v>
      </c>
      <c r="F1642">
        <f>HYPERLINK("https://www.reddit.com/r/eyetriage/comments/gncrby/glaucoma_testing_tomorrow_worried_about_possible/")</f>
        <v/>
      </c>
      <c r="G1642" t="inlineStr">
        <is>
          <t>2020-05-20 07:53:10</t>
        </is>
      </c>
      <c r="H1642" t="inlineStr"/>
    </row>
    <row r="1643">
      <c r="A1643" t="inlineStr">
        <is>
          <t>gnn7uq</t>
        </is>
      </c>
      <c r="B1643" t="inlineStr">
        <is>
          <t>Eyesight grading and vision numbers</t>
        </is>
      </c>
      <c r="C1643" t="inlineStr">
        <is>
          <t>I am a medical student and my SO said his vision is -4.0 in each eye. What is this equivalent to in the 20/20 grading scheme? Just curious!</t>
        </is>
      </c>
      <c r="D1643" t="n">
        <v>1</v>
      </c>
      <c r="E1643" t="n">
        <v>1</v>
      </c>
      <c r="F1643">
        <f>HYPERLINK("https://www.reddit.com/r/eyetriage/comments/gnn7uq/eyesight_grading_and_vision_numbers/")</f>
        <v/>
      </c>
      <c r="G1643" t="inlineStr">
        <is>
          <t>2020-05-20 18:07:07</t>
        </is>
      </c>
      <c r="H1643" t="inlineStr"/>
    </row>
    <row r="1644">
      <c r="A1644" t="inlineStr">
        <is>
          <t>gnrnkp</t>
        </is>
      </c>
      <c r="B1644" t="inlineStr">
        <is>
          <t>I have had blurry vision in my right eye for a year now after undergoing keratoplasty on my right eye under general anaesthesia and my doctor keeps telling me it's haze.</t>
        </is>
      </c>
      <c r="C1644" t="inlineStr">
        <is>
          <t>I was diagnosed with keratoconus some 8 years ago and had cxl 7 years ago, but my left eye had advanced to more severe stages. So I had a PRK on my right eye back in 2018 and it was getting better. But then after a year back in 2019 I was advised to go through with corneal transplant on my left eye, so I did. But when I woke up from the anaesthesia, my right eye sight had dropped below what it was initially before the PRK, i thought it would pass for a while, I waited for about a month as my doc told me, but it didn't get any better, I can feel my right eye the entire time and it got irritated by wind every now and then. I then told my doctor omce again and he said it was just gaze and give it some time. It didn't get any better and now we're talking 5-6 months after the keratoplasty i went back to him and he prescribed optilone ophth. at a dosage rate of 1 drop per day for a month. It didn't work then I thought about consulting another ophthalmologist who said it was probably psychological which didn't make any sense since I literally see better with my glasses from back 2016. I feel kinda helpless at this point and no matter how much I dig on the internet I don't seem to be able to pinpoint it. Is it possibly that the cornea is scarred? It's been more than a year now. What should I do now? 
Thanks...</t>
        </is>
      </c>
      <c r="D1644" t="n">
        <v>1</v>
      </c>
      <c r="E1644" t="n">
        <v>0</v>
      </c>
      <c r="F1644">
        <f>HYPERLINK("https://www.reddit.com/r/eyetriage/comments/gnrnkp/i_have_had_blurry_vision_in_my_right_eye_for_a/")</f>
        <v/>
      </c>
      <c r="G1644" t="inlineStr">
        <is>
          <t>2020-05-20 23:28:42</t>
        </is>
      </c>
      <c r="H1644" t="inlineStr"/>
    </row>
    <row r="1645">
      <c r="A1645" t="inlineStr">
        <is>
          <t>gny1td</t>
        </is>
      </c>
      <c r="B1645" t="inlineStr">
        <is>
          <t>Cost for Dry Eye Refraction testing</t>
        </is>
      </c>
      <c r="C1645" t="inlineStr">
        <is>
          <t>I'm having issues with dry eyes exacerbated by a biologic medication (Dupixent).
I spoke over the phone with a highly rated doctor who specializes in dry eye. I found the discussion helpful and have scheduled a consultation for tomorrow.
The doctor mentioned that I will need ~~refractive (sp?)~~ **a series of tests called higher order aberration refractive testing** testing that is not covered by insurance. He quoted $400 for this testing. I wanted to know if this was a normal test/charge. If it is something that will not need to be redone and will significantly help my dry eyes I have no problem paying it.</t>
        </is>
      </c>
      <c r="D1645" t="n">
        <v>1</v>
      </c>
      <c r="E1645" t="n">
        <v>7</v>
      </c>
      <c r="F1645">
        <f>HYPERLINK("https://www.reddit.com/r/eyetriage/comments/gny1td/cost_for_dry_eye_refraction_testing/")</f>
        <v/>
      </c>
      <c r="G1645" t="inlineStr">
        <is>
          <t>2020-05-21 07:40:20</t>
        </is>
      </c>
      <c r="H1645" t="inlineStr"/>
    </row>
    <row r="1646">
      <c r="A1646" t="inlineStr">
        <is>
          <t>go1chv</t>
        </is>
      </c>
      <c r="B1646" t="inlineStr">
        <is>
          <t>Eye wash made my eyes burn</t>
        </is>
      </c>
      <c r="C1646" t="inlineStr">
        <is>
          <t>Hi there! I suffer from dry and irritated eyes and I thought I would dry an eye wash from Walgreens. I poured it in the eye cup and moved my eye around. However, I experienced burning and redness after this wash. Is this a common thing? Or are eye washes really bs??</t>
        </is>
      </c>
      <c r="D1646" t="n">
        <v>1</v>
      </c>
      <c r="E1646" t="n">
        <v>2</v>
      </c>
      <c r="F1646">
        <f>HYPERLINK("https://www.reddit.com/r/eyetriage/comments/go1chv/eye_wash_made_my_eyes_burn/")</f>
        <v/>
      </c>
      <c r="G1646" t="inlineStr">
        <is>
          <t>2020-05-21 10:37:54</t>
        </is>
      </c>
      <c r="H1646" t="inlineStr"/>
    </row>
    <row r="1647">
      <c r="A1647" t="inlineStr">
        <is>
          <t>goavgf</t>
        </is>
      </c>
      <c r="B1647" t="inlineStr">
        <is>
          <t>Distortion in peripheral vision?</t>
        </is>
      </c>
      <c r="C1647" t="inlineStr">
        <is>
          <t>Greetings! What could be the cause of seeing a “magnification-distortion” effect in your perioheral vision in both eyes when i turn my head?</t>
        </is>
      </c>
      <c r="D1647" t="n">
        <v>1</v>
      </c>
      <c r="E1647" t="n">
        <v>0</v>
      </c>
      <c r="F1647">
        <f>HYPERLINK("https://www.reddit.com/r/eyetriage/comments/goavgf/distortion_in_peripheral_vision/")</f>
        <v/>
      </c>
      <c r="G1647" t="inlineStr">
        <is>
          <t>2020-05-21 19:33:23</t>
        </is>
      </c>
      <c r="H1647" t="inlineStr"/>
    </row>
    <row r="1648">
      <c r="A1648" t="inlineStr">
        <is>
          <t>goc9sh</t>
        </is>
      </c>
      <c r="B1648" t="inlineStr">
        <is>
          <t>What can potentially cause sensations of foreign objects in the ege?</t>
        </is>
      </c>
      <c r="C1648" t="inlineStr">
        <is>
          <t>Occasionally it feels like a piece of dust is trapped in my eye but I look in the mirror and nothing's there. I think it's more common in the past few months ever since my laser photocoagulation, but I'm not certain. How concerned should I be, and what are the possible causes?</t>
        </is>
      </c>
      <c r="D1648" t="n">
        <v>1</v>
      </c>
      <c r="E1648" t="n">
        <v>3</v>
      </c>
      <c r="F1648">
        <f>HYPERLINK("https://www.reddit.com/r/eyetriage/comments/goc9sh/what_can_potentially_cause_sensations_of_foreign/")</f>
        <v/>
      </c>
      <c r="G1648" t="inlineStr">
        <is>
          <t>2020-05-21 21:08:05</t>
        </is>
      </c>
      <c r="H1648" t="inlineStr"/>
    </row>
    <row r="1649">
      <c r="A1649" t="inlineStr">
        <is>
          <t>gospj9</t>
        </is>
      </c>
      <c r="B1649" t="inlineStr">
        <is>
          <t>Eyelash growth on the inner corner of the eye</t>
        </is>
      </c>
      <c r="C1649" t="inlineStr">
        <is>
          <t>&amp;amp;#x200B;
https://preview.redd.it/sjw90znx0e051.jpg?width=2003&amp;amp;format=pjpg&amp;amp;auto=webp&amp;amp;s=886a4df6d9b35623a59875b38cbf30cc64ed13b7
For a long time, I thought that my extra lashes were normal until my eyes got irritated for the nth time and I googled for images of eye close-ups. From those photos, I concluded that mine were really not in the norm.
My eyes have to deal with the constant sensation of sand rubbing its surface every time I blink.
The lashes would occasionally, *maybe once or twice a day,* get stuck in my tear duct and it feels so irritating, and rubbing makes it worse ( I really try not to do that but sometimes, the irritation is just unbearable)
I need opinion on whether I should see a doctor and get it plucked or lasered or whatever, or just let it be because I've only suffered mild irritation as of the moment.
An answer would be very much appreciated &amp;lt;3 I've posted this on another eye-related subreddit hoping for advice but the chances of getting an answer seems futile so I'm betting on this one :((</t>
        </is>
      </c>
      <c r="D1649" t="n">
        <v>1</v>
      </c>
      <c r="E1649" t="n">
        <v>1</v>
      </c>
      <c r="F1649">
        <f>HYPERLINK("https://www.reddit.com/r/eyetriage/comments/gospj9/eyelash_growth_on_the_inner_corner_of_the_eye/")</f>
        <v/>
      </c>
      <c r="G1649" t="inlineStr">
        <is>
          <t>2020-05-22 14:55:38</t>
        </is>
      </c>
      <c r="H1649" t="inlineStr"/>
    </row>
    <row r="1650">
      <c r="A1650" t="inlineStr">
        <is>
          <t>got26y</t>
        </is>
      </c>
      <c r="B1650" t="inlineStr">
        <is>
          <t>Worried after getting my eyes tested for ocular hypertension</t>
        </is>
      </c>
      <c r="C1650" t="inlineStr">
        <is>
          <t>Hey everyone, I'm a 22 year old male. I just came back from the ophthalmologist for an issue involving what I thought was a stye on my inner eyelid (it turned out to be allergies, nothing serious).
I had a bunch of other tests done including one where a blue light was shined into my eyes. My doctor made no comment on any of these tests which I took as a good sign. He left after giving me some eyedrops and a prescription for some steroid.
Right as I was about to leave, I decided to ask the doctor's assistant what some of the other tests they ran on me were and if everything seemed alright. She told me that the blue light test was to measure my eye pressure and then mentioned that my eye pressure was a little high.
My initial reaction was fear, because I know that high eye pressure is associated heavily with glaucoma. She asked me if I have a family history of glaucoma (I don't) and then she just sort of brushed it off after that. She said that holding my breath or something may have given me that result.
I guess I seemed pretty concerned so she asked if I wanted to have the doctor run a second test just to be sure. She came back and told me that the doctor isn't concerned about my eye pressure. He said it's probably because my eyes are irritated from the allergy.
The thing is... they're not. At least not now. I've had this allergy problem with my eye for years and it's a mild nuisance at most. At the time I did the test, my eyes weren't in pain and they weren't irritated. I left pretty concerned.
I get my eyes checked about every year, and I've never been told anything about high eye pressure. Granted, the only eye pressure test I've ever been given is the "air puff" test which is not very accurate from what I understand.
To be clear, neither the doctor or the assistant mentioned anything about ocular hypertension. Neither of them would have mentioned anything about the test if I hadn't brought it up. But I'm afraid the ophthalmologist may have dismissed it on the false premise that "my eyes are irritated" when they're not... I also assume they checked my optic nerve on one of the other tests and noticed nothing abnormal.
So, I guess my question are... Is it normal for eye pressure to increase temporarily? Is it ALWAYS a bad sign for eye pressure to be over the normal range? Does eye pressure fluctuate? Should I be concerned about my eye pressure being "a little" high? Should I take it as a good sign that the doctor didn't address the results?</t>
        </is>
      </c>
      <c r="D1650" t="n">
        <v>1</v>
      </c>
      <c r="E1650" t="n">
        <v>1</v>
      </c>
      <c r="F1650">
        <f>HYPERLINK("https://www.reddit.com/r/eyetriage/comments/got26y/worried_after_getting_my_eyes_tested_for_ocular/")</f>
        <v/>
      </c>
      <c r="G1650" t="inlineStr">
        <is>
          <t>2020-05-22 15:15:29</t>
        </is>
      </c>
      <c r="H1650" t="inlineStr"/>
    </row>
    <row r="1651">
      <c r="A1651" t="inlineStr">
        <is>
          <t>got46h</t>
        </is>
      </c>
      <c r="B1651" t="inlineStr">
        <is>
          <t>Does this warrant an urgent visit to the eye doctor again?</t>
        </is>
      </c>
      <c r="C1651" t="inlineStr">
        <is>
          <t>Week 1: PVD, floaters
Week 2: Flash, retinal tear
Week 3: Alot of flashes maybe 3-5 a night, exam showed no further issues. No vitreous movement, possible side effect of retina laser.
Week 4: No flashes, floaters the same 
Week 5 (this week): Flashes maybe 1 a night for the past 2 days
Straight to the doc again or I can wait for my exam in 10 days</t>
        </is>
      </c>
      <c r="D1651" t="n">
        <v>1</v>
      </c>
      <c r="E1651" t="n">
        <v>3</v>
      </c>
      <c r="F1651">
        <f>HYPERLINK("https://www.reddit.com/r/eyetriage/comments/got46h/does_this_warrant_an_urgent_visit_to_the_eye/")</f>
        <v/>
      </c>
      <c r="G1651" t="inlineStr">
        <is>
          <t>2020-05-22 15:18:43</t>
        </is>
      </c>
      <c r="H1651" t="inlineStr"/>
    </row>
    <row r="1652">
      <c r="A1652" t="inlineStr">
        <is>
          <t>gou2mi</t>
        </is>
      </c>
      <c r="B1652" t="inlineStr">
        <is>
          <t>Keratoconus?</t>
        </is>
      </c>
      <c r="C1652" t="inlineStr">
        <is>
          <t>I’m 25 (m) and I just recently graduated from dental school. I’ve had myopia and astigmatism for as long as I can remember. I wore glasses until the 10th grade then I switched to contacts. The contacts became unbearable after my first year in professional school and had to completely stop wearing them. I use glasses only when I absolutely have to because I hate them. I consider lasik but it has come to my attention that my cornea is “weird” I’ve heard this many times from optometrist and ophthalmologist. My understanding is lasik is contraindicated for ppl with keratoconus.  I have never been diagnosed but i feel like there’s evidence to suggest I may have it.  First I have never been able to read 20/20. My prescription is close enough, my nearsightedness is like -6ish and my astigmatism is like 1 (or -1 can’t remember) in both eyes. My prescription still changes every year but minimally, this includes my astigmatism. I’ve been told that ppl that go to school longer often experience vision changes as they continue to study but my understanding is (correct me if I’m wrong I’m not an ophthalmologist) that astigmatism shouldn’t change. I’m also sensitive to light and have a good amount of floaters (first noted in 2017). Anyway I’m not really looking for a diagnosis because I know that’s impossible from this post but advise. If I do have it I plan on doing the FDA approved corneal cross linking procedure and PRK. If I don’t have it should I still do PRK? Also any recommendations on how to pay for it? Do insurance cover these procedures? Normally finances wouldn’t be an issue but this virus has really delayed the time at which I can be employed. Anyway I have an appointment next Friday with a cornea specialist just looking for any extra information or recommendations. Thanks</t>
        </is>
      </c>
      <c r="D1652" t="n">
        <v>1</v>
      </c>
      <c r="E1652" t="n">
        <v>12</v>
      </c>
      <c r="F1652">
        <f>HYPERLINK("https://www.reddit.com/r/eyetriage/comments/gou2mi/keratoconus/")</f>
        <v/>
      </c>
      <c r="G1652" t="inlineStr">
        <is>
          <t>2020-05-22 16:14:31</t>
        </is>
      </c>
      <c r="H1652" t="inlineStr"/>
    </row>
    <row r="1653">
      <c r="A1653" t="inlineStr">
        <is>
          <t>gp1idp</t>
        </is>
      </c>
      <c r="B1653" t="inlineStr">
        <is>
          <t>Vision in left eye more dim/dark than right</t>
        </is>
      </c>
      <c r="C1653" t="inlineStr">
        <is>
          <t>This is more noticeable at night and has persisted for a couple weeks. Have had eyes looked by an ophthalmologist and eye scans but nothing shows up. What can it be?</t>
        </is>
      </c>
      <c r="D1653" t="n">
        <v>1</v>
      </c>
      <c r="E1653" t="n">
        <v>2</v>
      </c>
      <c r="F1653">
        <f>HYPERLINK("https://www.reddit.com/r/eyetriage/comments/gp1idp/vision_in_left_eye_more_dimdark_than_right/")</f>
        <v/>
      </c>
      <c r="G1653" t="inlineStr">
        <is>
          <t>2020-05-23 01:33:38</t>
        </is>
      </c>
      <c r="H1653" t="inlineStr"/>
    </row>
    <row r="1654">
      <c r="A1654" t="inlineStr">
        <is>
          <t>gp52yu</t>
        </is>
      </c>
      <c r="B1654" t="inlineStr">
        <is>
          <t>Ghosting vision when I open my eyes wide</t>
        </is>
      </c>
      <c r="C1654" t="inlineStr">
        <is>
          <t>Hi, in this period (4-5) months I'm experiencing a ghosting vision which is especially evident when I read a text on the computer.I only notice this phenomenon when I open my eyes wide, When my eyes are normally open, however, the phenomenon is not evident. I should be worried for that? Or is totally normal? Thank you. 19M P.S. THE GHOSTING VISION IS LESS STRONG WHEN I USE MY EYEGLASSES (FOR MILD MIOPIA)</t>
        </is>
      </c>
      <c r="D1654" t="n">
        <v>1</v>
      </c>
      <c r="E1654" t="n">
        <v>1</v>
      </c>
      <c r="F1654">
        <f>HYPERLINK("https://www.reddit.com/r/eyetriage/comments/gp52yu/ghosting_vision_when_i_open_my_eyes_wide/")</f>
        <v/>
      </c>
      <c r="G1654" t="inlineStr">
        <is>
          <t>2020-05-23 06:39:54</t>
        </is>
      </c>
      <c r="H1654" t="inlineStr"/>
    </row>
    <row r="1655">
      <c r="A1655" t="inlineStr">
        <is>
          <t>gp589v</t>
        </is>
      </c>
      <c r="B1655" t="inlineStr">
        <is>
          <t>Stabbing pain in eye after ophthalmology appointment</t>
        </is>
      </c>
      <c r="C1655" t="inlineStr">
        <is>
          <t>I saw a doctor yesterday for dry eye caused by GVHD. It was my first appt for this issue. The pain started in one eye immediately following the appointment.  I had hoped it would fade when the dilation resolved.  However it’s nearly 24 hrs later and the pain continues.  It is not constant unless I look toward sunlight.  It’s a dull ache otherwise.  
The other eye is fine.  The two eyes appear the same. I’ve never had a migraine and almost never get headaches.  The pain started while I was sitting in my car following the appointment. I waited out there for an hour before driving home due to the dilation.  (Next time I’ll Uber. I forgot how long dilation lasts....).  I couldn’t wait inside due to COVID precautions. 
Any ideas as to what’s going on?  I don’t want to call that office on the weekend as, ya know...it’s the weekend.  Thank you for any input. Hope you are all staying safe.</t>
        </is>
      </c>
      <c r="D1655" t="n">
        <v>1</v>
      </c>
      <c r="E1655" t="n">
        <v>2</v>
      </c>
      <c r="F1655">
        <f>HYPERLINK("https://www.reddit.com/r/eyetriage/comments/gp589v/stabbing_pain_in_eye_after_ophthalmology/")</f>
        <v/>
      </c>
      <c r="G1655" t="inlineStr">
        <is>
          <t>2020-05-23 06:50:07</t>
        </is>
      </c>
      <c r="H1655" t="inlineStr"/>
    </row>
    <row r="1656">
      <c r="A1656" t="inlineStr">
        <is>
          <t>gp73bc</t>
        </is>
      </c>
      <c r="B1656" t="inlineStr">
        <is>
          <t>[20M] Seeing flashes or blur going up and down vision.</t>
        </is>
      </c>
      <c r="C1656" t="inlineStr">
        <is>
          <t>Last week I was hit in the eye and ever since then have been having flashes of light or blurs sliding up and down my vision. It’s starting to happen more frequently but I have no symptoms of anytning else. Am I ok?</t>
        </is>
      </c>
      <c r="D1656" t="n">
        <v>1</v>
      </c>
      <c r="E1656" t="n">
        <v>10</v>
      </c>
      <c r="F1656">
        <f>HYPERLINK("https://www.reddit.com/r/eyetriage/comments/gp73bc/20m_seeing_flashes_or_blur_going_up_and_down/")</f>
        <v/>
      </c>
      <c r="G1656" t="inlineStr">
        <is>
          <t>2020-05-23 08:45:01</t>
        </is>
      </c>
      <c r="H1656" t="inlineStr"/>
    </row>
    <row r="1657">
      <c r="A1657" t="inlineStr">
        <is>
          <t>gpniz8</t>
        </is>
      </c>
      <c r="B1657" t="inlineStr">
        <is>
          <t>Baffled Ophthalmologists for years, curious what people on here might think.</t>
        </is>
      </c>
      <c r="C1657" t="inlineStr">
        <is>
          <t>Tl;dr had mystery eye problem that was never given a diagnosis. Mostly fixed with surgery and anti-inflammatories about 10 years ago. Seen an old picture of myself yesterday and realised my eye problem is back.
I probably saw every major eye doctor in the UK and no one could diagnose it... fancy a go?
Apologies if this isn't well worded, my main bulk of treatments/assessments were when I was between the age of about 11-16, so being a child I didnt really care what was happening and let the doctors speak to my parents for the most part.
I'm now 26/F in case it's relevant.
Okay so I was born with perfectly normal eyes as far as we know. Plenty of pictures of me from multiple angles showing that my eyes both move in all directions absolutely fine.
Around the age of 10/11 (I think), my parents noticed I would hold my head at a weird angle and that the inner corner of my right eye would get quite red. I remember it being slightly itchy and it would water a lot. 
Went to get it looked at, poked, prodded, follow the finger, follow the light, look at it through a prism, at doing hess charts.
I'm not sure of all the details but basically the outcome was that on my right eye the middle muscle nearest my nose (lateral rectus?) does not work at all and for some reason the middle muscle on the other side (medial rectus?) works over time and pulls my right eye outward.
This resulted in my eye only being able to move around in the far right quarter of my eye, with a tiny bit of limitation on looking down as well. 
To stop myself getting double vision I would subconsciously hold my head at an awkward angle to correct it. My head was turned quite far to the left and tipped forward a little.
http://imgur.com/a/lSefapj - this shows roughly the small space my eye could move in.
They didn't know what was causing the inner corner of my eye to be red and inflamed but whatever it was they believed it was still active and were worried about it so they put me on a prednisone or prednisolone (or possibly both?) through an IV drip over a 3 day period and they had me on methotrexate (7 tablets once per week at the top doseage). 
Once that had worked they carried out 2 operations.
In the first they cut the lateral rectus and shortened it I think by 1.5cm?
In the second they detached the medial rectus and reattached it about I think 2.5cm back.
The goal was to get my eye to move to the midline at least to stop me keeping my head in an awkward position as they were worried I would give myself neck and back issues.
They succeeded and my eye could almost get to the midline. There were talks of splitting some other muscles to see if I could use them to pull my eye across and almost have a normal eye but as they didnt really know what caused the problem in the first place they didnt want to do anything unnecessary. 
Fast forward to now, about 10 years later, my dad sent me an old picture that was probably taken not long after my corrective operations. In this picture I'm looking almost straight ahead. Excuse the heavy make-up, I had a pretty intense emo phase 😅
http://imgur.com/a/90nVax1
I dont take a whole lot of selfies and always compensate for the eye turn so I never really have any head on photos to compare to but I did think recently that my eye was slightly more turned than it used to be. Well after comparing it to that photo it is significantly worse now and I have actually lost a lot of downward movement.
http://imgur.com/a/QVnr8cH
I've got in touch with my old ophthalmologist but its bank holiday weekend/semi lockdown here so I'm not sure when I'll hear back from her.</t>
        </is>
      </c>
      <c r="D1657" t="n">
        <v>1</v>
      </c>
      <c r="E1657" t="n">
        <v>27</v>
      </c>
      <c r="F1657">
        <f>HYPERLINK("https://www.reddit.com/r/eyetriage/comments/gpniz8/baffled_ophthalmologists_for_years_curious_what/")</f>
        <v/>
      </c>
      <c r="G1657" t="inlineStr">
        <is>
          <t>2020-05-24 03:34:01</t>
        </is>
      </c>
      <c r="H1657" t="inlineStr"/>
    </row>
    <row r="1658">
      <c r="A1658" t="inlineStr">
        <is>
          <t>gpojtm</t>
        </is>
      </c>
      <c r="B1658" t="inlineStr">
        <is>
          <t>Bloody eye</t>
        </is>
      </c>
      <c r="C1658" t="inlineStr">
        <is>
          <t>Hello everyone,
I was wondering if anyone could please give me (my mom) an opinion on her eye. I fully understand that the best option is to seek medical advice from her actual ophthalmologist, however, the offices arent open till Monday, and the nature of Covid-19 is only adding to the stress. So this would be more of severity check, as we intend to see her doctor as soon as possible anyways.
Around Friday night, she had coughed and vomited violently due to a stomachache. This is what we believe caused the upper right side of her left eye to look bloody (assumed blood vessel popped). The blood also spread a little bit since the initial discovery. Although her eye looks very similar to images of broken eye vessels online, as you can see in the photo, there is a dark red, heart shaped spot that looked unlike any of the other photos we could find. Which is why we were wondering if her condition is much worse than her symptoms seem to show, and if we should visit the ER rather than wait for her ophthalmologist. Her only underlying condition is closed-angle glaucoma (corrected by laser surgery 3 years ago) and hypothyroidism.
[picture](http://imgur.com/a/5uH6Xg3)</t>
        </is>
      </c>
      <c r="D1658" t="n">
        <v>1</v>
      </c>
      <c r="E1658" t="n">
        <v>2</v>
      </c>
      <c r="F1658">
        <f>HYPERLINK("https://www.reddit.com/r/eyetriage/comments/gpojtm/bloody_eye/")</f>
        <v/>
      </c>
      <c r="G1658" t="inlineStr">
        <is>
          <t>2020-05-24 05:00:43</t>
        </is>
      </c>
      <c r="H1658" t="inlineStr"/>
    </row>
    <row r="1659">
      <c r="A1659" t="inlineStr">
        <is>
          <t>gpvwz1</t>
        </is>
      </c>
      <c r="B1659" t="inlineStr">
        <is>
          <t>Fast progressing myopia? Please answer.</t>
        </is>
      </c>
      <c r="C1659" t="inlineStr">
        <is>
          <t>I'm a 25 year old male.
I got glasses(multifoculs) in the beginning of march for nearsightedness, -0.75 sph in both eyes, all other variables were 0. 
Last week I had to go far an eye check-up due to an eye infection, (conjunctivitis or something I think) I couldn't read what is on the chart as good as I used to in march.
In the eye chart, there were 7 rows, I could only read the first 3 without any issues, the following four rows were totally blurry (in march I was easily able to read the first 5 rows without any problems) 
The Optholmologist only said power has increased I'm both eyes and that I'm going to need new prescription. They gave me two eye drops for infection and told me to return after two weeks. 
My next appointment is coming up in 6 days in which will I have to try the measurement lenses to know the exact power I require. Since I can't read the last four rows I'm sure it's definitely not going to be the same -0.75. How much increase in power can I expect approximately?
Could someone please answer why is it happening to me? Did the glasses make my vision worse or its something else? 
I know it tends to get worse as you age but it's only been two and half months since I got glasses. That's what makes it worrisome for me as I already felt bad enough having to wear glasses, now this, I feel like I'm going to be blind.</t>
        </is>
      </c>
      <c r="D1659" t="n">
        <v>1</v>
      </c>
      <c r="E1659" t="n">
        <v>5</v>
      </c>
      <c r="F1659">
        <f>HYPERLINK("https://www.reddit.com/r/eyetriage/comments/gpvwz1/fast_progressing_myopia_please_answer/")</f>
        <v/>
      </c>
      <c r="G1659" t="inlineStr">
        <is>
          <t>2020-05-24 12:40:09</t>
        </is>
      </c>
      <c r="H1659" t="inlineStr"/>
    </row>
    <row r="1660">
      <c r="A1660" t="inlineStr">
        <is>
          <t>gpzkae</t>
        </is>
      </c>
      <c r="B1660" t="inlineStr">
        <is>
          <t>Reoccurring subepithelial infiltrates ( need advice )</t>
        </is>
      </c>
      <c r="C1660" t="inlineStr">
        <is>
          <t>So subepithelial infiltrates keeps coming back from a nasty EKC ( more details can be found here https://reddit.app.link/VYoVZYhdL6 ). Initially started off with prednisolone and used it for 4.5 months. I am now on FML. Things are sort of stable but there are days where my vision fluctuates in both eyes. Are these infiltrates going to be permanent? And I heard about cyclosporine which looks like the next drop I should switch to after tapering down FML.. but is that right choice? Has cyclosporine helped reducing infiltrates?</t>
        </is>
      </c>
      <c r="D1660" t="n">
        <v>1</v>
      </c>
      <c r="E1660" t="n">
        <v>4</v>
      </c>
      <c r="F1660">
        <f>HYPERLINK("https://www.reddit.com/r/eyetriage/comments/gpzkae/reoccurring_subepithelial_infiltrates_need_advice/")</f>
        <v/>
      </c>
      <c r="G1660" t="inlineStr">
        <is>
          <t>2020-05-24 16:11:38</t>
        </is>
      </c>
      <c r="H1660" t="inlineStr"/>
    </row>
    <row r="1661">
      <c r="A1661" t="inlineStr">
        <is>
          <t>gq6yow</t>
        </is>
      </c>
      <c r="B1661" t="inlineStr">
        <is>
          <t>Closing one eye while reading</t>
        </is>
      </c>
      <c r="C1661" t="inlineStr">
        <is>
          <t>Closing one eye while reading
I don’t wear my eyeglasses while reading and have a tendency to close my right eye while reading particularly my smartphone. Is it common to do that and can it damage my eyesight?</t>
        </is>
      </c>
      <c r="D1661" t="n">
        <v>1</v>
      </c>
      <c r="E1661" t="n">
        <v>10</v>
      </c>
      <c r="F1661">
        <f>HYPERLINK("https://www.reddit.com/r/eyetriage/comments/gq6yow/closing_one_eye_while_reading/")</f>
        <v/>
      </c>
      <c r="G1661" t="inlineStr">
        <is>
          <t>2020-05-25 01:01:21</t>
        </is>
      </c>
      <c r="H1661" t="inlineStr"/>
    </row>
    <row r="1662">
      <c r="A1662" t="inlineStr">
        <is>
          <t>gqgdsv</t>
        </is>
      </c>
      <c r="B1662" t="inlineStr">
        <is>
          <t>Blurry / double vision while bike riding</t>
        </is>
      </c>
      <c r="C1662" t="inlineStr">
        <is>
          <t>Hi All -
First, let me say I will go to an opthomologist as soon as I can. Today is a holiday here, so they are all closed.
I recently noticed that I have vision trouble while bike riding. It only seems to happen under a specific set of circumstances: 1) I need to have been biking for about 30 minutes, 2) I need to be biking uphill. Under those circumstances, I find it harder and harder to focus on objects, especially street signs. At the top of one hill, I even had momentary diagonal double vision. All symptoms go away after stopping for 5 or 10 seconds. This has happened several times.
I've taken photos of my eyes during this episodes. The only thing I notice is periorbital edema and one eye lid gets a bit droop (while still being above the pupil.
Any ideas?</t>
        </is>
      </c>
      <c r="D1662" t="n">
        <v>1</v>
      </c>
      <c r="E1662" t="n">
        <v>5</v>
      </c>
      <c r="F1662">
        <f>HYPERLINK("https://www.reddit.com/r/eyetriage/comments/gqgdsv/blurry_double_vision_while_bike_riding/")</f>
        <v/>
      </c>
      <c r="G1662" t="inlineStr">
        <is>
          <t>2020-05-25 11:31:14</t>
        </is>
      </c>
      <c r="H1662" t="inlineStr"/>
    </row>
    <row r="1663">
      <c r="A1663" t="inlineStr">
        <is>
          <t>gqp918</t>
        </is>
      </c>
      <c r="B1663" t="inlineStr">
        <is>
          <t>Superficial K Surgery a Year Later Question</t>
        </is>
      </c>
      <c r="C1663" t="inlineStr">
        <is>
          <t>Hello, 
Just for starters, I had PRK a couple years ago. Ok, I had an accident last year that caused me to get a chemical burn on my eye. It was ok at first and then started to scar. This led to a corneal abrasion (Dr called it that). It caused me to have obstructed vision but everything I could see was still very clear and not blurry. After monitoring, the doctor said she could fix it with Superficial Keratectomy. I had the procedure last July. It went smoothly until she couldn't get all of it off and had to ask an assistant to go get a more powerful tool that she didn't think she would need to get the rest of it. 
Since then my vision in that eye has gotten worse and worse. I have had multiple follow ups and they just told me to keep using steroid drops for about 5 months until I was to ween off. I told them I was seeing double at times and my eye feels very weak. They would just do a vision test and say im back to my presurgery level of vision in that eye and act like that is good news. Then the last couple of visits they had me doing all of the eye test machines again which was getting expensive on my end. The latest conclusion is my cornea is too thin and I can't have any other surgery to correct my vision unless I go to Mexico or Canada since it wasn't allowed in the US. They still wanted me to come back every few months for the machine tests but I can't afford to keep doing that. They never warned me ahead of time that my vision could change completely or that if it did, I couldn't get it fixed. Should they have told me these things? Now I'm a year out and the eye is extremely blurry, dry, and I get pretty bad headaches. I use non preservative eye drops a lot but anything else I could be doing? I'm 2 years out of PRK and I really don't want to have to go back to depending on glasses or contacts. I am saving up to get a second opinion now. I really appreciate any input.</t>
        </is>
      </c>
      <c r="D1663" t="n">
        <v>1</v>
      </c>
      <c r="E1663" t="n">
        <v>4</v>
      </c>
      <c r="F1663">
        <f>HYPERLINK("https://www.reddit.com/r/eyetriage/comments/gqp918/superficial_k_surgery_a_year_later_question/")</f>
        <v/>
      </c>
      <c r="G1663" t="inlineStr">
        <is>
          <t>2020-05-25 20:17:35</t>
        </is>
      </c>
      <c r="H1663" t="inlineStr"/>
    </row>
    <row r="1664">
      <c r="A1664" t="inlineStr">
        <is>
          <t>gqp95e</t>
        </is>
      </c>
      <c r="B1664" t="inlineStr">
        <is>
          <t>Scintillating scotoma post Scleral Buckle</t>
        </is>
      </c>
      <c r="C1664" t="inlineStr">
        <is>
          <t>So I had an encircling buckle + cryoplexy done for a chronic retinal detachment in my left eye back in October, 2019. I can live with the significant vision loss in the eye...(F....now 29) and after many consultations (ending up in the office of an amazing pediatric ophthalmologist....he has been so great!) I know that I will undoubtedly require Strabismus surgery on both eyes (and a partial buckle removal for an impinged ocular muscle) to regain some semblance of usable vision again (tentatively scheduled for late July of 2020!). 
However I have been experiencing what I assume (and has been tentatively labeled as per my pediatric ophthalmologist) is a very obvious scintillating scotoma. I have had the 'pleasure' of having 4 (as to be logically assumed as such) ocular migraines since December, 2019 (controlled by abortive measures,  i e. Propanol as prescribed by my GP). 
My current doctor(s) can't give me a definitive since he/they are typically working only with children....however I was referred to an adult retinal specialist in an associated practice, but the appointment has been postponed (understandably) for the time being. 
I guess my concern is regarding the possibility for long-term damage...if the scotoma issue could be (hopefully) addressed by another retinal specialist, and if not....is it something I could try to plan to see another dictator about (like a neurologist) in the near future? It's very difficult because I typically only experience the phenomena when my blood pressure spikes. I am nervous because I already have lost 50% of usable vision in my RD eye, so losing more could be very catastrophic for my future. 
I unfortunately am caught in the crosshairs of two major insurance companies having a long-term appendage measuring contest (Pennsylvania....UPMC vs Highmark) which means that I  have limited local options (having employer sponsored Highmark insurance), so it's fiscally responsible to try and ascertain my next steps (if possible) prior to taking them since our local medical system is so janky. 
TL;DR I have a scintillating scotoma appearing very noticeably whenever my blood pressure is elevated (post-encircling scleral buckle/band) and idk if it's something I should be perusing on the ophthalmology front or trying to secure a referral for a neurological consultation. I am typically a very active and outdoorsy person, however I keep getting hung up on the fear factor of possibly losing more eyesight when I have 'blackout' spots while being physically active.
 Of course, I will be asking about this question at my tentatively scheduled appointment in late June......
Thank you in advance for reading this far ❤</t>
        </is>
      </c>
      <c r="D1664" t="n">
        <v>1</v>
      </c>
      <c r="E1664" t="n">
        <v>2</v>
      </c>
      <c r="F1664">
        <f>HYPERLINK("https://www.reddit.com/r/eyetriage/comments/gqp95e/scintillating_scotoma_post_scleral_buckle/")</f>
        <v/>
      </c>
      <c r="G1664" t="inlineStr">
        <is>
          <t>2020-05-25 20:17:50</t>
        </is>
      </c>
      <c r="H1664" t="inlineStr"/>
    </row>
    <row r="1665">
      <c r="A1665" t="inlineStr">
        <is>
          <t>gqpqvt</t>
        </is>
      </c>
      <c r="B1665" t="inlineStr">
        <is>
          <t>Eye dilation relaxing?</t>
        </is>
      </c>
      <c r="C1665" t="inlineStr">
        <is>
          <t>This isn’t a triage situation (thank goodness) but just a question. I swear, whenever I get my eyes dilated I find it extraordinarily relaxing for the rest of the day, even when my vision returns. Can any of you think of the reason that night happen? I’m generally a very, very anxious person but eye dilation is very high on my list of things that truly chill me out. Thanks!!</t>
        </is>
      </c>
      <c r="D1665" t="n">
        <v>1</v>
      </c>
      <c r="E1665" t="n">
        <v>8</v>
      </c>
      <c r="F1665">
        <f>HYPERLINK("https://www.reddit.com/r/eyetriage/comments/gqpqvt/eye_dilation_relaxing/")</f>
        <v/>
      </c>
      <c r="G1665" t="inlineStr">
        <is>
          <t>2020-05-25 20:52:41</t>
        </is>
      </c>
      <c r="H1665" t="inlineStr"/>
    </row>
    <row r="1666">
      <c r="A1666" t="inlineStr">
        <is>
          <t>gqul9i</t>
        </is>
      </c>
      <c r="B1666" t="inlineStr">
        <is>
          <t>Slowly going blind from Drusen/"visual snow"?</t>
        </is>
      </c>
      <c r="C1666" t="inlineStr">
        <is>
          <t>Hi.  This is a throwaway account as I would prefer to keep this anonymous.  Sorry if this gets long, also English isn't my first language so I  apologize for any mistakes.
Anyways.  I am a 20 y/o Norwegian woman suffering from Optic Nervehead Drusen. I  was diagnosed at the age of 13 after waking up one morning having lost  large parts of my vision overnight. I was completely terrified and was  rushed to hospital where they ruled out other possible causes for the  vision loss as Drusen do not typcially cause visual impairment, even  though it is possible in some rare cases.
What  is also quite remarkable is that the vision loss isn't only peripheral,  but affects several parts of my visual field, almost like a "net" of  sorts. Most doctors agree that this should not be possible. I have been  examined by many specialists, but none has been able to help me and most  are left perplexed by my progression. What started out as two blind  spots in my left eye, gradually evolved over the years and at age 15  both eyes were affected. Five more years have gone by and while I can't  see any radical changes for the worse, the spots are sort of moving  around, which i also find really strange and atypical for my condition.
My  mental health has been severely affected by this and since age 13 I've  been very depressed and anxious. It has caused me to withdraw socially  and I lack ambition in life. Seeing as I might go blind one day if this  carries on, I have abandoned all hope (sounds dramatic I know, but  living as a blind person seems terrifying and I would actually rather  die. No offense to blind people though, I truly admire those of you who  have the strength to create a dignified, decent life for yourselves  without sight). But I am too angry and afraid to get over it. Being the  pathetic creature I am, I would apparently rather dwell in my misery and  continue to hate myself and life itself for the rest of my days while  browsing suicide methods and having perpetual panic attacks (yes I am  seeing a therapist, and no it doesn't help).
Anyway.  Moving on. My left eye is currently the worst and if I hadn't my right  eye to compensate with, I would barely be able to read a book thanks to  the "veil" covering my eyesight, including peripheral and central  vision. Getting my driver's license will be a difficult thing to  accomplish, which is a bummer but hardly my biggest issue.
Also,  pretending that everything is alright is getting quite tiring and my  constant need to keep up the facade is hard to manage. I don't want  anyone to see me as a "sick"/"disabled" person, so the only people who  know about this are my parents. Not even my half siblings or friends are  aware of it and my parents are sworn to secrecy. Might sound  ridiculous, but I hate this part of myself and refuse to accept it, let  alone share it with the world. It is my private struggle.
What  do you people think? Any input would be helpful. I have read a lot  about the illness and the prognosis seems good, but on the other hand  I've already defied the "normal" progression by losing parts of my  vision, especially being this young. Those unfortunate souls who lose  parts of their vision thanks to Drusen usually lose it when they're  much, much older. Why is that? What makes me such a special case? Should  I fear losing all of my vision? Seven years have passed and I still  feel as upset and anxious about it. Please help me. I can't handle it. I  know I'm weak, but it has destroyed me to the core and taken my teenage  years away from me. I have no drive in life. I am completely absorbed  by my fears.
Also, I should  probably ad that I most likely suffer from undiagnosed moderate "visual  snow/static" that I've dealt with since as far as I can remember. It has  never been an issue though, it just kinda exists, you know and it  doesn't bother me, give me migraines or anything like that. But what's  interesting is that my blind spots look as if they are composed of  millions of those little grains/static particles or whatever you would  call them, so tightly packed together that they are non-see-through. The  patches also change colours and they started off as brown, but now  thyey are a more grayish/greenish/yellowish colour with different  pigmented static grains. It's just really weird and hard to describe.
Is  it possible that my vision loss is indeed a symptom of visual snow,  rather than Drusen? Does anyone out there have any clue what this might  be?
Thanks.</t>
        </is>
      </c>
      <c r="D1666" t="n">
        <v>1</v>
      </c>
      <c r="E1666" t="n">
        <v>0</v>
      </c>
      <c r="F1666">
        <f>HYPERLINK("https://www.reddit.com/r/eyetriage/comments/gqul9i/slowly_going_blind_from_drusenvisual_snow/")</f>
        <v/>
      </c>
      <c r="G1666" t="inlineStr">
        <is>
          <t>2020-05-26 03:34:37</t>
        </is>
      </c>
      <c r="H1666" t="inlineStr"/>
    </row>
    <row r="1667">
      <c r="A1667" t="inlineStr">
        <is>
          <t>gqvllg</t>
        </is>
      </c>
      <c r="B1667" t="inlineStr">
        <is>
          <t>.</t>
        </is>
      </c>
      <c r="C1667" t="inlineStr">
        <is>
          <t>*(Name) was originally seen by me on (Date) following a traumatic contusion injury to the right eye.  At that stage his visual acuity was 0.2 with his hyperopic correction, and he was found to have a periorbital ecchymosis with macular oedema, and cells in the vitreous.  He also had an optic nerve head pit.*  
*At follow up today he still notices a central scotoma and feels that the vision is suboptimal.  Once again with his hyperopic correction, his visual acuity had improved in the right eye to 0.7.  The left eye remains normal, and sees 1.0 with the corrective lens.  The rest of the examination of the left eye was normal.*
*On the right side he was noted to have the aforementioned optic nerve head pit, with significant nerve fibre layer loss and optic nerve head pallor.  This was borne out in a field defect, noted both on the Amsler grid and on a 3.2 visual field test.*
*The OCT of the macula showed all the layers to be intact, with some destruction of the inner layers of the retina.*
*In summary, (Name) has had permanent traumatic damage to the right eye, involving the optic nerve head and its nerve fibre layer.  This has resulted in a permanent scotoma in that eye.  None-the-less his visual acuity has improved to a large degree.  I would anticipate this to remain stable.*
*No other apparent damage or injury was seen to the right eye, including no cataract, and he has a normal intraocular pressure of 13.*
Can someone with any knowledge of these terms describe my condition in words I can understand?</t>
        </is>
      </c>
      <c r="D1667" t="n">
        <v>1</v>
      </c>
      <c r="E1667" t="n">
        <v>4</v>
      </c>
      <c r="F1667">
        <f>HYPERLINK("https://www.reddit.com/r/eyetriage/comments/gqvllg/_/")</f>
        <v/>
      </c>
      <c r="G1667" t="inlineStr">
        <is>
          <t>2020-05-26 04:53:01</t>
        </is>
      </c>
      <c r="H1667" t="inlineStr"/>
    </row>
    <row r="1668">
      <c r="A1668" t="inlineStr">
        <is>
          <t>gr08gt</t>
        </is>
      </c>
      <c r="B1668" t="inlineStr">
        <is>
          <t>Why are my eyes puffy, burning and red on the lid and underneath and sometimes my eye is red off and on?</t>
        </is>
      </c>
      <c r="C1668" t="inlineStr">
        <is>
          <t>[the lids] (https://ibb.co/ZNjT6cR) and [underneath](https://ibb.co/vBW8Vkz) my eyes are puffy, red and sometimes burn. It’s happened before luke December/January and My eye doctor said it might be contact dermatitis so I stopped all of the same makeup and skincare that I was using and eventually it stopped I figured out what makeup item it was. Then still never used any of the same makeup items it came back like a few days ago. Now today my actual eyes are red along with it as well. I’m not sure what to do to figure what this could be. I’ve tried tons of I’ve the counter blink drops and stuff recommended by my eye doctor and it hasn’t gotten any better. I feel like today their a bit more puffy than yesterday and I didn’t use any products on them yet today. I’m just going to be washing my face with baby shampoo for now.</t>
        </is>
      </c>
      <c r="D1668" t="n">
        <v>1</v>
      </c>
      <c r="E1668" t="n">
        <v>8</v>
      </c>
      <c r="F1668">
        <f>HYPERLINK("https://www.reddit.com/r/eyetriage/comments/gr08gt/why_are_my_eyes_puffy_burning_and_red_on_the_lid/")</f>
        <v/>
      </c>
      <c r="G1668" t="inlineStr">
        <is>
          <t>2020-05-26 09:25:55</t>
        </is>
      </c>
      <c r="H1668" t="inlineStr"/>
    </row>
    <row r="1669">
      <c r="A1669" t="inlineStr">
        <is>
          <t>gr620d</t>
        </is>
      </c>
      <c r="B1669" t="inlineStr">
        <is>
          <t>Elevated beige area on right sclera near tear duct, slightly blurred vision right eye only, no pain, has been going on for a couple of weeks</t>
        </is>
      </c>
      <c r="C1669" t="inlineStr">
        <is>
          <t>Right eye 1: https://imgur.com/g7wESBn
Right eye 2: https://imgur.com/sJKB8U9
Left eye, no problems: https://imgur.com/O8d6Hec
It isn't very noticeable in the images, but the area's elevation is apparent in person
31/F/no known medical conditions</t>
        </is>
      </c>
      <c r="D1669" t="n">
        <v>1</v>
      </c>
      <c r="E1669" t="n">
        <v>3</v>
      </c>
      <c r="F1669">
        <f>HYPERLINK("https://www.reddit.com/r/eyetriage/comments/gr620d/elevated_beige_area_on_right_sclera_near_tear/")</f>
        <v/>
      </c>
      <c r="G1669" t="inlineStr">
        <is>
          <t>2020-05-26 14:27:29</t>
        </is>
      </c>
      <c r="H1669" t="inlineStr"/>
    </row>
    <row r="1670">
      <c r="A1670" t="inlineStr">
        <is>
          <t>gr88ot</t>
        </is>
      </c>
      <c r="B1670" t="inlineStr">
        <is>
          <t>Eyelash in my eye</t>
        </is>
      </c>
      <c r="C1670" t="inlineStr">
        <is>
          <t>Ok so I read somewhere that eyelashes don't actually disappear behind your eye because of the protective layer surrounding your eye. But I got LASIK done a couple months ago, and I'm not sure if that changes anything. I know it sounds stupid, but I get paranoid easily so please bear with me.</t>
        </is>
      </c>
      <c r="D1670" t="n">
        <v>1</v>
      </c>
      <c r="E1670" t="n">
        <v>1</v>
      </c>
      <c r="F1670">
        <f>HYPERLINK("https://www.reddit.com/r/eyetriage/comments/gr88ot/eyelash_in_my_eye/")</f>
        <v/>
      </c>
      <c r="G1670" t="inlineStr">
        <is>
          <t>2020-05-26 16:30:56</t>
        </is>
      </c>
      <c r="H1670" t="inlineStr"/>
    </row>
    <row r="1671">
      <c r="A1671" t="inlineStr">
        <is>
          <t>grainr</t>
        </is>
      </c>
      <c r="B1671" t="inlineStr">
        <is>
          <t>What do the flashing lights associated with a retinal tear or detachment look like?</t>
        </is>
      </c>
      <c r="C1671" t="inlineStr">
        <is>
          <t xml:space="preserve">
I saw an optometrist 6 months ago. My eyes were fine. I don’t know when the flashing lights started. They’ve been minor and disappear quickly. I often have headaches as well.
I don’t have much money, so I don’t want to schedule an appointment if the occasional flashes I see aren’t serious.</t>
        </is>
      </c>
      <c r="D1671" t="n">
        <v>1</v>
      </c>
      <c r="E1671" t="n">
        <v>21</v>
      </c>
      <c r="F1671">
        <f>HYPERLINK("https://www.reddit.com/r/eyetriage/comments/grainr/what_do_the_flashing_lights_associated_with_a/")</f>
        <v/>
      </c>
      <c r="G1671" t="inlineStr">
        <is>
          <t>2020-05-26 18:53:59</t>
        </is>
      </c>
      <c r="H1671" t="inlineStr"/>
    </row>
    <row r="1672">
      <c r="A1672" t="inlineStr">
        <is>
          <t>gri3il</t>
        </is>
      </c>
      <c r="B1672" t="inlineStr">
        <is>
          <t>I have severe myopia in both my eyes. What all-purpose goggles should I buy if I want to participate in martial arts, swimming and other contact sports?</t>
        </is>
      </c>
      <c r="C1672" t="inlineStr">
        <is>
          <t>Hi there. 
I am a 29 year old male. And I have -10 in one eye and -9.5 in another eye with -1.5 astigmatism in one eye and -0.75 astigmatism in another. I am forbidden by the opthalmologist to wear any contact lenses because of some problems with the eye. So I have to wear these thick glasses. 
The problem is, I cannot do anything while wearing these glasses. I cannot practice martial arts, swim, play cricket or do anything. 
I am looking for a googles or some other similar implement that I can wear over my glasses so that the goggles can be used in any situation like swimming, martial arts etc. But it should not make me look dorky. The goggles also needs to have sun protection so, either it needs a photosun system (where it darkens with sunlight) or it comes with a clip on sunglasses. 
I know that powered goggles can be purchased or made, but I live in Bangladesh and I looked around, no such goggles exist. So I have to order them online and therefore they need to be a one-size for all. The goggles cannot therefore be custom made like eyeglasses are. 
I don't know where else to ask this. So can someone suggest what type of goggles I need to look for? What is the term for such goggles?</t>
        </is>
      </c>
      <c r="D1672" t="n">
        <v>1</v>
      </c>
      <c r="E1672" t="n">
        <v>1</v>
      </c>
      <c r="F1672">
        <f>HYPERLINK("https://www.reddit.com/r/eyetriage/comments/gri3il/i_have_severe_myopia_in_both_my_eyes_what/")</f>
        <v/>
      </c>
      <c r="G1672" t="inlineStr">
        <is>
          <t>2020-05-27 04:36:22</t>
        </is>
      </c>
      <c r="H1672" t="inlineStr"/>
    </row>
    <row r="1673">
      <c r="A1673" t="inlineStr">
        <is>
          <t>grid64</t>
        </is>
      </c>
      <c r="B1673" t="inlineStr">
        <is>
          <t>Likely recurring corneal erosion?</t>
        </is>
      </c>
      <c r="C1673" t="inlineStr">
        <is>
          <t>A year ago I went in for a scratch on my cornea after my puppy accidentally got me. I was treated with a temporary contact lens I wore continuously for several days along with moxifloxacin drops. Since then any discomfort I’ve had, I didn’t think of it as anything, but lately it’s been particularly frequent. 
It generally happens when I’m asleep or sometimes just if I’m laying on my side and my eye is pressed against my pillow or something. I suspect that my eyelids don’t close fully at night.
What I’m getting is the awful sensation that there is something in my eye/behind my eyelid. I’m trying to figure out if I can afford to go to see an ophthalmologist; with Covid I ended up losing my job and better health coverage. The new plan I’m on is garbage. 
Any advice? It’s happening regularly.</t>
        </is>
      </c>
      <c r="D1673" t="n">
        <v>1</v>
      </c>
      <c r="E1673" t="n">
        <v>4</v>
      </c>
      <c r="F1673">
        <f>HYPERLINK("https://www.reddit.com/r/eyetriage/comments/grid64/likely_recurring_corneal_erosion/")</f>
        <v/>
      </c>
      <c r="G1673" t="inlineStr">
        <is>
          <t>2020-05-27 04:57:12</t>
        </is>
      </c>
      <c r="H1673" t="inlineStr"/>
    </row>
    <row r="1674">
      <c r="A1674" t="inlineStr">
        <is>
          <t>grrqhk</t>
        </is>
      </c>
      <c r="B1674" t="inlineStr">
        <is>
          <t>Benadryl abuse</t>
        </is>
      </c>
      <c r="C1674" t="inlineStr">
        <is>
          <t>My eye doctor told me my chronic dry eyes are due to over use of Benadryl.   
I forgot to ask him if the problem with dry eyes will get better in time (after I stop taking Benadryl). 
I've been taking up to six pills a day for years.  Will the chronic dry eyes get better over time?  If so, how long should it take?</t>
        </is>
      </c>
      <c r="D1674" t="n">
        <v>1</v>
      </c>
      <c r="E1674" t="n">
        <v>5</v>
      </c>
      <c r="F1674">
        <f>HYPERLINK("https://www.reddit.com/r/eyetriage/comments/grrqhk/benadryl_abuse/")</f>
        <v/>
      </c>
      <c r="G1674" t="inlineStr">
        <is>
          <t>2020-05-27 13:33:39</t>
        </is>
      </c>
      <c r="H1674" t="inlineStr"/>
    </row>
    <row r="1675">
      <c r="A1675" t="inlineStr">
        <is>
          <t>grwqef</t>
        </is>
      </c>
      <c r="B1675" t="inlineStr">
        <is>
          <t>What does vitreovascular avulsion mean?</t>
        </is>
      </c>
      <c r="C1675" t="inlineStr">
        <is>
          <t>What does it mean to "have some points of vitreovascular avulsion"? Is it dangerous? Does it precede any long term eye issues?
I'm a high myope, mid 20s, recently had a retinal tear.</t>
        </is>
      </c>
      <c r="D1675" t="n">
        <v>1</v>
      </c>
      <c r="E1675" t="n">
        <v>4</v>
      </c>
      <c r="F1675">
        <f>HYPERLINK("https://www.reddit.com/r/eyetriage/comments/grwqef/what_does_vitreovascular_avulsion_mean/")</f>
        <v/>
      </c>
      <c r="G1675" t="inlineStr">
        <is>
          <t>2020-05-27 18:25:47</t>
        </is>
      </c>
      <c r="H1675" t="inlineStr"/>
    </row>
    <row r="1676">
      <c r="A1676" t="inlineStr">
        <is>
          <t>gs0mdb</t>
        </is>
      </c>
      <c r="B1676" t="inlineStr">
        <is>
          <t>there is a dark spot on the white of my eye</t>
        </is>
      </c>
      <c r="C1676" t="inlineStr">
        <is>
          <t>hi!
 I recently noticed in the mirror that I have a dark spot in my left eye and I noticed a similar spot in my other eye. I don't think I was born with these spots. My vision is fine and I don't feel any discomfort. What are they exactly?
https://preview.redd.it/dc5899um2g151.png?width=324&amp;amp;format=png&amp;amp;auto=webp&amp;amp;s=3a0276784b8764483bfa512f45d9e46deadf4d47</t>
        </is>
      </c>
      <c r="D1676" t="n">
        <v>1</v>
      </c>
      <c r="E1676" t="n">
        <v>2</v>
      </c>
      <c r="F1676">
        <f>HYPERLINK("https://www.reddit.com/r/eyetriage/comments/gs0mdb/there_is_a_dark_spot_on_the_white_of_my_eye/")</f>
        <v/>
      </c>
      <c r="G1676" t="inlineStr">
        <is>
          <t>2020-05-27 23:02:40</t>
        </is>
      </c>
      <c r="H1676" t="inlineStr"/>
    </row>
    <row r="1677">
      <c r="A1677" t="inlineStr">
        <is>
          <t>gsbsvo</t>
        </is>
      </c>
      <c r="B1677" t="inlineStr">
        <is>
          <t>I've been feeling a burning sensation in my eyes for 2 months now. Went to a doctor and he told me I have an inflammation.</t>
        </is>
      </c>
      <c r="C1677" t="inlineStr">
        <is>
          <t>I am 1 week and 2 days into my treatment, which should only last 2 weeks, and I am not feeling any better.
Symptoms:
Burning eyes when wind hits them. Any basic movement that includes air being pushed into my eyes, such as walking or turning really quick, makes my eyes burn.
Even not doing anything while sitting makes me feel like my eyes are burning.
THIS HAS BEEN GOING ON FOR 2 MONTHS, HELP!</t>
        </is>
      </c>
      <c r="D1677" t="n">
        <v>1</v>
      </c>
      <c r="E1677" t="n">
        <v>12</v>
      </c>
      <c r="F1677">
        <f>HYPERLINK("https://www.reddit.com/r/eyetriage/comments/gsbsvo/ive_been_feeling_a_burning_sensation_in_my_eyes/")</f>
        <v/>
      </c>
      <c r="G1677" t="inlineStr">
        <is>
          <t>2020-05-28 11:31:43</t>
        </is>
      </c>
      <c r="H1677" t="inlineStr"/>
    </row>
    <row r="1678">
      <c r="A1678" t="inlineStr">
        <is>
          <t>gsi5d4</t>
        </is>
      </c>
      <c r="B1678" t="inlineStr">
        <is>
          <t>polypoidal choroidal vasculopathy treatment</t>
        </is>
      </c>
      <c r="C1678" t="inlineStr">
        <is>
          <t>My grandmother is suffering from this now and im really worried</t>
        </is>
      </c>
      <c r="D1678" t="n">
        <v>1</v>
      </c>
      <c r="E1678" t="n">
        <v>1</v>
      </c>
      <c r="F1678">
        <f>HYPERLINK("https://www.reddit.com/r/eyetriage/comments/gsi5d4/polypoidal_choroidal_vasculopathy_treatment/")</f>
        <v/>
      </c>
      <c r="G1678" t="inlineStr">
        <is>
          <t>2020-05-28 17:13:36</t>
        </is>
      </c>
      <c r="H1678" t="inlineStr"/>
    </row>
    <row r="1679">
      <c r="A1679" t="inlineStr">
        <is>
          <t>gsk359</t>
        </is>
      </c>
      <c r="B1679" t="inlineStr">
        <is>
          <t>Retinal tear, floaters and flashers without PVD?</t>
        </is>
      </c>
      <c r="C1679" t="inlineStr">
        <is>
          <t>Is it possible to have floaters and flashes aswell as a small retinal hole without having a PVD?
I've been to 2 doctors where 1 said I have partial PVD whereas the other said I have no PVD.
Would it make sense to have had these symptoms and a small retina tear without having PVD?
 I'm a high myope in mid 20s</t>
        </is>
      </c>
      <c r="D1679" t="n">
        <v>1</v>
      </c>
      <c r="E1679" t="n">
        <v>1</v>
      </c>
      <c r="F1679">
        <f>HYPERLINK("https://www.reddit.com/r/eyetriage/comments/gsk359/retinal_tear_floaters_and_flashers_without_pvd/")</f>
        <v/>
      </c>
      <c r="G1679" t="inlineStr">
        <is>
          <t>2020-05-28 19:18:58</t>
        </is>
      </c>
      <c r="H1679" t="inlineStr"/>
    </row>
    <row r="1680">
      <c r="A1680" t="inlineStr">
        <is>
          <t>gsmzjx</t>
        </is>
      </c>
      <c r="B1680" t="inlineStr">
        <is>
          <t>Will this help demodex?</t>
        </is>
      </c>
      <c r="C1680" t="inlineStr">
        <is>
          <t>have a demodex infestation 
Day to day is fine just annoying 
I'm going to literally pluck every eyelash and baste my eyelids with a tea tree oil / walnut oil solution 
No lashes no food ?</t>
        </is>
      </c>
      <c r="D1680" t="n">
        <v>1</v>
      </c>
      <c r="E1680" t="n">
        <v>0</v>
      </c>
      <c r="F1680">
        <f>HYPERLINK("https://www.reddit.com/r/eyetriage/comments/gsmzjx/will_this_help_demodex/")</f>
        <v/>
      </c>
      <c r="G1680" t="inlineStr">
        <is>
          <t>2020-05-28 22:46:38</t>
        </is>
      </c>
      <c r="H1680" t="inlineStr"/>
    </row>
    <row r="1681">
      <c r="A1681" t="inlineStr">
        <is>
          <t>gsq8l8</t>
        </is>
      </c>
      <c r="B1681" t="inlineStr">
        <is>
          <t>Eye-throat linked pain, what is this?</t>
        </is>
      </c>
      <c r="C1681" t="inlineStr">
        <is>
          <t>I have a linked pain that only happens at night when in bed, no clue what it is and how to get rid of it
-&amp;gt;The pain in the eye: feels most similar to when you get a tired eye or the dry/pain you get when suffering from pinkeye. Or maybe like the pain when an insect flies into it
-&amp;gt;The pain in the throat: feels most similar to the pain you get after running and inhaling cold air for some time
-&amp;gt;Both the eye and throat pain get triggered at the exact same time, never apart, and it only happens in on eye + the throat. The level of pain on the threshold gets higher and higher until i open my eyes.
-&amp;gt;It lasts maybe 3-4 seconds at a time and then it is gone (when i open eyes). It always happens at night with the eyes closed, most often when going to sleep, never during the day. Sometimes during sleep
-&amp;gt;It comes and goes, sometimes i don't have it for a week, sometimes i get it 2-3 times a night. The eye i get the pain in is random. Most often it is in my right, seldom in the left
Went to an eye doc who tested my eyes and did some tests, she said my eyes are good and doesn't know what that problem is or where it comes from
The heck is this and should i be worried? i can't even google this and get results because no one seems to have had linked eye and throat pain</t>
        </is>
      </c>
      <c r="D1681" t="n">
        <v>1</v>
      </c>
      <c r="E1681" t="n">
        <v>0</v>
      </c>
      <c r="F1681">
        <f>HYPERLINK("https://www.reddit.com/r/eyetriage/comments/gsq8l8/eyethroat_linked_pain_what_is_this/")</f>
        <v/>
      </c>
      <c r="G1681" t="inlineStr">
        <is>
          <t>2020-05-29 03:12:29</t>
        </is>
      </c>
      <c r="H1681" t="inlineStr"/>
    </row>
    <row r="1682">
      <c r="A1682" t="inlineStr">
        <is>
          <t>gsq90t</t>
        </is>
      </c>
      <c r="B1682" t="inlineStr">
        <is>
          <t>Fundus examination</t>
        </is>
      </c>
      <c r="C1682" t="inlineStr">
        <is>
          <t>Is it possible to look at the peripheral retina using a slit lamp ophthalmoscope without dilating the pupils or is it impossible?</t>
        </is>
      </c>
      <c r="D1682" t="n">
        <v>1</v>
      </c>
      <c r="E1682" t="n">
        <v>3</v>
      </c>
      <c r="F1682">
        <f>HYPERLINK("https://www.reddit.com/r/eyetriage/comments/gsq90t/fundus_examination/")</f>
        <v/>
      </c>
      <c r="G1682" t="inlineStr">
        <is>
          <t>2020-05-29 03:13:30</t>
        </is>
      </c>
      <c r="H1682" t="inlineStr"/>
    </row>
    <row r="1683">
      <c r="A1683" t="inlineStr">
        <is>
          <t>gt149d</t>
        </is>
      </c>
      <c r="B1683" t="inlineStr">
        <is>
          <t>Do I have signs of retinal detachment? Thanks for any help at all!!</t>
        </is>
      </c>
      <c r="C1683" t="inlineStr">
        <is>
          <t>Cross-posted to [r/optometry](https://www.reddit.com/r/optometry/) as well:
Hey [r/Ophthalmology](https://www.reddit.com/r/Ophthalmology/),
Thanks for any of your insight! M, mid 20s, wears glasses around -5, and my degree hasn't changed for the past few years. Here's some helpful info:
1. I've had **floaters** (the pale strings) since I was around 15, and they've definitely broken down into smaller pieces over the past decade. If I look at a bright sky and move my eyes left and right quickly, I can notice the pale pieces swishing with it. It's not noticeable in medium lit areas or darker. I don't think it's ever made my day-to-day vision uncomfortable at all.
2. I've never had any random flashes in my life, but here's something that's been bothering me for a while: **if I look at my phone in a dark room at night before sleeping for a bit, and then close my eyes to sleep, I can see very fast flashes in the darkness that eventually fade away after 1-2 minutes of not looking at anything bright again.** Is this because of my phone's flickering frame rate or something?? Or are my retinas reacting adversely to the sudden change from brightness to darkness? I've found maybe 2 or 3 forums that have briefly talked about this but nothing conclusive was made. This is probably the most interesting thing that I'd like to know more about.
3. An **Optomap** my optometrist did for me last summer indicated both my retinas were healthy, as explained by him. Is this indicative of a healthy retina and not detachment, then? Or did my vitreous jelly just sort of shed when I was younger and now the floaters are persisting for the rest of my life?
My parents wear glasses too, one with super bad eyesight (like -8) and the other around -3. Neither of them have floaters or any other eye issues.
Thank you all for any of your wisdom [r/Ophthalmology](https://www.reddit.com/r/Ophthalmology/)! I've had glasses for basically my whole life so I'm curious about my eye health. Take care and stay safe during these times :)</t>
        </is>
      </c>
      <c r="D1683" t="n">
        <v>1</v>
      </c>
      <c r="E1683" t="n">
        <v>1</v>
      </c>
      <c r="F1683">
        <f>HYPERLINK("https://www.reddit.com/r/eyetriage/comments/gt149d/do_i_have_signs_of_retinal_detachment_thanks_for/")</f>
        <v/>
      </c>
      <c r="G1683" t="inlineStr">
        <is>
          <t>2020-05-29 13:54:59</t>
        </is>
      </c>
      <c r="H1683" t="inlineStr"/>
    </row>
    <row r="1684">
      <c r="A1684" t="inlineStr">
        <is>
          <t>gt2wf0</t>
        </is>
      </c>
      <c r="B1684" t="inlineStr">
        <is>
          <t>Why am I seeing flashes/pulses when trying to sleep?</t>
        </is>
      </c>
      <c r="C1684" t="inlineStr">
        <is>
          <t>Hello!
I’ve been experiencing a strange symptom for a few months now, and am hoping to hear what this sub thinks. I’m 26F with no preexisting health conditions that I’m aware of.
Sometimes, when I’m trying to sleep, I see “flashes” or “pulses” of diffused (almost black?) lights flickering in both eyes. I visited an optometrist in February who examined my eyes. My retinas and eye pressure were normal. No tears or signs of detachment in either retina. The optometrist didn’t seem concerned about these flashes and assured me that my eyes were healthy.
I am slightly myopic (-1.50 in both eyes) but my prescription has been stable for years. I don’t have eye pain or flashes during the day. These flashes happen more often when I’m stressed and have neck pain/tension.
So, if my eyes are healthy, can these flashes stem from a neurological issue? Every so often I see a bright flash of white light when I’m on the verge of sleep but this is a bit different.
Curious to hear what your thoughts are! Thanks.</t>
        </is>
      </c>
      <c r="D1684" t="n">
        <v>1</v>
      </c>
      <c r="E1684" t="n">
        <v>0</v>
      </c>
      <c r="F1684">
        <f>HYPERLINK("https://www.reddit.com/r/eyetriage/comments/gt2wf0/why_am_i_seeing_flashespulses_when_trying_to_sleep/")</f>
        <v/>
      </c>
      <c r="G1684" t="inlineStr">
        <is>
          <t>2020-05-29 15:37:52</t>
        </is>
      </c>
      <c r="H1684" t="inlineStr"/>
    </row>
    <row r="1685">
      <c r="A1685" t="inlineStr">
        <is>
          <t>gt4v2f</t>
        </is>
      </c>
      <c r="B1685" t="inlineStr">
        <is>
          <t>Congenital ptosis - complications in adulthood?</t>
        </is>
      </c>
      <c r="C1685" t="inlineStr">
        <is>
          <t>Hi everyone! 29F here. I’m not sure if this is the right sub to ask. I have surgery on my eyelid when I was four (1995) to correct congenital ptosis in my right eyelid. I’ve read that there are a number of different ways to operate, I’m not sure what specifically they did during the surgery. 
You can tell the difference when you look at pictures of me as a child. However, I’ve ALWAYS slept with my right eye open - it freaked people out at sleepovers! It bothers me because basically my eye is exposed at night (I wake up with crusty eyes) and during the day.... 
I take videos of myself singing sometimes, and I notice that when I’m getting into it, my right eye is almost halfway open when it’s supposed to be closed. 
Also, when I close my eyes during the day (I’m very expressive so I close my eyes during conversations lol), my right eye almost fully closed but after a few seconds it’s open again (I know this due to taking random videos of myself and others’ sharing this with me). 
Does anyone have a similar experience/any advice? I can provide pictures/video if you need. Thanks!</t>
        </is>
      </c>
      <c r="D1685" t="n">
        <v>1</v>
      </c>
      <c r="E1685" t="n">
        <v>3</v>
      </c>
      <c r="F1685">
        <f>HYPERLINK("https://www.reddit.com/r/eyetriage/comments/gt4v2f/congenital_ptosis_complications_in_adulthood/")</f>
        <v/>
      </c>
      <c r="G1685" t="inlineStr">
        <is>
          <t>2020-05-29 17:43:03</t>
        </is>
      </c>
      <c r="H1685" t="inlineStr"/>
    </row>
    <row r="1686">
      <c r="A1686" t="inlineStr">
        <is>
          <t>gt928u</t>
        </is>
      </c>
      <c r="B1686" t="inlineStr">
        <is>
          <t>Eye floaters have taken a toll on me.</t>
        </is>
      </c>
      <c r="C1686" t="inlineStr">
        <is>
          <t>Hello everyone! I just like to ask the opinions of doctors in here, my eye floaters are severely bothersome and it has hindered me from studying for the board exams. I’d like to ask if getting an FOV for eye floaters is really that risky long term? Barring complications like retinal detachments or infection. Thanks!</t>
        </is>
      </c>
      <c r="D1686" t="n">
        <v>1</v>
      </c>
      <c r="E1686" t="n">
        <v>3</v>
      </c>
      <c r="F1686">
        <f>HYPERLINK("https://www.reddit.com/r/eyetriage/comments/gt928u/eye_floaters_have_taken_a_toll_on_me/")</f>
        <v/>
      </c>
      <c r="G1686" t="inlineStr">
        <is>
          <t>2020-05-29 22:49:54</t>
        </is>
      </c>
      <c r="H1686" t="inlineStr"/>
    </row>
    <row r="1687">
      <c r="A1687" t="inlineStr">
        <is>
          <t>gtevln</t>
        </is>
      </c>
      <c r="B1687" t="inlineStr">
        <is>
          <t>Lipiflow contraindications?</t>
        </is>
      </c>
      <c r="C1687" t="inlineStr">
        <is>
          <t>My doctor is recommending me for lipiflow to help my dry eye after other methods have failed (xiidra, warm compresses, preservative free artificial tears). I am not producing enough oils and also not enough tears, so he wants to use lipiflow first then plugs. 
My concern is that I was doing research and several sources have said that a history of ocular inflammation as well as systemic disease causing dry eye is a contraindication of lipiflow. I have posterior uveitis and chorioretinitis that is under control with immunosuppressants (although im tapering off them now) as well as hashimoto's. My eye doctor said that my dry eye is almost definitely caused by my autoimmune issues.
Is lipiflow safe with these conditions? I have been flare free for 1 year on immunosuppressants. Although my iop has been curiously higher in the low 20s recently and I still get flashes.</t>
        </is>
      </c>
      <c r="D1687" t="n">
        <v>1</v>
      </c>
      <c r="E1687" t="n">
        <v>5</v>
      </c>
      <c r="F1687">
        <f>HYPERLINK("https://www.reddit.com/r/eyetriage/comments/gtevln/lipiflow_contraindications/")</f>
        <v/>
      </c>
      <c r="G1687" t="inlineStr">
        <is>
          <t>2020-05-30 07:09:52</t>
        </is>
      </c>
      <c r="H1687" t="inlineStr"/>
    </row>
    <row r="1688">
      <c r="A1688" t="inlineStr">
        <is>
          <t>gtp05d</t>
        </is>
      </c>
      <c r="B1688" t="inlineStr">
        <is>
          <t>Does vision typically get worse as vitreous hemorrhage clears?</t>
        </is>
      </c>
      <c r="C1688" t="inlineStr">
        <is>
          <t xml:space="preserve">
Hey all, I have an appointment with my retina specialist on Monday, but I’m
very anxious. I had a major hemmorhage after moving something pretty heavy three weeks ago. I have proliferative retinopathy in this one eye, and my doctor seems to think it’s clearing fine as of two weeks ago. Since the initial complete vision blockage in half my central vision , the blood started breaking up, and now my vision is like looking through a layer of Vaseline I’m my entire central field of vision. 
Anyway, just kind of bracing for the news I may receive on Monday. 
Thanks for the input. This has been a nerve racking experience and I’m ready to get it behind me.</t>
        </is>
      </c>
      <c r="D1688" t="n">
        <v>1</v>
      </c>
      <c r="E1688" t="n">
        <v>5</v>
      </c>
      <c r="F1688">
        <f>HYPERLINK("https://www.reddit.com/r/eyetriage/comments/gtp05d/does_vision_typically_get_worse_as_vitreous/")</f>
        <v/>
      </c>
      <c r="G1688" t="inlineStr">
        <is>
          <t>2020-05-30 17:12:50</t>
        </is>
      </c>
      <c r="H1688" t="inlineStr"/>
    </row>
    <row r="1689">
      <c r="A1689" t="inlineStr">
        <is>
          <t>gu3s1f</t>
        </is>
      </c>
      <c r="B1689" t="inlineStr">
        <is>
          <t>Eye calcium deposits?</t>
        </is>
      </c>
      <c r="C1689" t="inlineStr">
        <is>
          <t>Hello r/Eyetriage, I was wondering if there's someone with the same condition as me or an ophthalmologist that knows more about it. I'll try to keep it short.
I have severely elongated eyes, which is the cause of my extreme near sightedness and the detached retina in one of my eyes.
Through all the failed surgeries of decades ago I'm left with an eye that still has oil in it for support, is blind and at substantially lower pressure.
The frequent pain I get from it is diagnosed as being caused by the uneven surface of my deflated eye collecting calcium from my eye moisture.
Does anyone have a similar condition? Or does someone know a remedy? Because sometimes it hurts like hell and prevents me from sleeping as having my eyelids closed actively puts pressure on my irritated eye up too the point that either my eye starts crying or I don't sleep.
Thank you for your time</t>
        </is>
      </c>
      <c r="D1689" t="n">
        <v>1</v>
      </c>
      <c r="E1689" t="n">
        <v>6</v>
      </c>
      <c r="F1689">
        <f>HYPERLINK("https://www.reddit.com/r/eyetriage/comments/gu3s1f/eye_calcium_deposits/")</f>
        <v/>
      </c>
      <c r="G1689" t="inlineStr">
        <is>
          <t>2020-05-31 11:07:24</t>
        </is>
      </c>
      <c r="H1689" t="inlineStr"/>
    </row>
    <row r="1690">
      <c r="A1690" t="inlineStr">
        <is>
          <t>gu44xz</t>
        </is>
      </c>
      <c r="B1690" t="inlineStr">
        <is>
          <t>Do I have to go to doctor to get new type of lenses?</t>
        </is>
      </c>
      <c r="C1690" t="inlineStr">
        <is>
          <t>I have high myopia, my eyes are -9.5 in both eyes. I wear contact lenses regularly. Soft contact lenses I wear are called biomedics 55 evolution asphere, my prescription is -7. They are one month long lenses.  My prescription and myopia has been stable last 3 years. 
I would like to change to one day contact lenses, because I've heard they are safer. Do I have to go to doctor and get new prescription to get one day lenses?</t>
        </is>
      </c>
      <c r="D1690" t="n">
        <v>2</v>
      </c>
      <c r="E1690" t="n">
        <v>6</v>
      </c>
      <c r="F1690">
        <f>HYPERLINK("https://www.reddit.com/r/eyetriage/comments/gu44xz/do_i_have_to_go_to_doctor_to_get_new_type_of/")</f>
        <v/>
      </c>
      <c r="G1690" t="inlineStr">
        <is>
          <t>2020-05-31 11:27:11</t>
        </is>
      </c>
      <c r="H1690" t="inlineStr"/>
    </row>
    <row r="1691">
      <c r="A1691" t="inlineStr">
        <is>
          <t>gu5t8a</t>
        </is>
      </c>
      <c r="B1691" t="inlineStr">
        <is>
          <t>Blepharitis not responding to treatment</t>
        </is>
      </c>
      <c r="C1691" t="inlineStr">
        <is>
          <t>It started around 8 weeks ago and since then I’ve had sore eyelids at varying levels of pain ever since.  My eyes look fine, they aren’t red and there’s not really any swelling. There are very small flakes at the base of my upper eyelashes but that’s it. I have had a small red bump on my right lower eyelid which I believe is a stye but it has responded well to hot compresses. 
I have done warm compresses, eyelid massages and cleaning of the eyelids with baby shampoo all twice daily for a couple weeks now. I have also been using allergy eye drops to no avail. My optician told me to persist with my routine. Do I need an antibiotic or something? Im going to ask for advice from a different doctor/optician but it’s difficult as I live rurally and am still in lockdown.
Any help appreciated.</t>
        </is>
      </c>
      <c r="D1691" t="n">
        <v>1</v>
      </c>
      <c r="E1691" t="n">
        <v>7</v>
      </c>
      <c r="F1691">
        <f>HYPERLINK("https://www.reddit.com/r/eyetriage/comments/gu5t8a/blepharitis_not_responding_to_treatment/")</f>
        <v/>
      </c>
      <c r="G1691" t="inlineStr">
        <is>
          <t>2020-05-31 13:00:24</t>
        </is>
      </c>
      <c r="H1691" t="inlineStr"/>
    </row>
    <row r="1692">
      <c r="A1692" t="inlineStr">
        <is>
          <t>gufva4</t>
        </is>
      </c>
      <c r="B1692" t="inlineStr">
        <is>
          <t>What is going on with my eyes I can’t figure out what to do to help stop what I think is some form of dermatitis?</t>
        </is>
      </c>
      <c r="C1692" t="inlineStr">
        <is>
          <t>So this all started when I first had a bit of what my eye dr thought was contact dermatitis so then I started slowly eliminating makeup and skincare to figure what product it could be caused from and then eventually it went away. Then like a month later it came back again my eyelids were dry and flaky and underneath my eyes would be more wrinkly than normal and very dry and a little flaky my actual eyes were fine just the skin was the main problem same as it was before. But now my eyes get red too but mostly at night and in the morning.</t>
        </is>
      </c>
      <c r="D1692" t="n">
        <v>1</v>
      </c>
      <c r="E1692" t="n">
        <v>0</v>
      </c>
      <c r="F1692">
        <f>HYPERLINK("https://www.reddit.com/r/eyetriage/comments/gufva4/what_is_going_on_with_my_eyes_i_cant_figure_out/")</f>
        <v/>
      </c>
      <c r="G1692" t="inlineStr">
        <is>
          <t>2020-06-01 00:11:11</t>
        </is>
      </c>
      <c r="H1692" t="inlineStr"/>
    </row>
    <row r="1693">
      <c r="A1693" t="inlineStr">
        <is>
          <t>gupk4d</t>
        </is>
      </c>
      <c r="B1693" t="inlineStr">
        <is>
          <t>Eye charts and 20/20 vision</t>
        </is>
      </c>
      <c r="C1693" t="inlineStr">
        <is>
          <t>Quick question for you guys quick, not sure where else to go! I'm applying for a job that requires corrected 20/20 in one eye and 20/30 in the other eye. I found an online chart I printed out to test this, just to see if I was close. If I'm able to read some of the letters on the line and not others, does that count? If I were to take an official vision test and I could read some of the letters, do I pass or fail? Thanks!</t>
        </is>
      </c>
      <c r="D1693" t="n">
        <v>1</v>
      </c>
      <c r="E1693" t="n">
        <v>4</v>
      </c>
      <c r="F1693">
        <f>HYPERLINK("https://www.reddit.com/r/eyetriage/comments/gupk4d/eye_charts_and_2020_vision/")</f>
        <v/>
      </c>
      <c r="G1693" t="inlineStr">
        <is>
          <t>2020-06-01 11:06:54</t>
        </is>
      </c>
      <c r="H1693" t="inlineStr"/>
    </row>
    <row r="1694">
      <c r="A1694" t="inlineStr">
        <is>
          <t>guqgs6</t>
        </is>
      </c>
      <c r="B1694" t="inlineStr">
        <is>
          <t>Eyes Trembling Upon Convergence</t>
        </is>
      </c>
      <c r="C1694" t="inlineStr">
        <is>
          <t>Hello there. I have noticed that my eyes tremble quite significantly when looking at a really close object, like my finger when pressed against my nose. Is this a natural reaction, just as physiological end-gaze nystagmus? Also, when reading at a really close distance the letters appear to dance, although I can't feel any eye trembling. Thank you</t>
        </is>
      </c>
      <c r="D1694" t="n">
        <v>1</v>
      </c>
      <c r="E1694" t="n">
        <v>1</v>
      </c>
      <c r="F1694">
        <f>HYPERLINK("https://www.reddit.com/r/eyetriage/comments/guqgs6/eyes_trembling_upon_convergence/")</f>
        <v/>
      </c>
      <c r="G1694" t="inlineStr">
        <is>
          <t>2020-06-01 11:53:50</t>
        </is>
      </c>
      <c r="H1694" t="inlineStr"/>
    </row>
    <row r="1695">
      <c r="A1695" t="inlineStr">
        <is>
          <t>gutcru</t>
        </is>
      </c>
      <c r="B1695" t="inlineStr">
        <is>
          <t>Improve uncorrected vision</t>
        </is>
      </c>
      <c r="C1695" t="inlineStr">
        <is>
          <t>Is there anyway to improve my uncorrected vision? Right now I'm at 20/400 uncorrected (horrible, I know) is there anything I can do to improve that to 20/200 without glasses or contacts? Any home remedies or something?</t>
        </is>
      </c>
      <c r="D1695" t="n">
        <v>1</v>
      </c>
      <c r="E1695" t="n">
        <v>1</v>
      </c>
      <c r="F1695">
        <f>HYPERLINK("https://www.reddit.com/r/eyetriage/comments/gutcru/improve_uncorrected_vision/")</f>
        <v/>
      </c>
      <c r="G1695" t="inlineStr">
        <is>
          <t>2020-06-01 14:22:13</t>
        </is>
      </c>
      <c r="H1695" t="inlineStr"/>
    </row>
    <row r="1696">
      <c r="A1696" t="inlineStr">
        <is>
          <t>guwzra</t>
        </is>
      </c>
      <c r="B1696" t="inlineStr">
        <is>
          <t>Short Survey to help save people's vision, and a chance at $100!</t>
        </is>
      </c>
      <c r="C1696" t="inlineStr">
        <is>
          <t xml:space="preserve"> As part of a research group in medical school, we are conducting a research study on corneal transplantation and eye donations. In order to complete this research, we need to administer a survey aimed at getting people's perspectives on the topic.
The survey only takes 5-10mins, and you have the chance to win $100 by completing the survey!
Please, take the few minutes to help us better understand what people know about corneal transplantation and eye donations.
[https://medresearch.typeform.com/to/bVWzON?fbclid=IwAR3-v2qryiPTcv7g2hHnxc6xnLcEyxWA-2OEC44ZZZtOeEHvdzszutnNaW4](https://medresearch.typeform.com/to/bVWzON?fbclid=IwAR3-v2qryiPTcv7g2hHnxc6xnLcEyxWA-2OEC44ZZZtOeEHvdzszutnNaW4)
Thanks in advance! :)</t>
        </is>
      </c>
      <c r="D1696" t="n">
        <v>1</v>
      </c>
      <c r="E1696" t="n">
        <v>0</v>
      </c>
      <c r="F1696">
        <f>HYPERLINK("https://www.reddit.com/r/eyetriage/comments/guwzra/short_survey_to_help_save_peoples_vision_and_a/")</f>
        <v/>
      </c>
      <c r="G1696" t="inlineStr">
        <is>
          <t>2020-06-01 17:43:43</t>
        </is>
      </c>
      <c r="H1696" t="inlineStr"/>
    </row>
    <row r="1697">
      <c r="A1697" t="inlineStr">
        <is>
          <t>guzy3h</t>
        </is>
      </c>
      <c r="B1697" t="inlineStr">
        <is>
          <t>Anything I can do to help puffy eyes and redness not caused by allergies?</t>
        </is>
      </c>
      <c r="C1697" t="inlineStr">
        <is>
          <t>I went to the eye doctor for this back in December before for this and mainly my problem was my eyes would get super wrinkly underneath, very dry, flaky and red eyelids and the skin on the outer corner is dry as well and a little bit puffy. 
Now for some strange reason it cleared up until like a month ago but this time now my eyelids are still red, and my actual eyes are red now too their not as dry or flaky but they do get puffy not as much as before either. I’m not sure what this could be because when I thought it was contact dermatitis which my eye doctor diagnosed me with I stopped using a certain makeup product and he went away but Joe I don’t even use the makeup product still and now the problem is back again. So I don’t know if it’s something else? 
Any suggestions what to do? I hate that my eyes get red and it makes me feel embarrassed when I’m in public with red eyes and I know people will notice it.</t>
        </is>
      </c>
      <c r="D1697" t="n">
        <v>1</v>
      </c>
      <c r="E1697" t="n">
        <v>0</v>
      </c>
      <c r="F1697">
        <f>HYPERLINK("https://www.reddit.com/r/eyetriage/comments/guzy3h/anything_i_can_do_to_help_puffy_eyes_and_redness/")</f>
        <v/>
      </c>
      <c r="G1697" t="inlineStr">
        <is>
          <t>2020-06-01 20:51:36</t>
        </is>
      </c>
      <c r="H1697" t="inlineStr"/>
    </row>
    <row r="1698">
      <c r="A1698" t="inlineStr">
        <is>
          <t>gv33ox</t>
        </is>
      </c>
      <c r="B1698" t="inlineStr">
        <is>
          <t>Correct vocabulary for comparing two minus-power diopter corrections: which is "stronger"?</t>
        </is>
      </c>
      <c r="C1698" t="inlineStr">
        <is>
          <t>Which of the following is correct language to use when comparing two negative diopter corrections (for myopia), say -5.00 vs -5.25?
1) "-5.25 is a stronger correction than -5.00" (layman intuition)
2) "-5.00 is a stronger correction than -5.25" (A French eyeglass salesman -- not a doctor -- used this, explaining that when he said "plus fort" (stronger) he meant "plus positive" (more positive))
3) Any better unambiguous way to compare them?</t>
        </is>
      </c>
      <c r="D1698" t="n">
        <v>1</v>
      </c>
      <c r="E1698" t="n">
        <v>6</v>
      </c>
      <c r="F1698">
        <f>HYPERLINK("https://www.reddit.com/r/eyetriage/comments/gv33ox/correct_vocabulary_for_comparing_two_minuspower/")</f>
        <v/>
      </c>
      <c r="G1698" t="inlineStr">
        <is>
          <t>2020-06-02 00:56:07</t>
        </is>
      </c>
      <c r="H1698" t="inlineStr"/>
    </row>
    <row r="1699">
      <c r="A1699" t="inlineStr">
        <is>
          <t>gv9jbv</t>
        </is>
      </c>
      <c r="B1699" t="inlineStr">
        <is>
          <t>How come I developed short-sightedness in only one eye?</t>
        </is>
      </c>
      <c r="C1699" t="inlineStr">
        <is>
          <t>So my vision has been a bit blurry when I’m driving at night(this started last month) so I decided to go to an ophthalmologist for the first time in my life.
I’m 25 y/o and I’ve never had any problems with my eyesight up until now, I would always get a score of around 0.9 on that landolt C chart test on both eyes. I have to do a mandatory medical exam twice a year which includes the eyesight test and I notice that the last 2 times, I would get a fairy low number but I’d just assume that it’s because my eyes were tired since I had to take the test at the end of my day(I work night shifts until 3 am and had to stay up til 9 to take it) and I never noticed any difference in my daily life. 
At the ophthalmologist I got 1.2 on my right eye and 0.3 on my left eye. He said that I don’t have dry eye and I don’t need glasses.
I was just wondering why did this happen and since it’s fairy “recent” is it reversible?
And could it have anything to do with lack of vitamins? For the past year or so I’ve been on a horrible diet and therefore struggling with anemia. I keep seeing on the internet people saying that yes vitamins play a role on the eyesight but when I asked the doctor he immediately dismissed it saying it has nothing to do with it.
Thank you for any input.</t>
        </is>
      </c>
      <c r="D1699" t="n">
        <v>1</v>
      </c>
      <c r="E1699" t="n">
        <v>12</v>
      </c>
      <c r="F1699">
        <f>HYPERLINK("https://www.reddit.com/r/eyetriage/comments/gv9jbv/how_come_i_developed_shortsightedness_in_only_one/")</f>
        <v/>
      </c>
      <c r="G1699" t="inlineStr">
        <is>
          <t>2020-06-02 08:38:50</t>
        </is>
      </c>
      <c r="H1699" t="inlineStr"/>
    </row>
    <row r="1700">
      <c r="A1700" t="inlineStr">
        <is>
          <t>gvcx0o</t>
        </is>
      </c>
      <c r="B1700" t="inlineStr">
        <is>
          <t>What do you think about pts making their own autologous eye serum?</t>
        </is>
      </c>
      <c r="C1700" t="inlineStr">
        <is>
          <t>Since my insurance does not cover serum, I looked into making my own. I just watched a video which makes it seem fairly straight forward.   Have any of you had experience with this either as a patient or a doc?</t>
        </is>
      </c>
      <c r="D1700" t="n">
        <v>1</v>
      </c>
      <c r="E1700" t="n">
        <v>2</v>
      </c>
      <c r="F1700">
        <f>HYPERLINK("https://www.reddit.com/r/eyetriage/comments/gvcx0o/what_do_you_think_about_pts_making_their_own/")</f>
        <v/>
      </c>
      <c r="G1700" t="inlineStr">
        <is>
          <t>2020-06-02 11:34:57</t>
        </is>
      </c>
      <c r="H1700" t="inlineStr"/>
    </row>
    <row r="1701">
      <c r="A1701" t="inlineStr">
        <is>
          <t>gvd092</t>
        </is>
      </c>
      <c r="B1701" t="inlineStr">
        <is>
          <t>Other complications caused by cataract?</t>
        </is>
      </c>
      <c r="C1701" t="inlineStr">
        <is>
          <t>A year and 3 months ago I was diagnosed with cataracts on both eyes. My left eye have it worse. Due to financial instability and unemployment I am not able to have it surgically removed. As time went on since I was first diagnosed, I have developed quite a few more eye problems. A few weeks after I went to the doctor, I started seeing floaters. Then a few months ago, I started having visual snow. Now, i believe I have exotropia. All of which are worse in my left eye. 
Honestly, it got me feeling scared. When I close my eyes it's not complete darkness anymore. It looks like my lights are still open even if my eyes are closed. At night I would even see Aurora borealis like visuals.</t>
        </is>
      </c>
      <c r="D1701" t="n">
        <v>1</v>
      </c>
      <c r="E1701" t="n">
        <v>2</v>
      </c>
      <c r="F1701">
        <f>HYPERLINK("https://www.reddit.com/r/eyetriage/comments/gvd092/other_complications_caused_by_cataract/")</f>
        <v/>
      </c>
      <c r="G1701" t="inlineStr">
        <is>
          <t>2020-06-02 11:39:50</t>
        </is>
      </c>
      <c r="H1701" t="inlineStr"/>
    </row>
    <row r="1702">
      <c r="A1702" t="inlineStr">
        <is>
          <t>gvh0ux</t>
        </is>
      </c>
      <c r="B1702" t="inlineStr">
        <is>
          <t>Dry eye dye</t>
        </is>
      </c>
      <c r="C1702" t="inlineStr">
        <is>
          <t>Hey I have a question about dry eye. My doctor tested my eyes with a Orange Dye to see how well my eyes lubricate i guess and on 1 eye (my trouble eye) he found the tears don't spread well enough. He only told me to keep using tear drops....
Can this result mean my meibomian gland is blocked?
(Im just a resident)</t>
        </is>
      </c>
      <c r="D1702" t="n">
        <v>1</v>
      </c>
      <c r="E1702" t="n">
        <v>5</v>
      </c>
      <c r="F1702">
        <f>HYPERLINK("https://www.reddit.com/r/eyetriage/comments/gvh0ux/dry_eye_dye/")</f>
        <v/>
      </c>
      <c r="G1702" t="inlineStr">
        <is>
          <t>2020-06-02 15:07:21</t>
        </is>
      </c>
      <c r="H1702" t="inlineStr"/>
    </row>
    <row r="1703">
      <c r="A1703" t="inlineStr">
        <is>
          <t>gvlhnp</t>
        </is>
      </c>
      <c r="B1703" t="inlineStr">
        <is>
          <t>Help understating eye prescription?</t>
        </is>
      </c>
      <c r="C1703" t="inlineStr">
        <is>
          <t>I just had an eye exam and I looked at my prescription afterwards.
+1.00 -0.75 180
+1.00 -1.50 179
According to that I am farsighted with nearsighted astigmatism. Is that even possible? This whole time I thought I was nearsighted because reading far away was harder. Can anyone help me understand? I do plan on asking when I go back for my glasses.</t>
        </is>
      </c>
      <c r="D1703" t="n">
        <v>1</v>
      </c>
      <c r="E1703" t="n">
        <v>2</v>
      </c>
      <c r="F1703">
        <f>HYPERLINK("https://www.reddit.com/r/eyetriage/comments/gvlhnp/help_understating_eye_prescription/")</f>
        <v/>
      </c>
      <c r="G1703" t="inlineStr">
        <is>
          <t>2020-06-02 19:40:42</t>
        </is>
      </c>
      <c r="H1703" t="inlineStr"/>
    </row>
    <row r="1704">
      <c r="A1704" t="inlineStr">
        <is>
          <t>gvnbtd</t>
        </is>
      </c>
      <c r="B1704" t="inlineStr">
        <is>
          <t>Pinguecula, prednisolone acetate, glaucoma and myopia? 32F</t>
        </is>
      </c>
      <c r="C1704" t="inlineStr">
        <is>
          <t>First off, thanks for reading this even after that scary subject line. 
This past winter in Africa I got a pinguecula in my left eye, on the side of my eye nearest my nose. 
I went to an optometrist when I was back in the states. She did an eye exam. I'm very, very nearsighted and have been since 3rd grade. Legally blind without vision correction. 
She diagnosed my pinguecula, and also did a deep scan of the interior of my eye. She told me my cones were on the larger side which could increase my chances for glaucoma later.
She gave me a Rx for Prednisolone Acetate Eyedrops and told me only to use it when my eye was irritated. I use it rarely, until recently. 
For the past week, my eye has been incredibly bloodshot - but on the opposite side. The side nearest my ear. It hurts a little bit when I blink. There's pressure behind my eye, it feels like pressure on my skull. I used the Prednisolone Acetate about three times but it's not helping. Just googled my symptoms and it sounds like glaucoma. 
After some research, I read that P.A. can actually trigger glaucoma AND that P.A. shouldn't be used if you are severely nearsighted. 
Was my optometrist wrong to prescribe me with this, since I have myopia and am a likely candidate for glaucoma later in life? Or is it really okay as long as you don't use it often?
In your experience, does it sound like I could have glaucoma?
Thanks for reading.</t>
        </is>
      </c>
      <c r="D1704" t="n">
        <v>1</v>
      </c>
      <c r="E1704" t="n">
        <v>18</v>
      </c>
      <c r="F1704">
        <f>HYPERLINK("https://www.reddit.com/r/eyetriage/comments/gvnbtd/pinguecula_prednisolone_acetate_glaucoma_and/")</f>
        <v/>
      </c>
      <c r="G1704" t="inlineStr">
        <is>
          <t>2020-06-02 21:53:56</t>
        </is>
      </c>
      <c r="H1704" t="inlineStr"/>
    </row>
    <row r="1705">
      <c r="A1705" t="inlineStr">
        <is>
          <t>gvo6ek</t>
        </is>
      </c>
      <c r="B1705" t="inlineStr">
        <is>
          <t>Why do i have a brown spot around my iris?</t>
        </is>
      </c>
      <c r="C1705" t="inlineStr">
        <is>
          <t>Hello everyone, i have a light brown spot near my iris, it kind of looks like it’s coming out of my iris! I think I noticed it 3 years ago! Does anybody know what it could be? I asked my eye doctor once, but he avoided explaining it, and said that it’s normal! i have bad vision -12.5 &amp;amp; -11.5 so maybe it caused it? But i only have it in one eye.
Here is a picture: https://ibb.co/CMpvDqR
Thank you!</t>
        </is>
      </c>
      <c r="D1705" t="n">
        <v>1</v>
      </c>
      <c r="E1705" t="n">
        <v>3</v>
      </c>
      <c r="F1705">
        <f>HYPERLINK("https://www.reddit.com/r/eyetriage/comments/gvo6ek/why_do_i_have_a_brown_spot_around_my_iris/")</f>
        <v/>
      </c>
      <c r="G1705" t="inlineStr">
        <is>
          <t>2020-06-02 22:58:58</t>
        </is>
      </c>
      <c r="H1705" t="inlineStr"/>
    </row>
    <row r="1706">
      <c r="A1706" t="inlineStr">
        <is>
          <t>gvrbu4</t>
        </is>
      </c>
      <c r="B1706" t="inlineStr">
        <is>
          <t>Could it be diagnosed Cataracts? or HOA? I'm lost. A 30 year old with PVD eye floaters.</t>
        </is>
      </c>
      <c r="C1706" t="inlineStr">
        <is>
          <t>I have seen alot of opthomologists, been throw OCT scan etc. all docs say I have healthy eyes, besides the PVD eye floaters. all these issues came to be along with the PVD at the same time. 
My eyesight feels dimmer, I see big halos at night, I see starburst all day long from light reflecting objects, I have sensitivity to light. this all sighs not of PVD but other eye problems</t>
        </is>
      </c>
      <c r="D1706" t="n">
        <v>1</v>
      </c>
      <c r="E1706" t="n">
        <v>0</v>
      </c>
      <c r="F1706">
        <f>HYPERLINK("https://www.reddit.com/r/eyetriage/comments/gvrbu4/could_it_be_diagnosed_cataracts_or_hoa_im_lost_a/")</f>
        <v/>
      </c>
      <c r="G1706" t="inlineStr">
        <is>
          <t>2020-06-03 03:16:39</t>
        </is>
      </c>
      <c r="H1706" t="inlineStr"/>
    </row>
    <row r="1707">
      <c r="A1707" t="inlineStr">
        <is>
          <t>gw1aps</t>
        </is>
      </c>
      <c r="B1707" t="inlineStr">
        <is>
          <t>Diagnosis of ocular surface disease and secondary reflex watering</t>
        </is>
      </c>
      <c r="C1707" t="inlineStr">
        <is>
          <t>Had my ophthalmologist appointment diagnosed with ocular surface disease and secondary reflex watering both eyes - treatment 4-6 x a day Thealoz duo plus night time gel daily - steroid dexamethasone x3 daily two weeks then x2 daily two weeks x1 daily one week then stop.  This is one of the most chronic conditions I’ve had especially having the lateral canthus irritation.</t>
        </is>
      </c>
      <c r="D1707" t="n">
        <v>1</v>
      </c>
      <c r="E1707" t="n">
        <v>0</v>
      </c>
      <c r="F1707">
        <f>HYPERLINK("https://www.reddit.com/r/eyetriage/comments/gw1aps/diagnosis_of_ocular_surface_disease_and_secondary/")</f>
        <v/>
      </c>
      <c r="G1707" t="inlineStr">
        <is>
          <t>2020-06-03 12:56:10</t>
        </is>
      </c>
      <c r="H1707" t="inlineStr"/>
    </row>
    <row r="1708">
      <c r="A1708" t="inlineStr">
        <is>
          <t>gw7ca3</t>
        </is>
      </c>
      <c r="B1708" t="inlineStr">
        <is>
          <t>DRY EYES - My experience. Looking for suggestions for dryness / contacts / treatments</t>
        </is>
      </c>
      <c r="C1708" t="inlineStr">
        <is>
          <t>Hi everyone,
Hopefully I can get some suggestions here as I’ve been battling dry eyes for almost 2 years now. 
I’m 22. I used to wear contacts all the time until one day I started getting bloodshot eyes and eventually it began harder to wear the contacts as long. 
I ended up going to the eye doctor and then the ophthalmologist. Drops helped a good amount at first, I wouldn’t leave the house without them. However it didn’t make the problem go away. We tried warm compresses, lid cleaners, Xiidra, punctal plugs, Omega 3 supplements at first. None really seemed to work.
Ended up switching ophthalmologists and got a new diagnosis that it could be blepharitis (eyelid inflammation) contributing to the dryness. I definitely think keeping the eyelid clean contributes to the overall dryness of my eye but still I feel this dryness and I’m not sure what to do. 
While I mostly wear my glasses now unless playing sports or going out for a few hours, I do really want to wear my contacts more. I wear Dailies Total 1 which are supposed to be one of the best for dry eyes but my eyes still seem to get uncomfortable anywhere between 30 mins and two hours. Are there any other contacts any of you would suggest?
Right now I try to do warm compresses every morning and night, clean my eyelids once a day with a cleanser, and take Omega 3 supplements. I feel like using eye drops just ends up making me rely on them too much and makes them feel even more dry when I don’t put any in. 
I was considering treatments like Lipiflow or IPL but they are kind of expensive and there is no guarantee they will help. The goal before all this was to get Lasik but it’s probably a bad move until I can get the dry eyes under control. 
I know this is a long explanation but hopefully someone reads it and could help. At least I have my experience written down now which will be useful. 
Any help with the dry eye issues, experiences you’ve had, contact suggestions, Lasik, etc. would be super appreciated. 
Thank you!!</t>
        </is>
      </c>
      <c r="D1708" t="n">
        <v>1</v>
      </c>
      <c r="E1708" t="n">
        <v>4</v>
      </c>
      <c r="F1708">
        <f>HYPERLINK("https://www.reddit.com/r/eyetriage/comments/gw7ca3/dry_eyes_my_experience_looking_for_suggestions/")</f>
        <v/>
      </c>
      <c r="G1708" t="inlineStr">
        <is>
          <t>2020-06-03 18:23:55</t>
        </is>
      </c>
      <c r="H1708" t="inlineStr"/>
    </row>
    <row r="1709">
      <c r="A1709" t="inlineStr">
        <is>
          <t>gw9sk8</t>
        </is>
      </c>
      <c r="B1709" t="inlineStr">
        <is>
          <t>Phone flashlight shined directly in eyes</t>
        </is>
      </c>
      <c r="C1709" t="inlineStr">
        <is>
          <t>So I did something stupid.. I was trying to look at my my pupils dilating in the mirror, so I turned on my phone's flashlight and shined it directly into my eyes for about 25 seconds. For about 10 minutes after I could see some dark spots out of the corners of my eye and would see shining lights when I closed my eyes. Those symptoms stopped soon but its been a little over an hour now and my eyes feel a little sore. Did I damage my eyes badly? Do I need to see a eye doctor?</t>
        </is>
      </c>
      <c r="D1709" t="n">
        <v>1</v>
      </c>
      <c r="E1709" t="n">
        <v>4</v>
      </c>
      <c r="F1709">
        <f>HYPERLINK("https://www.reddit.com/r/eyetriage/comments/gw9sk8/phone_flashlight_shined_directly_in_eyes/")</f>
        <v/>
      </c>
      <c r="G1709" t="inlineStr">
        <is>
          <t>2020-06-03 21:01:00</t>
        </is>
      </c>
      <c r="H1709" t="inlineStr"/>
    </row>
    <row r="1710">
      <c r="A1710" t="inlineStr">
        <is>
          <t>gwfoso</t>
        </is>
      </c>
      <c r="B1710" t="inlineStr">
        <is>
          <t>Beta blockers tablets</t>
        </is>
      </c>
      <c r="C1710" t="inlineStr">
        <is>
          <t>So I’ve had ocular hypertension for many years
The dr recently put me on beta blockers for another reason and the pressures in my eye have now gone back to normal
I can’t find literature on this. Anyone know? I would assume lowering the pressure all round has helped.</t>
        </is>
      </c>
      <c r="D1710" t="n">
        <v>1</v>
      </c>
      <c r="E1710" t="n">
        <v>1</v>
      </c>
      <c r="F1710">
        <f>HYPERLINK("https://www.reddit.com/r/eyetriage/comments/gwfoso/beta_blockers_tablets/")</f>
        <v/>
      </c>
      <c r="G1710" t="inlineStr">
        <is>
          <t>2020-06-04 04:31:09</t>
        </is>
      </c>
      <c r="H1710" t="inlineStr"/>
    </row>
    <row r="1711">
      <c r="A1711" t="inlineStr">
        <is>
          <t>gwko2v</t>
        </is>
      </c>
      <c r="B1711" t="inlineStr">
        <is>
          <t>Post-retinal tear laser treatment floaters</t>
        </is>
      </c>
      <c r="C1711" t="inlineStr">
        <is>
          <t>Hi, everyone.  43-year-old M patient here.
Last week I visited an opthamologist (ER) following the sudden appearance of floaters and flashes in my right eye days earlier.  This was preceded by trauma near the eye (hit in the side of the face with a soccer ball).
Examination revealed a small tear and small hole in right eye, which necessitated laser treatment (can't remember the name of the procedure but at one point I had a contact lens placed in the eye).  There was topical freezing with drops and dilation involved).
Four days later, and aside from muscle strain from the prodding and looking to the extreme right during the process, it feels like the floaters are persisting.  I wouldn't necessarily say it's worse, but the webs, small dots and general blurriness ( I am 20/20) persists, including sensitivity to light.
As I was urged to go through emerg on the weekend, there wasn't much time to discuss recovery.  Is it fairly typical for the floaters to persist?  Do these heal with time?  Could anyone elaborate on  the procedure as a whole?  
Thanks!</t>
        </is>
      </c>
      <c r="D1711" t="n">
        <v>1</v>
      </c>
      <c r="E1711" t="n">
        <v>2</v>
      </c>
      <c r="F1711">
        <f>HYPERLINK("https://www.reddit.com/r/eyetriage/comments/gwko2v/postretinal_tear_laser_treatment_floaters/")</f>
        <v/>
      </c>
      <c r="G1711" t="inlineStr">
        <is>
          <t>2020-06-04 09:23:34</t>
        </is>
      </c>
      <c r="H1711" t="inlineStr"/>
    </row>
    <row r="1712">
      <c r="A1712" t="inlineStr">
        <is>
          <t>gwoly5</t>
        </is>
      </c>
      <c r="B1712" t="inlineStr">
        <is>
          <t>On and off blurry vision in one eye for months</t>
        </is>
      </c>
      <c r="C1712" t="inlineStr">
        <is>
          <t>I'm a 23 year old healthy female. So, to preface this, I've been wearing glasses since I was 2 and contacts exclusively for 7 years until this past december when I got diagnosed with dry eye. Now I mainly wear glasses. My prescription is udpated but I've been having some weird symptoms. 
I also want to mention that I DO have horner's syndrome in my right eye (diagnosed by neuro opthamologist with eye drop test) and according to pictures I've had the small pupil and slight droopiness for atleast 4 years (could be longer, I never used to take pics of my face before then). The actual diagnosis was only recently receieved due to the vision problems I've been having starting around the time I switched to glasses. My neuro did a head MRI/MRA/MRV and neck MRI/MRA/MRV and found nothing. I've also had a clear CT scan of my chest last year for something unrelated (thought I'd mention bc I know it can be chest related). They said it is probably nothing to worry about since I've had it so long and often times horner's can't be explained. However, ever since I switched back to glasses (I've been doing contacts every once in a while and trying to ease back into them) everyday I get bouts of blurry vision in one of my eyes. Even If I take off my glasses I can just tell that that one eye is blurry and not focused. Usually it occurs in mid lighting and in the eye that has the larger pupil. I've also recently started getting headaches (this year) and the neuro has done many tests and thinks I'm fine. The fact that they don't think I should worry should make me feel better but doesn't for some reason. 
I've tried to explain to multiple doctors that I have a blurrier eye at times (usually the left but sometimes the right) and it is really annoying but they seem to dismiss me. The eye doctor seemed confused. I think it might be related to the horner's because when the neuro did the diagnostic test, the blurriness that I'd been having shifted sides when the test kicked in for a positive result (a positive test = after the drops the enlarged pupil and ptosis switches sides). I talked to my neuro about this and she said that horners could probably cause the visual discrepancy but did not seem concerned or offer any solutions. It's just weird to me because it is not consistently happening and seems to appear randomely throughout the day, sometimes lasting hours or minutes. It also never occurred during the earlier years of my horner's (I was wearing contacts exclusively though). If I wear contacts I USUALLY do not experience this, which makes me wonder if it has to do with my switch to glasses? This all appeared around the time I started wearing glasses consistently. 
Should I be worried? This has been plaguing my mind and giving me extreme anxiety. The horners diagnosis really freaked me out. The doc said that maybe it could have been caused by a horseback riding injury (I've had many) or some genetic thing (my great aunt and grandma both have/had it but it was caused by benign and harmless "shwanomas" on their cervical spine. and my scans didn't target the spine I don't think so who knows) It's also odd to me because my mom and twin sister (fraternal) both have pretty drastic anisocoria but have no type of diagnosis or anything.</t>
        </is>
      </c>
      <c r="D1712" t="n">
        <v>1</v>
      </c>
      <c r="E1712" t="n">
        <v>0</v>
      </c>
      <c r="F1712">
        <f>HYPERLINK("https://www.reddit.com/r/eyetriage/comments/gwoly5/on_and_off_blurry_vision_in_one_eye_for_months/")</f>
        <v/>
      </c>
      <c r="G1712" t="inlineStr">
        <is>
          <t>2020-06-04 12:43:42</t>
        </is>
      </c>
      <c r="H1712" t="inlineStr"/>
    </row>
    <row r="1713">
      <c r="A1713" t="inlineStr">
        <is>
          <t>gwx58t</t>
        </is>
      </c>
      <c r="B1713" t="inlineStr">
        <is>
          <t>Vision blurs when I tilt my head in glasses</t>
        </is>
      </c>
      <c r="C1713" t="inlineStr">
        <is>
          <t>Hello all,
I recently got glasses from Warby Parker for the first time, I used to get my glasses from Costco. When I tilt my head while wearing my glasses, my vision becomes extremely blurry in my eye that has an astigmatism (almost like I don’t even have my glasses on at all). I don’t remember having this problem before in my last pair of glasses (from Costco). Is this normal?</t>
        </is>
      </c>
      <c r="D1713" t="n">
        <v>1</v>
      </c>
      <c r="E1713" t="n">
        <v>0</v>
      </c>
      <c r="F1713">
        <f>HYPERLINK("https://www.reddit.com/r/eyetriage/comments/gwx58t/vision_blurs_when_i_tilt_my_head_in_glasses/")</f>
        <v/>
      </c>
      <c r="G1713" t="inlineStr">
        <is>
          <t>2020-06-04 20:48:12</t>
        </is>
      </c>
      <c r="H1713" t="inlineStr"/>
    </row>
    <row r="1714">
      <c r="A1714" t="inlineStr">
        <is>
          <t>gx4ece</t>
        </is>
      </c>
      <c r="B1714" t="inlineStr">
        <is>
          <t>Pupil not completely in the center of the iris</t>
        </is>
      </c>
      <c r="C1714" t="inlineStr">
        <is>
          <t>Hello, everyone!
So I just recently discovered the center of my pupils doesn't completely coincide with the center of the irises. It's not really visible from distance but if you look closely you can notice the pupils are a bit shifted towards the nose. I can't remember if it was like this before and it's making me feel uncomfortable. 
I read it's usually a genetically determined feature, but I couldn't find information if it can manifest later in life rather than from birth and if it can be acquired/ be a symptom of something serious. 
Additional info: I have astigmatism and myopia.</t>
        </is>
      </c>
      <c r="D1714" t="n">
        <v>1</v>
      </c>
      <c r="E1714" t="n">
        <v>0</v>
      </c>
      <c r="F1714">
        <f>HYPERLINK("https://www.reddit.com/r/eyetriage/comments/gx4ece/pupil_not_completely_in_the_center_of_the_iris/")</f>
        <v/>
      </c>
      <c r="G1714" t="inlineStr">
        <is>
          <t>2020-06-05 06:17:45</t>
        </is>
      </c>
      <c r="H1714" t="inlineStr"/>
    </row>
    <row r="1715">
      <c r="A1715" t="inlineStr">
        <is>
          <t>gx4jm3</t>
        </is>
      </c>
      <c r="B1715" t="inlineStr">
        <is>
          <t>Why are my eyes super red and dry?</t>
        </is>
      </c>
      <c r="C1715" t="inlineStr">
        <is>
          <t>So this happened before like back in December where the lid and outer corner of my eyes got super dry and flaky and my doctor thought it could be an allergic reaction then it went away after like a month and didn’t come back till like just a week ago. Now my actual eyes are slightly puffy, bloodshot red (wasn’t red before when this happened) the eyelid is still dry but not as bad and the skin underneath my eyes especially the right eye burns like a rash. I’m not sure what’s going on but it’s really bothering me! Also im a contacts wearer I wear the air optix hydraglide for astigmatism. Any ideas what this might be and what to do before I can get an into my eye doctor which isn’t till a week from today 😬?</t>
        </is>
      </c>
      <c r="D1715" t="n">
        <v>1</v>
      </c>
      <c r="E1715" t="n">
        <v>0</v>
      </c>
      <c r="F1715">
        <f>HYPERLINK("https://www.reddit.com/r/eyetriage/comments/gx4jm3/why_are_my_eyes_super_red_and_dry/")</f>
        <v/>
      </c>
      <c r="G1715" t="inlineStr">
        <is>
          <t>2020-06-05 06:26:58</t>
        </is>
      </c>
      <c r="H1715" t="inlineStr"/>
    </row>
    <row r="1716">
      <c r="A1716" t="inlineStr">
        <is>
          <t>gxcpji</t>
        </is>
      </c>
      <c r="B1716" t="inlineStr">
        <is>
          <t>Flashing in my eyes after forcing myself to "not see" anything with my eyes open</t>
        </is>
      </c>
      <c r="C1716" t="inlineStr">
        <is>
          <t>This might sound pretty weird and I don't really know if this is directly related to my eyes, but when I close my eyes, I see nothing, it's not that I see black or gray or whatever, I don't see anything. I don't know if this is normal, as when I try to explain it to other people, they are quite weirded out. I can focus on the black and then I can "see it" but otherwise, it feels like my optical nerve has been severed and my eyes are completely relaxed and are getting zero input. Today, while in the dark (with only the faint light of my phone) I tried to "not see" anything with my eyes open. I focused on "not seeing" anything while opening my eyes and it partly worked, but then it was almost as if there was an inaudible pop at the front of my eyes and I saw very very bright and white (while in the dark) strips at the edge of my field of vision. My eyes have been very mildly strained after that. 
What is the whole "not seeing" thing and did I do something bad with the popping thing?</t>
        </is>
      </c>
      <c r="D1716" t="n">
        <v>1</v>
      </c>
      <c r="E1716" t="n">
        <v>2</v>
      </c>
      <c r="F1716">
        <f>HYPERLINK("https://www.reddit.com/r/eyetriage/comments/gxcpji/flashing_in_my_eyes_after_forcing_myself_to_not/")</f>
        <v/>
      </c>
      <c r="G1716" t="inlineStr">
        <is>
          <t>2020-06-05 13:45:36</t>
        </is>
      </c>
      <c r="H1716" t="inlineStr"/>
    </row>
    <row r="1717">
      <c r="A1717" t="inlineStr">
        <is>
          <t>gxsw1u</t>
        </is>
      </c>
      <c r="B1717" t="inlineStr">
        <is>
          <t>Double vision at night</t>
        </is>
      </c>
      <c r="C1717" t="inlineStr">
        <is>
          <t>I have fairly high Myopia. -4.75. Whenever I'm out at night and I'm looking at a light from a distance  I'll always see like an upward "streak" coming from the light source. If I'm looking at an Illuminated sign I'll actually see a reflection of it floating right above. It will disappear as I get closer, or if I squint. Was wondering if anyone else has something like this.</t>
        </is>
      </c>
      <c r="D1717" t="n">
        <v>1</v>
      </c>
      <c r="E1717" t="n">
        <v>1</v>
      </c>
      <c r="F1717">
        <f>HYPERLINK("https://www.reddit.com/r/eyetriage/comments/gxsw1u/double_vision_at_night/")</f>
        <v/>
      </c>
      <c r="G1717" t="inlineStr">
        <is>
          <t>2020-06-06 08:22:39</t>
        </is>
      </c>
      <c r="H1717" t="inlineStr"/>
    </row>
    <row r="1718">
      <c r="A1718" t="inlineStr">
        <is>
          <t>gxtk3f</t>
        </is>
      </c>
      <c r="B1718" t="inlineStr">
        <is>
          <t>Red eyes and itching</t>
        </is>
      </c>
      <c r="C1718" t="inlineStr">
        <is>
          <t>23(M), So a week back I had the sensation of an object stuck in my left eye,tried to wash it out. 2 days later my eyes are red,watery and itchy and it was also accompanied by runny nose and sneezing.
3 days ago I consulted a doc online and he said I had acute conjunctivitis, prescribed me some eye drops and moxicip ointment.
 Moxifloxacin ophthalmic solution 
 Alcaftadine
hypromellose ophthalmic
After the eye drops the sneezing and runny nose stopped, but my eyes are still red and very itchy. After I itch them the situation becomes worse, especially bad at night. The sensation becomes stronger and my eyes get very teary.
I've had no eye problems before ,so I'm really freaked out now. I've no pain or sensitivity to light.
&amp;amp;#x200B;
My question is how long do they last? And is it something more serious?
Thanks</t>
        </is>
      </c>
      <c r="D1718" t="n">
        <v>1</v>
      </c>
      <c r="E1718" t="n">
        <v>0</v>
      </c>
      <c r="F1718">
        <f>HYPERLINK("https://www.reddit.com/r/eyetriage/comments/gxtk3f/red_eyes_and_itching/")</f>
        <v/>
      </c>
      <c r="G1718" t="inlineStr">
        <is>
          <t>2020-06-06 09:01:13</t>
        </is>
      </c>
      <c r="H1718" t="inlineStr"/>
    </row>
    <row r="1719">
      <c r="A1719" t="inlineStr">
        <is>
          <t>gxwn1h</t>
        </is>
      </c>
      <c r="B1719" t="inlineStr">
        <is>
          <t>Depth perception</t>
        </is>
      </c>
      <c r="C1719" t="inlineStr">
        <is>
          <t>I have moderate myopia (-5.5). I am beginning to notice that I don't have the depth perception that books describe since I can can only tell the distance of something by context and not instinct. For context, I have spent most days just indoors and have glasses that are probably already not adequate for my myopia. I have experienced very 3D moments previously when I see plants during noon when the sun is very bright. At those moments, the world seems to be as 3D as the movements that are exaggerated by 3D technologies in movies, now I don't even experience that. Since I have read that someone in solitary confinement for over 5 years had permanently lost his depth perception, I am worried that I am currently on the path of losing depth perception. What are your thoughts?</t>
        </is>
      </c>
      <c r="D1719" t="n">
        <v>1</v>
      </c>
      <c r="E1719" t="n">
        <v>0</v>
      </c>
      <c r="F1719">
        <f>HYPERLINK("https://www.reddit.com/r/eyetriage/comments/gxwn1h/depth_perception/")</f>
        <v/>
      </c>
      <c r="G1719" t="inlineStr">
        <is>
          <t>2020-06-06 11:49:15</t>
        </is>
      </c>
      <c r="H1719" t="inlineStr"/>
    </row>
    <row r="1720">
      <c r="A1720" t="inlineStr">
        <is>
          <t>gy0etd</t>
        </is>
      </c>
      <c r="B1720" t="inlineStr">
        <is>
          <t>REFRESH P.M. White Petrolatum 57.3% Question</t>
        </is>
      </c>
      <c r="C1720" t="inlineStr">
        <is>
          <t>I am concerned with having this shipped to the desert southwest where the product can be subject to excessive heat during the shipping process not to mention sitting in 125 degree + delivery trucks. Anyone have any insight on whether or not the product will degrade if it turns liquid and then is reconstituted over and over. TIA.</t>
        </is>
      </c>
      <c r="D1720" t="n">
        <v>1</v>
      </c>
      <c r="E1720" t="n">
        <v>0</v>
      </c>
      <c r="F1720">
        <f>HYPERLINK("https://www.reddit.com/r/eyetriage/comments/gy0etd/refresh_pm_white_petrolatum_573_question/")</f>
        <v/>
      </c>
      <c r="G1720" t="inlineStr">
        <is>
          <t>2020-06-06 15:30:29</t>
        </is>
      </c>
      <c r="H1720" t="inlineStr"/>
    </row>
    <row r="1721">
      <c r="A1721" t="inlineStr">
        <is>
          <t>gy6yj3</t>
        </is>
      </c>
      <c r="B1721" t="inlineStr">
        <is>
          <t>Pus like bump inside upper eyelid. Stye, Chalazion or Cancer?</t>
        </is>
      </c>
      <c r="C1721" t="inlineStr">
        <is>
          <t>Earlier this week I woke up to some discomfort in my right eye, namely my upper eyelid, and when I went to check I noticed a bump where it was most tender. Naturally I peeked underneath my eyelid and found a pus like bump there. It's been a few days now and it doesn't seem to bother me anymore, there's no swelling or redness/tenderness. It doesn't seem to affect my vision but my anxiety is killing me due to the covid pandemic my ophthalmologist's office is closed to further notice. I read that it could be a stye, though internal styes are rare. Also read that it could be chalazion or sebaceous cell carcinoma. Does cancer even show up like this?</t>
        </is>
      </c>
      <c r="D1721" t="n">
        <v>1</v>
      </c>
      <c r="E1721" t="n">
        <v>0</v>
      </c>
      <c r="F1721">
        <f>HYPERLINK("https://www.reddit.com/r/eyetriage/comments/gy6yj3/pus_like_bump_inside_upper_eyelid_stye_chalazion/")</f>
        <v/>
      </c>
      <c r="G1721" t="inlineStr">
        <is>
          <t>2020-06-06 22:58:33</t>
        </is>
      </c>
      <c r="H1721" t="inlineStr"/>
    </row>
    <row r="1722">
      <c r="A1722" t="inlineStr">
        <is>
          <t>gygmzr</t>
        </is>
      </c>
      <c r="B1722" t="inlineStr">
        <is>
          <t>Red eye not going away even with drops</t>
        </is>
      </c>
      <c r="C1722" t="inlineStr">
        <is>
          <t>Hey! 
So I have been wearing glasses for 15 years now (I'm 22F, -7.5 and -8.5 prescription) and I wanted to start wearing contacts last winter.
So I got 3 pairs of contacts in November and started to use it like once or twice a week. Once in December I was trying to put it in my left eye but it just wouldn't go because I still hadn't gotten the hang  of it. I tried a lot and got some eye irritation and my eye became red. This was in December and the lower half of my left eye has been red ever since. It's not super red but it's pretty red and becomes slightly better when I go out and everything but when I'm inside or when I just wake up or after a shower it gets very red. I have no other problems such as irritation/pain etc
So I went to 4 ophthalmologists before and they all did a slit lamp check up and said that it looked fine only and that they can't seem to find the reason that it's red. They gave me a few drops but those didn't really work.
I went to another ophthalmologist 4 days back and she's a cornea specialist. She did a slit lamp check after putting some kind of drop in my eye and said that I have viral conjunctivitis and allergic conjunctivitis.
She gave me 4 kinds of drops and said that I have to put those in 4 times a day.
I have been doing it consistently but my red eye doesn't seem to go away at all. It is still as red as it used to be.
I am really anxious and I don't know what to do anymore so any advice would be really helpful! :/</t>
        </is>
      </c>
      <c r="D1722" t="n">
        <v>1</v>
      </c>
      <c r="E1722" t="n">
        <v>13</v>
      </c>
      <c r="F1722">
        <f>HYPERLINK("https://www.reddit.com/r/eyetriage/comments/gygmzr/red_eye_not_going_away_even_with_drops/")</f>
        <v/>
      </c>
      <c r="G1722" t="inlineStr">
        <is>
          <t>2020-06-07 10:37:26</t>
        </is>
      </c>
      <c r="H1722" t="inlineStr"/>
    </row>
    <row r="1723">
      <c r="A1723" t="inlineStr">
        <is>
          <t>gypcr4</t>
        </is>
      </c>
      <c r="B1723" t="inlineStr">
        <is>
          <t>Mucus fishing syndrome</t>
        </is>
      </c>
      <c r="C1723" t="inlineStr">
        <is>
          <t>Any tips on how to treat it?</t>
        </is>
      </c>
      <c r="D1723" t="n">
        <v>1</v>
      </c>
      <c r="E1723" t="n">
        <v>4</v>
      </c>
      <c r="F1723">
        <f>HYPERLINK("https://www.reddit.com/r/eyetriage/comments/gypcr4/mucus_fishing_syndrome/")</f>
        <v/>
      </c>
      <c r="G1723" t="inlineStr">
        <is>
          <t>2020-06-07 18:35:11</t>
        </is>
      </c>
      <c r="H1723" t="inlineStr"/>
    </row>
    <row r="1724">
      <c r="A1724" t="inlineStr">
        <is>
          <t>gz1nix</t>
        </is>
      </c>
      <c r="B1724" t="inlineStr">
        <is>
          <t>Question for those with moderate to severe dry eye issues</t>
        </is>
      </c>
      <c r="C1724" t="inlineStr">
        <is>
          <t>Hi, just wondering about how everyone elses case of dry eyes began because I feel as if my own case may be abnormal.
in a nutshell, one day I was on my computer and all of a sudden I had this intense pain in my eyes and they began to water a ton. It was so bad I could barely keep my eyes open so I just went to bed. From then on ive had crazy dry eyes. I (foolishly) didnt see an ophthalmologist until months later.
Things to note-
 I was constantly staring at my computer and definitely blinking less than recommended
I apparently have a habit of not blinking completely.
So my question for you all is, was your case of dry eye gradual or has anyone else had a sudden attack of pain with no gradual lead up to it, like I described above?</t>
        </is>
      </c>
      <c r="D1724" t="n">
        <v>3</v>
      </c>
      <c r="E1724" t="n">
        <v>10</v>
      </c>
      <c r="F1724">
        <f>HYPERLINK("https://www.reddit.com/r/eyetriage/comments/gz1nix/question_for_those_with_moderate_to_severe_dry/")</f>
        <v/>
      </c>
      <c r="G1724" t="inlineStr">
        <is>
          <t>2020-06-08 08:40:18</t>
        </is>
      </c>
      <c r="H1724" t="inlineStr"/>
    </row>
    <row r="1725">
      <c r="A1725" t="inlineStr">
        <is>
          <t>gz2dxy</t>
        </is>
      </c>
      <c r="B1725" t="inlineStr">
        <is>
          <t>input on recurring issue in my "good" eye - other has optic nerve damage, had a few peripheral ulcers from ocular rosacea (suspected) and a recent flare up and my next appt. isn't until mid july</t>
        </is>
      </c>
      <c r="C1725" t="inlineStr">
        <is>
          <t>[https://imgur.com/a/ezFAQKK](https://imgur.com/a/ezFAQKK)
&amp;amp;#x200B;
I was diagnosed with OR in early Feb. instructed on occuscrub / eye hygiene, preservative-free lubricant drops, omega 3 (chia seeds and fish oil daily) and put on just an antibiotic (skipped steroid due to one incidence of herpes zoster when I was 13 (24 y/o male now). 
My left (bad) eye has optic nerve damage from a MV accident when I was 17. So of course my good (right) eye is very important to me and i'm sensitive to changes / need to preserve it's health and avoid scarring. 
I had multiple visits to my gen. opth over last 2 months and at times was told "it may take some time to work out a good plan for you, etc." when in fact I wasn't impatient about the nagging but tolerable physical sensation side effects, but am scared of ulcer scarring. 
had a larger flare up about a month ago that she put me on tobradex for. 
was also put on 40 mg doxycycline 1 x / day a few appointments into this ideal just before lockdown started in mid march - seemed to help overall at first but now seems to have less effect. 
I do probably 10 different individual eye-care related things a day for this, and that is what it is, but my issue is: **I may be a worrier, but it should make sense that I can't take any risks with this eye. Whereas the doctors understandably have to take conservative measures and allocate time across their many patients - many of whom probably see worse than I do at 24. At the same time, my next appointment with what I believe to be a "higher tier" ophthalmologist isn't until july 15th.** 
I've had a flare up the last few day (linked some photos - one from last night and 3 from this AM where it looks better). Often times due to the probable MGD involved in the pathology of this issue, the resulting visual disruption from poor tear film causes tension / soreness in orbital area of the eye. However, in the case of this recent flare up - which does seem to be improving today vs yesterday - the proximity of that red patch close to the iris causes me a lot of anxiety, and there is some discomfort / probable minor light sensitivity. 
&amp;amp;#x200B;
I called the office of the doctor I'm going to see in mid july to explain that I'm having a flare up and can they move me up / I'm uncertain of where the line is where I should act and be seen + get steroids to avoid scarring. She said someone will call me back within 24-48 hours but my initial appt. was already moved up due to the referral I got and they are generally booking out through next october. 
&amp;amp;#x200B;
**In short, I'm at an important stage of my life and have had a lot of other health issues in the past. I can handle "ignoring" discomfort, but having had to very minor peripheral ulcers from this in the last 3 months - in both cases the doctor didn't actually use the word ulcer in the appt. with me but I saw it in her notes from the meetings - and am sort of losing it. I'm trying to apply to grad school and get my life started and that involves lots of focusing and screen time, etc. I feel like i'm being torn between hurting my eye permanently with scars and hunkering down to do the hard work I've been avoiding since I graduated college several years ago.** 
&amp;amp;#x200B;
**I know this is a lot to unload via a reddit post, but I guess if someone can take a look at those imgur photos and tell me if I need to push harder / go to the eye ER, etc. then I can have some direction**
&amp;amp;#x200B;
thanks</t>
        </is>
      </c>
      <c r="D1725" t="n">
        <v>2</v>
      </c>
      <c r="E1725" t="n">
        <v>0</v>
      </c>
      <c r="F1725">
        <f>HYPERLINK("https://www.reddit.com/r/eyetriage/comments/gz2dxy/input_on_recurring_issue_in_my_good_eye_other_has/")</f>
        <v/>
      </c>
      <c r="G1725" t="inlineStr">
        <is>
          <t>2020-06-08 09:20:03</t>
        </is>
      </c>
      <c r="H1725" t="inlineStr"/>
    </row>
    <row r="1726">
      <c r="A1726" t="inlineStr">
        <is>
          <t>gz6sg6</t>
        </is>
      </c>
      <c r="B1726" t="inlineStr">
        <is>
          <t>Question about my eyes' condition since it is not possible to see an eye doctor in my country except for critical cases due to Covid-19 measures.</t>
        </is>
      </c>
      <c r="C1726" t="inlineStr">
        <is>
          <t>Hi everyone, I understand that it is not possible to diagnose someone over the internet but I would nevertheless immensely appreciate any of your thoughts on my situation. I am not able to see an eye doctor because due to corona measures in my country hospitals are only seeing patients in critical cases.   
I am 26 years old male, I don't wear glasses and my eye sight till recently has been -.05 and -1.25. Since about Christmas I noticed that my eyesight has been diminishing rather profoundly. I know this because each week I would sit in about the same spot, in the first row, for my lectures. I started noticing that from week to week I became less able to read the math that the lecturer would write on the blackboard. To the point that since about the beginning of April I wasn't able anymore to read the formulas. At that this point I also started feeling what I would describe as constant discomfort, mild pain in my right eye, also my eyes were rather always dry. That's when I went to my GP, told my situation and asked to be referred to an eye doctor. My GP however declined to refer my to an eye doctor and told me to take out glasses. I went to get glasses and was quite surprised because my vision test said that my eye sight was -0.75 and -1.5. Which seemed to me as a very mild decrease in my vision as compared to how much less I was actually able to see in reality. Then the Covid-19 hit. In the months of April and May my vision has decreased what I would describe severely. With my right eye, if I close my left one, I can see very little comparable to 2 months or before Christmas. For example, I am about 4 meters away from my kitchen counter and everything just seems blurry, I can make out the shape of the 1l glass olive oil bottle and other things on the counter, but it is all I can see, the shape, even the kitchen cabins and the wall seems blurry and I actually cannot quite see the dinner plate that is on the counter.   
Further my right eye has been in pain for the most of the last 2 months and I mean in substantial pain, I feel it inside the eye and around the eye. I basically recently had to stop using my computer for the last 4 days for the pain to go away.   
I also feel that without taking into account the quality of the eyesight of my right eye, altogether the perimeter/diameter of my right eye vision, when left eye is closed, has become smaller and is certainly smaller as compared to my left eye's vision's perimeter/diameter. Like to the side of the eye I feel I can see altogether less then how much I can see to the side of the eye w.r.t my left eye.   
When I look into a white wall now I don't see the white wall per se, but I see colorful dots everywhere. I didn't use to see that.   
My right feels heavy, sort of like if it was a "lazy eye", but I know it is not, as I looked in the mirror. In the right eye I feel this particular discomfort the way my eyelid sits on my eye when I close. With the left eye it just fits, but with the right eye I just feel like it doesn't sit properly.   
I talked with my friend who has eye vision -2 in both eyes. And apparently they don't use glasses for their laptop, but now I actually feel like I am not able to read stuff on my laptop clearly anymore without glasses. Letters seem a bit blurry, this is certainly the case if I try to read something for an hour or so on my laptop. In general eyes just get very tired very quickly and feel very heavy. And I feel like I have to squint all the time.   
Till about \~2 weeks ago I felt that all these things were happening to my right eye only and the left one was fine. But now my left eye also has started hurting inside the eye and around the eye after I had to work extensively for several days with a computer. I also feel that since then the eye sight in my left eye has also been declining. I also developed substantial pain just below the left eye after extensively working for a few days with a computer, it felt like tense string for a lack of a better word.   
From this description does it seem like I could have some sort of eye disease?</t>
        </is>
      </c>
      <c r="D1726" t="n">
        <v>1</v>
      </c>
      <c r="E1726" t="n">
        <v>4</v>
      </c>
      <c r="F1726">
        <f>HYPERLINK("https://www.reddit.com/r/eyetriage/comments/gz6sg6/question_about_my_eyes_condition_since_it_is_not/")</f>
        <v/>
      </c>
      <c r="G1726" t="inlineStr">
        <is>
          <t>2020-06-08 13:04:24</t>
        </is>
      </c>
      <c r="H1726" t="inlineStr"/>
    </row>
    <row r="1727">
      <c r="A1727" t="inlineStr">
        <is>
          <t>gzjc9m</t>
        </is>
      </c>
      <c r="B1727" t="inlineStr">
        <is>
          <t>Strabismus Surgery question.</t>
        </is>
      </c>
      <c r="C1727" t="inlineStr">
        <is>
          <t>I'm a 23 year old male who has had strabismus from childhood. I went to an ophthalmologist to get an idea about the procedure. I have a 30 degree inward turn on my right eye I'd like to fix. My doctor did a few tests and told me that's she recommends a 20 degree fix in order to avoid double vision. Would aligning the eye completely cause me to have permanent double vision? Or will my brain get used to the new alignment of the eyes eventually?</t>
        </is>
      </c>
      <c r="D1727" t="n">
        <v>1</v>
      </c>
      <c r="E1727" t="n">
        <v>0</v>
      </c>
      <c r="F1727">
        <f>HYPERLINK("https://www.reddit.com/r/eyetriage/comments/gzjc9m/strabismus_surgery_question/")</f>
        <v/>
      </c>
      <c r="G1727" t="inlineStr">
        <is>
          <t>2020-06-09 01:54:45</t>
        </is>
      </c>
      <c r="H1727" t="inlineStr"/>
    </row>
    <row r="1728">
      <c r="A1728" t="inlineStr">
        <is>
          <t>gzmxha</t>
        </is>
      </c>
      <c r="B1728" t="inlineStr">
        <is>
          <t>Is it possible to lower eye prescription naturally at after the age of 21?</t>
        </is>
      </c>
      <c r="C1728" t="inlineStr">
        <is>
          <t>Take a look at [this](https://www.reddit.com/r/myopia/comments/gzgzii/is_it_possible_to_lowerprevent_my_eye/) for better understanding my situation...
As far as I know, people got their myopia because the eye balls getting longer, that lead me thinking, how can those exercise or something can actually shorten the eyeball...</t>
        </is>
      </c>
      <c r="D1728" t="n">
        <v>2</v>
      </c>
      <c r="E1728" t="n">
        <v>14</v>
      </c>
      <c r="F1728">
        <f>HYPERLINK("https://www.reddit.com/r/eyetriage/comments/gzmxha/is_it_possible_to_lower_eye_prescription/")</f>
        <v/>
      </c>
      <c r="G1728" t="inlineStr">
        <is>
          <t>2020-06-09 06:15:38</t>
        </is>
      </c>
      <c r="H1728" t="inlineStr"/>
    </row>
    <row r="1729">
      <c r="A1729" t="inlineStr">
        <is>
          <t>gzr3mh</t>
        </is>
      </c>
      <c r="B1729" t="inlineStr">
        <is>
          <t>20 Year Old - Uneven Eyesight?</t>
        </is>
      </c>
      <c r="C1729" t="inlineStr">
        <is>
          <t>Hello all!
I'm a 20 year old male, no health problems. Plant based diet. Live in Los Angeles.
If I close my right eye and look through my left, and vice versa, things look farther away in my left. Say a cup is 2 feet away from me and I look through my left, it looks 3 feet away. Or a sign when driving is 10 feet away, and I look through my left eye only, it looks 12-15ft away. Nothing is blurry, just looks far away. Does anybody know if this is normal? Am I just nearsighted or farsighted?
I'm pretty sure I've always had this but in September, 9 months ago, I was in a car crash where the car hit me on my left side going 60mph (He ran a red light). Could this be connected at all? But again, pretty sure I've had this for awhile, just I'm not paying attention to it.
Thank you everybody!</t>
        </is>
      </c>
      <c r="D1729" t="n">
        <v>1</v>
      </c>
      <c r="E1729" t="n">
        <v>7</v>
      </c>
      <c r="F1729">
        <f>HYPERLINK("https://www.reddit.com/r/eyetriage/comments/gzr3mh/20_year_old_uneven_eyesight/")</f>
        <v/>
      </c>
      <c r="G1729" t="inlineStr">
        <is>
          <t>2020-06-09 09:59:06</t>
        </is>
      </c>
      <c r="H1729" t="inlineStr"/>
    </row>
    <row r="1730">
      <c r="A1730" t="inlineStr">
        <is>
          <t>gzr5wq</t>
        </is>
      </c>
      <c r="B1730" t="inlineStr">
        <is>
          <t>Traumatic hyphema prognosis</t>
        </is>
      </c>
      <c r="C1730" t="inlineStr">
        <is>
          <t>Basically just looking for reassurance or anecodotes as I have worked myself up into an anxiety nightmare after visiting Dr. Google. Backstory below.
Quarantine related eye injury at home using exercise resistance bands. I went to the ER and was evaluated by an ophthalmologist with dx of microhyphema and mydriasis. Given prednisolone QID and cyclopentolate TID and told to bed rest, HOB elevation, etc. I had my f/u in clinic at day 3 and was told there are still RBC present. Was told to decrease prednisolone to TID and switch cyclopentolate to atropine qd at bedtime.
My largest source of anxiety is after reading about rebleeds and the stats on how likely it is that my vision with be 20/50. (Previously 20/20 following LASIK).
Thanks for any words you may have.
Edit to say that my next clinic f/u is in 2 weeks.</t>
        </is>
      </c>
      <c r="D1730" t="n">
        <v>1</v>
      </c>
      <c r="E1730" t="n">
        <v>5</v>
      </c>
      <c r="F1730">
        <f>HYPERLINK("https://www.reddit.com/r/eyetriage/comments/gzr5wq/traumatic_hyphema_prognosis/")</f>
        <v/>
      </c>
      <c r="G1730" t="inlineStr">
        <is>
          <t>2020-06-09 10:02:08</t>
        </is>
      </c>
      <c r="H1730" t="inlineStr"/>
    </row>
    <row r="1731">
      <c r="A1731" t="inlineStr">
        <is>
          <t>gztgsf</t>
        </is>
      </c>
      <c r="B1731" t="inlineStr">
        <is>
          <t>Strabismus Surgery</t>
        </is>
      </c>
      <c r="C1731" t="inlineStr">
        <is>
          <t>I'm a 23 year old male who has had strabismus from childhood. I went to an ophthalmologist to get an idea about potentially getting surgery to align my eyes back into normal position. I have a 30 degree inward turn on my right eye I'd like to fix. My doctor did a few tests and told me that she recommends a 20 degree fix in order to avoid double vision. Would aligning the eye completely cause me to have permanent double vision? Or will my brain get used to the new alignment of the eyes eventually?</t>
        </is>
      </c>
      <c r="D1731" t="n">
        <v>2</v>
      </c>
      <c r="E1731" t="n">
        <v>20</v>
      </c>
      <c r="F1731">
        <f>HYPERLINK("https://www.reddit.com/r/eyetriage/comments/gztgsf/strabismus_surgery/")</f>
        <v/>
      </c>
      <c r="G1731" t="inlineStr">
        <is>
          <t>2020-06-09 11:55:55</t>
        </is>
      </c>
      <c r="H1731" t="inlineStr"/>
    </row>
    <row r="1732">
      <c r="A1732" t="inlineStr">
        <is>
          <t>gzuf86</t>
        </is>
      </c>
      <c r="B1732" t="inlineStr">
        <is>
          <t>I have question about strabismus</t>
        </is>
      </c>
      <c r="C1732" t="inlineStr">
        <is>
          <t>I was review my medical history. Was wondering is it bad to be to diagnosis. Age 2 with strabismus, esotropia and hypertropia. Furthermore they had to cancel my treatment. Duo to Unavailable  optometrists after 1 yer.</t>
        </is>
      </c>
      <c r="D1732" t="n">
        <v>1</v>
      </c>
      <c r="E1732" t="n">
        <v>6</v>
      </c>
      <c r="F1732">
        <f>HYPERLINK("https://www.reddit.com/r/eyetriage/comments/gzuf86/i_have_question_about_strabismus/")</f>
        <v/>
      </c>
      <c r="G1732" t="inlineStr">
        <is>
          <t>2020-06-09 12:43:20</t>
        </is>
      </c>
      <c r="H1732" t="inlineStr"/>
    </row>
    <row r="1733">
      <c r="A1733" t="inlineStr">
        <is>
          <t>gzx6gy</t>
        </is>
      </c>
      <c r="B1733" t="inlineStr">
        <is>
          <t>Appointment on Thursday but freaking myself out</t>
        </is>
      </c>
      <c r="C1733" t="inlineStr">
        <is>
          <t>[Picture](https://imgur.com/a/3updW2U) of my eye. 
I know, I know, Dr. Google is a terrible idea. But I’m convinced I have corneal neovascularization since the blood vessels appear to be growing into my cornea?? I read it can’t be diagnosed by just the naked eye, but images I have seen seem to match up. 
I don’t have the best habits with my contacts which i will ABSOLUTELY be 100% better about if it’s nothing serious. I am terrified of never being able to use contacts again. 
I know you can’t diagnose me online, but how bad do you think this looks? Should I brace myself for terrible news from my optometrist? I am having horrible anxiety and am beside myself. 
Thank you in advance.</t>
        </is>
      </c>
      <c r="D1733" t="n">
        <v>1</v>
      </c>
      <c r="E1733" t="n">
        <v>12</v>
      </c>
      <c r="F1733">
        <f>HYPERLINK("https://www.reddit.com/r/eyetriage/comments/gzx6gy/appointment_on_thursday_but_freaking_myself_out/")</f>
        <v/>
      </c>
      <c r="G1733" t="inlineStr">
        <is>
          <t>2020-06-09 14:53:29</t>
        </is>
      </c>
      <c r="H1733" t="inlineStr"/>
    </row>
    <row r="1734">
      <c r="A1734" t="inlineStr">
        <is>
          <t>gzyvkg</t>
        </is>
      </c>
      <c r="B1734" t="inlineStr">
        <is>
          <t>Seeing tree branches/lightning bolts (blood vessels maybe?) when waking up in the morning</t>
        </is>
      </c>
      <c r="C1734" t="inlineStr">
        <is>
          <t>Some days when I wake up in the morning in normal light I see black tree branches for a split second in my vision right after I blink. This only lasts maybe 30 seconds usually. I've noticed it happens more when I wake up from a very deep sleep like if I'm having a caffeine withdrawal. I'm getting a regular checkup from the eye doctor soon so I'm assuming if its a problem it'll get caught but any idea what this could be?  I've always been nearsighted and have had floaters in case that might be somewhat related.</t>
        </is>
      </c>
      <c r="D1734" t="n">
        <v>1</v>
      </c>
      <c r="E1734" t="n">
        <v>2</v>
      </c>
      <c r="F1734">
        <f>HYPERLINK("https://www.reddit.com/r/eyetriage/comments/gzyvkg/seeing_tree_brancheslightning_bolts_blood_vessels/")</f>
        <v/>
      </c>
      <c r="G1734" t="inlineStr">
        <is>
          <t>2020-06-09 16:20:50</t>
        </is>
      </c>
      <c r="H1734" t="inlineStr"/>
    </row>
    <row r="1735">
      <c r="A1735" t="inlineStr">
        <is>
          <t>gzzsn1</t>
        </is>
      </c>
      <c r="B1735" t="inlineStr">
        <is>
          <t>I flushed my eye out with warm/hot water in the shower. Is irritation normal?</t>
        </is>
      </c>
      <c r="C1735" t="inlineStr">
        <is>
          <t>I got poked in the eye with a plastic toy that my daughter leaves all over the house (and floor). 
I was going to take a shower so I decided to grab a cup and flush my eyes a few times (probably poured 10 yeti sized filled cups in my eye) to flush it from any of the crap or crud that may have gotten into my eye.
As I was doing it in the water wasn’t boiling hot, but it was to the warming temperature I like when showering. 
I flushed my eye about 10 times and now both my eyes feel a bit irritated and dry. Wondering if I could have caused any damage with the hot water or if my eyes feel like this due to the general feeling thy get after flushing them with water?
Basically I want to make sure I didn’t burn my eyes and that’s why they’re irritated. Thanks in advance!</t>
        </is>
      </c>
      <c r="D1735" t="n">
        <v>1</v>
      </c>
      <c r="E1735" t="n">
        <v>1</v>
      </c>
      <c r="F1735">
        <f>HYPERLINK("https://www.reddit.com/r/eyetriage/comments/gzzsn1/i_flushed_my_eye_out_with_warmhot_water_in_the/")</f>
        <v/>
      </c>
      <c r="G1735" t="inlineStr">
        <is>
          <t>2020-06-09 17:13:08</t>
        </is>
      </c>
      <c r="H1735" t="inlineStr"/>
    </row>
    <row r="1736">
      <c r="A1736" t="inlineStr">
        <is>
          <t>h04atv</t>
        </is>
      </c>
      <c r="B1736" t="inlineStr">
        <is>
          <t>Acute Corneal Erosion due to PRK - Punctal plugs?</t>
        </is>
      </c>
      <c r="C1736" t="inlineStr">
        <is>
          <t>I wish I would have never done PRK. Not only do I have dry eyes causing the ACE, my eyes are also extremely sensitive now and I can barely rub them/touch them with my eyelids closed. I had to get a softer pillow because it was causing my eyelids to stick to my eyeballs. I got it done in 2012 and I'm back to wearing glasses. My vision returned to what it was before. I started wearing glasses again around 2016.
I want to get punctal plugs, what are the pros and cons? Thanks.</t>
        </is>
      </c>
      <c r="D1736" t="n">
        <v>2</v>
      </c>
      <c r="E1736" t="n">
        <v>5</v>
      </c>
      <c r="F1736">
        <f>HYPERLINK("https://www.reddit.com/r/eyetriage/comments/h04atv/acute_corneal_erosion_due_to_prk_punctal_plugs/")</f>
        <v/>
      </c>
      <c r="G1736" t="inlineStr">
        <is>
          <t>2020-06-09 22:11:12</t>
        </is>
      </c>
      <c r="H1736" t="inlineStr"/>
    </row>
    <row r="1737">
      <c r="A1737" t="inlineStr">
        <is>
          <t>h0awfm</t>
        </is>
      </c>
      <c r="B1737" t="inlineStr">
        <is>
          <t>New specs: clearer vision with head tilted slightly to R or face turned slightly to L</t>
        </is>
      </c>
      <c r="C1737" t="inlineStr">
        <is>
          <t>Hi r/eyetriage. So recently I got this new specs, and everything's great, but I noticed the problem as stated in the title. The vision is still clear if I look straight on, but it's just clearer if I look with my face turned slightly to the left or if my head tilt slightly to the right. This is especially conspicuous when I am looking at text. It's my first day wearing it, so I guess is this a problem of getting used to it, or do I have to get this fixed?</t>
        </is>
      </c>
      <c r="D1737" t="n">
        <v>2</v>
      </c>
      <c r="E1737" t="n">
        <v>4</v>
      </c>
      <c r="F1737">
        <f>HYPERLINK("https://www.reddit.com/r/eyetriage/comments/h0awfm/new_specs_clearer_vision_with_head_tilted/")</f>
        <v/>
      </c>
      <c r="G1737" t="inlineStr">
        <is>
          <t>2020-06-10 06:25:20</t>
        </is>
      </c>
      <c r="H1737" t="inlineStr"/>
    </row>
    <row r="1738">
      <c r="A1738" t="inlineStr">
        <is>
          <t>h0dbze</t>
        </is>
      </c>
      <c r="B1738" t="inlineStr">
        <is>
          <t>Diplopia in right gaze</t>
        </is>
      </c>
      <c r="C1738" t="inlineStr">
        <is>
          <t>I’ve posted on here a couple of times - thanks so much for the help! I’m yet to see a neuro-ophthalmologist/optometrist because of coronavirus. So will definitely see a professional face to face but have some question in the interim. 
Healthy eyes since I was little (25F now), only small value astigmatism - regular checkups. Started experiencing eye strain an year ago, blurry vision, lack of stereopsis. 
After spending too much time reading on this in quarantine (lol), I’ve established that:
- right eye is higher (seems so in photos, when looking afar, and actually also confirmed through a Maddox rod test once) - interestingly, on the cover uncover test it seems that the image from the left eye is higher (is this even possible???) 
- diplopia in right gaze, right eye is also higher in right gaze 
- right eye also higher when looking up and to the right
- no massive difference in relation to incyclo excyclo torsion 
- left head tilt with associated SCM and trapezius pain 
Bottom line, can anybody help me better understand which is the weaker eye muscle? I tried to figure out the anatomy but it beats me haha.
Thanks!
Later edit: 9 gaze pictures in the comments</t>
        </is>
      </c>
      <c r="D1738" t="n">
        <v>2</v>
      </c>
      <c r="E1738" t="n">
        <v>3</v>
      </c>
      <c r="F1738">
        <f>HYPERLINK("https://www.reddit.com/r/eyetriage/comments/h0dbze/diplopia_in_right_gaze/")</f>
        <v/>
      </c>
      <c r="G1738" t="inlineStr">
        <is>
          <t>2020-06-10 08:35:53</t>
        </is>
      </c>
      <c r="H1738" t="inlineStr"/>
    </row>
    <row r="1739">
      <c r="A1739" t="inlineStr">
        <is>
          <t>h0ekmq</t>
        </is>
      </c>
      <c r="B1739" t="inlineStr">
        <is>
          <t>Dim vision in low light/ partial darkness</t>
        </is>
      </c>
      <c r="C1739" t="inlineStr">
        <is>
          <t>This is a long post and I might have added details that might not be required but my past experiences have made me realise that you really cant tell how interconnected everything is. So if you are still reading this, thank you. I appreciate you taking the time to hear me out here:) I am looking for insights/advise . I understand that going to the eye doc is the best thing to do, but with the ongoing situation, I wanted to know If it can wait.
So over the past couple of months I have had moderate to severe anxiety which manifested in a whole range of symptoms from a lot of facial muscle tension to dysphagia. Thankfully, most of it is gone now and so has my anxiety. But over the past couple of weeks, my eyes have been acting up. I have had pain in my right eye, extreme dryness, and general weakness. Recently, my eyes had started feeling like they had been exposed to really bright light - I'm not quite sure how to explain how it feels. All these symptoms have gotten better. But over the last week, I have noticed that my vision change. In partial darkness, I'm able to see less clearly, and during the day, my vision has become more dim. I got checked out by an opthalmologist just before this started happening and all he said was I was having digital strain and gave me lubricatig drops. Could the dimness be because of my eye strain or is it something else?
Some background: I'll be honest, I havent had the best eye habits. All of my work is on the computer, and I have worked long hours on the the system over the past decade, well into the night. I have myopia and have been wearing glasses since I was a kid. I have also had floaters over the past couple of years but they havent changed too much. I'm 28 now.</t>
        </is>
      </c>
      <c r="D1739" t="n">
        <v>3</v>
      </c>
      <c r="E1739" t="n">
        <v>2</v>
      </c>
      <c r="F1739">
        <f>HYPERLINK("https://www.reddit.com/r/eyetriage/comments/h0ekmq/dim_vision_in_low_light_partial_darkness/")</f>
        <v/>
      </c>
      <c r="G1739" t="inlineStr">
        <is>
          <t>2020-06-10 09:41:41</t>
        </is>
      </c>
      <c r="H1739" t="inlineStr"/>
    </row>
    <row r="1740">
      <c r="A1740" t="inlineStr">
        <is>
          <t>h0hgr2</t>
        </is>
      </c>
      <c r="B1740" t="inlineStr">
        <is>
          <t>Accidentally sprayed hand sanitizer spray (mostly alcohol) in eye. Will I be okay?</t>
        </is>
      </c>
      <c r="C1740" t="inlineStr">
        <is>
          <t>Like a dumbass I went to spray my hand with hand sanitizer spray (mostly alcohol) accidentally had it pointing towards me and it sprayed into my face and hit my eye. 
[Here’s](https://i.imgur.com/ZdYhK6f.jpg) a picture of the back of the bottle with all the ingredients and details.
I’m currently a passenger in a vehicle about an hour away from my destination so I can’t flush my eye with water. 
Should I be concerned and can this cause any permanent damage?</t>
        </is>
      </c>
      <c r="D1740" t="n">
        <v>4</v>
      </c>
      <c r="E1740" t="n">
        <v>3</v>
      </c>
      <c r="F1740">
        <f>HYPERLINK("https://www.reddit.com/r/eyetriage/comments/h0hgr2/accidentally_sprayed_hand_sanitizer_spray_mostly/")</f>
        <v/>
      </c>
      <c r="G1740" t="inlineStr">
        <is>
          <t>2020-06-10 11:55:12</t>
        </is>
      </c>
      <c r="H1740" t="inlineStr"/>
    </row>
    <row r="1741">
      <c r="A1741" t="inlineStr">
        <is>
          <t>h0i8fb</t>
        </is>
      </c>
      <c r="B1741" t="inlineStr">
        <is>
          <t>Methods of reducing vision defect</t>
        </is>
      </c>
      <c r="C1741" t="inlineStr">
        <is>
          <t>Are there any other methods of reducing vision defetct than laser procedure or orthokeratology? I’ve recently visited my doctor and he was reluctunt towards both of these. Or maybe he was just wrong and they are safe? Let me know!</t>
        </is>
      </c>
      <c r="D1741" t="n">
        <v>2</v>
      </c>
      <c r="E1741" t="n">
        <v>3</v>
      </c>
      <c r="F1741">
        <f>HYPERLINK("https://www.reddit.com/r/eyetriage/comments/h0i8fb/methods_of_reducing_vision_defect/")</f>
        <v/>
      </c>
      <c r="G1741" t="inlineStr">
        <is>
          <t>2020-06-10 12:31:39</t>
        </is>
      </c>
      <c r="H1741" t="inlineStr"/>
    </row>
    <row r="1742">
      <c r="A1742" t="inlineStr">
        <is>
          <t>h0jvrx</t>
        </is>
      </c>
      <c r="B1742" t="inlineStr">
        <is>
          <t>Short survey to help save people's vision and a chance at $100!</t>
        </is>
      </c>
      <c r="C1742" t="inlineStr">
        <is>
          <t>Please help us save people's vision by completing this 5-10min survey on your thoughts on corneal transplants and eye donations. No prior knowledge required! By completing it, you enter for a chance at $100!
Please share with others! Thanks! 📷:)
[https://medresearch.typeform.com/to/bVWzON…](https://medresearch.typeform.com/to/bVWzON?fbclid=IwAR3syTJfh9uWJPmrWo66z6xD3SJum1TS9Bx81Gs5erAf5LSUG-0BVJdJM3A)</t>
        </is>
      </c>
      <c r="D1742" t="n">
        <v>3</v>
      </c>
      <c r="E1742" t="n">
        <v>3</v>
      </c>
      <c r="F1742">
        <f>HYPERLINK("https://www.reddit.com/r/eyetriage/comments/h0jvrx/short_survey_to_help_save_peoples_vision_and_a/")</f>
        <v/>
      </c>
      <c r="G1742" t="inlineStr">
        <is>
          <t>2020-06-10 13:49:24</t>
        </is>
      </c>
      <c r="H1742" t="inlineStr"/>
    </row>
    <row r="1743">
      <c r="A1743" t="inlineStr">
        <is>
          <t>h0ktv3</t>
        </is>
      </c>
      <c r="B1743" t="inlineStr">
        <is>
          <t>Pimple on side of eye</t>
        </is>
      </c>
      <c r="C1743" t="inlineStr">
        <is>
          <t>So I went to an eye doctor last Saturday since I felt like I had an infection. ( Started noticing dryness, itchiness, slight headache last Wed evening that got slightly better with lubricating eye drops, but last Friday started feeling slight pain on right eye) 
He examined my eyes and said yea only on the right one.  I also let him know that I saw this tiny white pimple like thing on my plica semilunaris ( upon doing some research online I think that's what the area is called )
I didn't know the term when I was at the doctors office at the time.
At first he didn't see it and then when he looked again he said oh," that's common when something gets in your eye that the eye doesn't like" and he said a medical term for it starting with either a "c" or a "k" and I am not sure but it sounded more like the word started with a "c". 
Does anyone know what he meant or what any pimple like thing on the plica semilunaris?
[Here's a picture of it](https://imgbox.com/R8IsQXiO)
I was prescribed tobramyacin/dexamethasone for 5 days ,( 1 drop 3x a day) and ketorolac (1 drop twice a day as needed). Since the ketorolac wasn't available at the pharmacy at the time, I didn't get it until later. I also hesitated because of side effects, but I have it now.
Can anyone tell what this is on my eye and what is the best treatment? 
I am on day 4 of just taking  tobramyacin/ dexamethasone and still feel pain. I do plan to see another doctor soon when I can get an appointment.
If this thing contains pus in it, could I put like a warm compress/ heating pad on my eye?
What causes this and how long does it take to heal?
Thanks!</t>
        </is>
      </c>
      <c r="D1743" t="n">
        <v>2</v>
      </c>
      <c r="E1743" t="n">
        <v>0</v>
      </c>
      <c r="F1743">
        <f>HYPERLINK("https://www.reddit.com/r/eyetriage/comments/h0ktv3/pimple_on_side_of_eye/")</f>
        <v/>
      </c>
      <c r="G1743" t="inlineStr">
        <is>
          <t>2020-06-10 14:35:06</t>
        </is>
      </c>
      <c r="H1743" t="inlineStr"/>
    </row>
    <row r="1744">
      <c r="A1744" t="inlineStr">
        <is>
          <t>h0v5e9</t>
        </is>
      </c>
      <c r="B1744" t="inlineStr">
        <is>
          <t>Fixing strabismus/lazy eye on adult?</t>
        </is>
      </c>
      <c r="C1744" t="inlineStr">
        <is>
          <t>Hi! I am 20 and have had what I was told was a lazy eye since I was about 8 or 9. I was cross eyed as a baby and had corrective surgery for that when I was 2, and have had glasses ever since. As a child I was always far sighted, but eventually my left eye started drifting outward and my right eye became more near sighted. I went to eye therapy for a period as a child but it didn’t seem to help so my parents stopped taking me. As a teenager my eyes got worse to the point that my left eye is slightly far sighted (for the most part I can see fine except with extremely close up things that I can see fine with my right eye), my right eye is extremely near sighted (anything more than maybe 5 feet is blurry, sometimes even less distance), and my eyes do not work together at all causing one eye to drift always (right eye drifts if I look at something far away, left eye drifts for closer objects). The drift is fairly significant, most people assume I am not looking at them, it’s almost always visible in pictures, and even with glasses or contacts it happens.
For years I’ve been told at eye exams there’s nothing that can be done, but I’ve lately been experiencing a lot of eye strain and headache, and I’ve struggled to get a drivers license to due my difficulties with depth perception and peripheral vision. I hate how my eyes don’t work properly, and am afraid of the drift worsening over time. I’ve never met with an ophthalmologist before and have been researching about surgery for a while now. I just wanted an opinion on if surgery would be able to fix my issue considering both eyes drift, or if this is something I just have to live with. Thanks!</t>
        </is>
      </c>
      <c r="D1744" t="n">
        <v>2</v>
      </c>
      <c r="E1744" t="n">
        <v>1</v>
      </c>
      <c r="F1744">
        <f>HYPERLINK("https://www.reddit.com/r/eyetriage/comments/h0v5e9/fixing_strabismuslazy_eye_on_adult/")</f>
        <v/>
      </c>
      <c r="G1744" t="inlineStr">
        <is>
          <t>2020-06-11 01:23:27</t>
        </is>
      </c>
      <c r="H1744" t="inlineStr"/>
    </row>
    <row r="1745">
      <c r="A1745" t="inlineStr">
        <is>
          <t>h14nhz</t>
        </is>
      </c>
      <c r="B1745" t="inlineStr">
        <is>
          <t>Macular degeneration from looking at cloudy sky?</t>
        </is>
      </c>
      <c r="C1745" t="inlineStr">
        <is>
          <t>Was lying in a field with my SO and staring at the sky. It was an overcast day, but I’m pretty sure I looked where the sun would be several times. I can’t remember exactly, but I think I looked for a while too. Have I increased my chances of getting macular degeneration? My SO tells me I am just anxious but I wanna be sure</t>
        </is>
      </c>
      <c r="D1745" t="n">
        <v>0</v>
      </c>
      <c r="E1745" t="n">
        <v>4</v>
      </c>
      <c r="F1745">
        <f>HYPERLINK("https://www.reddit.com/r/eyetriage/comments/h14nhz/macular_degeneration_from_looking_at_cloudy_sky/")</f>
        <v/>
      </c>
      <c r="G1745" t="inlineStr">
        <is>
          <t>2020-06-11 11:14:00</t>
        </is>
      </c>
      <c r="H1745" t="inlineStr"/>
    </row>
    <row r="1746">
      <c r="A1746" t="inlineStr">
        <is>
          <t>h7cr1w</t>
        </is>
      </c>
      <c r="B1746" t="inlineStr">
        <is>
          <t>Can't focus either eye when one's closed? + Vision goes dark/hard to focus with non dominant eye when dominant eye is closed?</t>
        </is>
      </c>
      <c r="C1746" t="inlineStr">
        <is>
          <t xml:space="preserve"> 
Hi, so I recently, about 3 months ago, updated my glasses with a prescription I received about 6 months prior to that. At the time I asked for a slightly "uncorrected" prescription as that usually feels more comfortable to me. The glasses where uncomfortable at first, but I felt I just had to get used to them.
What I didn't notice before was that my left eyes myopia must have been getting worse. With the new glasses i can see just fine for the most part with both eyes wide open. But as soon as I close either eye I can barely read anything even 10 feet away. My eyes just don't want to focus for whatever reason.
What is worse is that with my dominant right eye closed, I can BARELY see with my left eye, within a second of closing my right eye I start to see the red inside of my eyelid as it comes into "focus" ultimately turning my vision from my left eye dark. I have to blink to "clear it up".
Last time I went to the optometrist, and even the time before that probably a year before I had a lot of trouble focusing my vision with one eye closed on that device where you focus on a center dot and press the button when you see waving lines to the sides. My vision just kept going dark and I had to keep blinking, I told the assistant I was having trouble but they just had me retry it.
Other focusing issues I've noticed is I've become MUCH more aware of dirt or smudging on my lenses, my last pair could be horribly dirty and i wouldn't mind, these I get a fingerprint or some dust I will continue to notice it especially when looking at a screen.
Another weird possibly unrelated thing is the floaters, since the amount of time I spend outside has been very limited the past few months, I notice TONS of floaters as I'm walking or sitting outside, look at the sky floaters. I think this goes hand in hand with light sensitivity I feel like I've experienced getting worse in the past year.
I don't know, I'm just very concerned about my vision being that I'm only 19 and have a high prescription about -6, with i believe my left eyes prescription being possibly -6.5.
I don't know who to go to an Optometrist or an Ophthalmologist and going to either is very tough as cases start to spike again in my city. **Any help or guidance would be greatly appreciated**, this has been giving me anxiety for a while now</t>
        </is>
      </c>
      <c r="D1746" t="n">
        <v>1</v>
      </c>
      <c r="E1746" t="n">
        <v>3</v>
      </c>
      <c r="F1746">
        <f>HYPERLINK("https://www.reddit.com/r/eyetriage/comments/h7cr1w/cant_focus_either_eye_when_ones_closed_vision/")</f>
        <v/>
      </c>
      <c r="G1746" t="inlineStr">
        <is>
          <t>2020-06-11 20:02:40</t>
        </is>
      </c>
      <c r="H1746" t="inlineStr"/>
    </row>
    <row r="1747">
      <c r="A1747" t="inlineStr">
        <is>
          <t>h7n0af</t>
        </is>
      </c>
      <c r="B1747" t="inlineStr">
        <is>
          <t>Prescribed eye drops but I'm just crying them out?</t>
        </is>
      </c>
      <c r="C1747" t="inlineStr">
        <is>
          <t>I have some sort of infection in my cornea-- best guess is shingles, so they have me on antivirals, but since it's an odd presentation, they also have me on antibiotic eye drops and steroid eye drops 4x/day each. 
However, I have super sensitive eyes, and every time I give myself the drops, my eye wells up and tears fall out. Am I just washing out the drops? Will they still be effective? If not, what can I do to try to keep the drop in my eye?</t>
        </is>
      </c>
      <c r="D1747" t="n">
        <v>1</v>
      </c>
      <c r="E1747" t="n">
        <v>3</v>
      </c>
      <c r="F1747">
        <f>HYPERLINK("https://www.reddit.com/r/eyetriage/comments/h7n0af/prescribed_eye_drops_but_im_just_crying_them_out/")</f>
        <v/>
      </c>
      <c r="G1747" t="inlineStr">
        <is>
          <t>2020-06-12 08:39:53</t>
        </is>
      </c>
      <c r="H1747" t="inlineStr"/>
    </row>
    <row r="1748">
      <c r="A1748" t="inlineStr">
        <is>
          <t>h7papi</t>
        </is>
      </c>
      <c r="B1748" t="inlineStr">
        <is>
          <t>Should I continue using steroid eye drops if they make my eyes redder</t>
        </is>
      </c>
      <c r="C1748" t="inlineStr">
        <is>
          <t>Hello!
So 2 days ago my optometrist prescribed corticosteroid eye drops to treat my red eyes. However, I have noticed that when I apply these drops, my eyes sting a lot and they go really red (like, extremely red) temporarily. I tried calling the practice to ask about this but they are closed today. Should I continue with the drops? I did some research and found that the stinging is a common side effect, but there was no mention of this redness. I do not want the redness in my eyes to worsen.
If it helps, the eye drop is called Maxidex, and my optometrist put me on a tapering dose over the course of 2 weeks. Any advice would be really helpful!! :l</t>
        </is>
      </c>
      <c r="D1748" t="n">
        <v>2</v>
      </c>
      <c r="E1748" t="n">
        <v>6</v>
      </c>
      <c r="F1748">
        <f>HYPERLINK("https://www.reddit.com/r/eyetriage/comments/h7papi/should_i_continue_using_steroid_eye_drops_if_they/")</f>
        <v/>
      </c>
      <c r="G1748" t="inlineStr">
        <is>
          <t>2020-06-12 10:38:26</t>
        </is>
      </c>
      <c r="H1748" t="inlineStr"/>
    </row>
    <row r="1749">
      <c r="A1749" t="inlineStr">
        <is>
          <t>h843oi</t>
        </is>
      </c>
      <c r="B1749" t="inlineStr">
        <is>
          <t>I used degreaser to clean something, as I sprayed the wind chimed in and a little bit of the spray came flying into my eye, been washing it for minutes, advice please</t>
        </is>
      </c>
      <c r="C1749" t="inlineStr">
        <is>
          <t xml:space="preserve"> I've been running water on it for a couple of minutes. then i used water you buy from the store, poured in a bowl and blinked in it for about 5 more minutes. i'm scared, my vision is fine now, it didn't burn or anything at first but what if it gets worse later on</t>
        </is>
      </c>
      <c r="D1749" t="n">
        <v>2</v>
      </c>
      <c r="E1749" t="n">
        <v>2</v>
      </c>
      <c r="F1749">
        <f>HYPERLINK("https://www.reddit.com/r/eyetriage/comments/h843oi/i_used_degreaser_to_clean_something_as_i_sprayed/")</f>
        <v/>
      </c>
      <c r="G1749" t="inlineStr">
        <is>
          <t>2020-06-13 02:09:29</t>
        </is>
      </c>
      <c r="H1749" t="inlineStr"/>
    </row>
    <row r="1750">
      <c r="A1750" t="inlineStr">
        <is>
          <t>h8w4yb</t>
        </is>
      </c>
      <c r="B1750" t="inlineStr">
        <is>
          <t>Eye hurts when I touch it or when I move it</t>
        </is>
      </c>
      <c r="C1750" t="inlineStr">
        <is>
          <t>My right eye hurts when I touch it (for example when I am washing my face in the morning). It also hurts when I move it sideways or when I try to roll my eyes. Because of that, my head also hurts.
I don't have any changes with my vision other then light flashes sometimes when I move my eyes.
I've been to the doctor, he looked my fundus and it's ok, I did OCT and it was ok and my eye pressure was also OK. He prescribed me NSAID eyedrops.
Do you know what could be wrong with it? Thanks for the help</t>
        </is>
      </c>
      <c r="D1750" t="n">
        <v>1</v>
      </c>
      <c r="E1750" t="n">
        <v>2</v>
      </c>
      <c r="F1750">
        <f>HYPERLINK("https://www.reddit.com/r/eyetriage/comments/h8w4yb/eye_hurts_when_i_touch_it_or_when_i_move_it/")</f>
        <v/>
      </c>
      <c r="G1750" t="inlineStr">
        <is>
          <t>2020-06-14 08:45:37</t>
        </is>
      </c>
      <c r="H1750" t="inlineStr"/>
    </row>
    <row r="1751">
      <c r="A1751" t="inlineStr">
        <is>
          <t>h944x9</t>
        </is>
      </c>
      <c r="B1751" t="inlineStr">
        <is>
          <t>Why do i see beams of light when i look at lights</t>
        </is>
      </c>
      <c r="C1751" t="inlineStr">
        <is>
          <t>When i look at any light i see beams of light which i later found out was starburst vision. This just started to happen recently when i biked during the night. Ive never had problems like this in the past and im only 16. Can someone please help solve why i see a cross like beam on lights that i see.</t>
        </is>
      </c>
      <c r="D1751" t="n">
        <v>1</v>
      </c>
      <c r="E1751" t="n">
        <v>3</v>
      </c>
      <c r="F1751">
        <f>HYPERLINK("https://www.reddit.com/r/eyetriage/comments/h944x9/why_do_i_see_beams_of_light_when_i_look_at_lights/")</f>
        <v/>
      </c>
      <c r="G1751" t="inlineStr">
        <is>
          <t>2020-06-14 16:20:19</t>
        </is>
      </c>
      <c r="H1751" t="inlineStr"/>
    </row>
    <row r="1752">
      <c r="A1752" t="inlineStr">
        <is>
          <t>h9d0mq</t>
        </is>
      </c>
      <c r="B1752" t="inlineStr">
        <is>
          <t>Doctor says he's never seen anything like this. Your thoughts? It's a case of macular degeneration. Already booked an appointment at a bigger hospital, but I was wondering if any of you have seen a smiliar case... and if you've got anything comforting to say about it.</t>
        </is>
      </c>
      <c r="C1752" t="inlineStr">
        <is>
          <t>&amp;amp;#x200B;
![img](tug3r534o1551)</t>
        </is>
      </c>
      <c r="D1752" t="n">
        <v>1</v>
      </c>
      <c r="E1752" t="n">
        <v>2</v>
      </c>
      <c r="F1752">
        <f>HYPERLINK("https://www.reddit.com/r/eyetriage/comments/h9d0mq/doctor_says_hes_never_seen_anything_like_this/")</f>
        <v/>
      </c>
      <c r="G1752" t="inlineStr">
        <is>
          <t>2020-06-15 02:39:43</t>
        </is>
      </c>
      <c r="H1752" t="inlineStr"/>
    </row>
    <row r="1753">
      <c r="A1753" t="inlineStr">
        <is>
          <t>h9pyi2</t>
        </is>
      </c>
      <c r="B1753" t="inlineStr">
        <is>
          <t>Can anyone tell me how to research retina surgeons in my area?</t>
        </is>
      </c>
      <c r="C1753" t="inlineStr">
        <is>
          <t>I have to get a vitrectomy unfortunately, and want to make sure I’m seeing the best surgeon. 
I live in Oklahoma if that helps.</t>
        </is>
      </c>
      <c r="D1753" t="n">
        <v>1</v>
      </c>
      <c r="E1753" t="n">
        <v>1</v>
      </c>
      <c r="F1753">
        <f>HYPERLINK("https://www.reddit.com/r/eyetriage/comments/h9pyi2/can_anyone_tell_me_how_to_research_retina/")</f>
        <v/>
      </c>
      <c r="G1753" t="inlineStr">
        <is>
          <t>2020-06-15 15:04:52</t>
        </is>
      </c>
      <c r="H1753" t="inlineStr"/>
    </row>
    <row r="1754">
      <c r="A1754" t="inlineStr">
        <is>
          <t>h9uftp</t>
        </is>
      </c>
      <c r="B1754" t="inlineStr">
        <is>
          <t>Right eyelid slightly swollen, left eye is fine</t>
        </is>
      </c>
      <c r="C1754" t="inlineStr">
        <is>
          <t>Im unable to visit a doctor due to COVID-19. 
But I woke up today to my right eye lid slightly swollen than the left one, on the middle-end part. It doesn't hurt or itch or secrete mucus or anything, its just a little annoying but I don't want it to grow into a stye or anything.
Weird thing is I noticed a small white bump/pimple inside the upper lash line a day back but it went away within a day on its own. 
Two days later, this happens.  I don't know what to do and Im scared.</t>
        </is>
      </c>
      <c r="D1754" t="n">
        <v>1</v>
      </c>
      <c r="E1754" t="n">
        <v>3</v>
      </c>
      <c r="F1754">
        <f>HYPERLINK("https://www.reddit.com/r/eyetriage/comments/h9uftp/right_eyelid_slightly_swollen_left_eye_is_fine/")</f>
        <v/>
      </c>
      <c r="G1754" t="inlineStr">
        <is>
          <t>2020-06-15 19:16:23</t>
        </is>
      </c>
      <c r="H1754" t="inlineStr"/>
    </row>
    <row r="1755">
      <c r="A1755" t="inlineStr">
        <is>
          <t>h9vla7</t>
        </is>
      </c>
      <c r="B1755" t="inlineStr">
        <is>
          <t>Eyestrain when dehydrated</t>
        </is>
      </c>
      <c r="C1755" t="inlineStr">
        <is>
          <t>Hey guys whenever i have not drank water for a few hours , my eyes become tired very quickly in front of a computer and i have eyestrain , i have asked around and this does not seems to affect other people so much as it does me. Anyone knows what this is. I will be seeing a doctor one lockdown ends but when i will tell him this is going to sound like something i have imagined.</t>
        </is>
      </c>
      <c r="D1755" t="n">
        <v>1</v>
      </c>
      <c r="E1755" t="n">
        <v>3</v>
      </c>
      <c r="F1755">
        <f>HYPERLINK("https://www.reddit.com/r/eyetriage/comments/h9vla7/eyestrain_when_dehydrated/")</f>
        <v/>
      </c>
      <c r="G1755" t="inlineStr">
        <is>
          <t>2020-06-15 20:25:05</t>
        </is>
      </c>
      <c r="H1755" t="inlineStr"/>
    </row>
    <row r="1756">
      <c r="A1756" t="inlineStr">
        <is>
          <t>h9w5wn</t>
        </is>
      </c>
      <c r="B1756" t="inlineStr">
        <is>
          <t>Roth's Spot (Retinal Hemorrage) on Left Eye but Blood Results Normal?</t>
        </is>
      </c>
      <c r="C1756" t="inlineStr">
        <is>
          <t>Hi, I hope this is the right place.
I am a 25 year old female. I went for a routine check up at the optometrist and she found a Roth's spot on my left eye. She told me to get my bloods done, blood pressure taken, etc., but the results were all fine. Do I need to go see an ophthalmologist for further examination or should I just leave it? Is there any reasons that a Roth's spot could occur with no systemic problem?
Thank you</t>
        </is>
      </c>
      <c r="D1756" t="n">
        <v>1</v>
      </c>
      <c r="E1756" t="n">
        <v>3</v>
      </c>
      <c r="F1756">
        <f>HYPERLINK("https://www.reddit.com/r/eyetriage/comments/h9w5wn/roths_spot_retinal_hemorrage_on_left_eye_but/")</f>
        <v/>
      </c>
      <c r="G1756" t="inlineStr">
        <is>
          <t>2020-06-15 21:01:22</t>
        </is>
      </c>
      <c r="H1756" t="inlineStr"/>
    </row>
    <row r="1757">
      <c r="A1757" t="inlineStr">
        <is>
          <t>ha8pys</t>
        </is>
      </c>
      <c r="B1757" t="inlineStr">
        <is>
          <t>Is this eye vein normal?</t>
        </is>
      </c>
      <c r="C1757" t="inlineStr">
        <is>
          <t xml:space="preserve"> Hi I have this vein in my eye which is very close to my iris, I am very anxious and I was wondering if this is normal. I have -1.25 and -1.5 myopia. Thank you!
[https://ibb.co/XbyZ0NX](https://ibb.co/XbyZ0NX)
[https://ibb.co/84z60hP](https://ibb.co/84z60hP)
side of the eye: [https://ibb.co/syvzc6q](https://ibb.co/syvzc6q)</t>
        </is>
      </c>
      <c r="D1757" t="n">
        <v>1</v>
      </c>
      <c r="E1757" t="n">
        <v>2</v>
      </c>
      <c r="F1757">
        <f>HYPERLINK("https://www.reddit.com/r/eyetriage/comments/ha8pys/is_this_eye_vein_normal/")</f>
        <v/>
      </c>
      <c r="G1757" t="inlineStr">
        <is>
          <t>2020-06-16 10:40:34</t>
        </is>
      </c>
      <c r="H1757" t="inlineStr"/>
    </row>
    <row r="1758">
      <c r="A1758" t="inlineStr">
        <is>
          <t>hafynw</t>
        </is>
      </c>
      <c r="B1758" t="inlineStr">
        <is>
          <t>Strobe light flash triggered by light, pressure, and standing up</t>
        </is>
      </c>
      <c r="C1758" t="inlineStr">
        <is>
          <t>In 2019 I had my first flare up of posterior uveitis and chorioretinitis,  which has been under control with medication for 1.5 years. My initial symptoms before treatment were very large strobe light flashes when going from dark to bright and floaters. For 6 months on prednisone I didn't really have any flashes and the medication worked. However, about a year ago, when I was tapering off prednisone and onto cyclosporine, I got this new spot in my left eye that has been there ever since. It's a little larger than the size of my fist when my arm is extended. It strobes/flashes black and white, has defined borders, is circular, and is always stationary. 
For some reason it's triggered by 3 things: going from dark to bright lighting, rubbing my eye, and sometimes if I'm lying down or sitting for a while then suddenly stand up. All 3 produce the same effect. It happens for a few seconds each time, maybe 5+ times a day depending on triggers. 
How are these 3 different things triggering the exact same flashin, strobe light circle?? Is it leftover damage from the inflammation? Could it be from my retina veins being "kinky and tortured" ( my doctor says that)? I've never received an answer and I'm so curious.</t>
        </is>
      </c>
      <c r="D1758" t="n">
        <v>1</v>
      </c>
      <c r="E1758" t="n">
        <v>2</v>
      </c>
      <c r="F1758">
        <f>HYPERLINK("https://www.reddit.com/r/eyetriage/comments/hafynw/strobe_light_flash_triggered_by_light_pressure/")</f>
        <v/>
      </c>
      <c r="G1758" t="inlineStr">
        <is>
          <t>2020-06-16 17:02:42</t>
        </is>
      </c>
      <c r="H1758" t="inlineStr"/>
    </row>
    <row r="1759">
      <c r="A1759" t="inlineStr">
        <is>
          <t>haj8yj</t>
        </is>
      </c>
      <c r="B1759" t="inlineStr">
        <is>
          <t>Retina died on the periphery – is anything could be done?</t>
        </is>
      </c>
      <c r="C1759" t="inlineStr">
        <is>
          <t>Dear international Ophthalmology community,
I didn't know where to go with such a question and thought Reddit could be the right place.
My grandfather is going blind, he even had to quit the job several months ago.
He's diagnosis is glaucoma, his retina suffered a lot. His crystalline lens was changed and his vision formally is  -1 or -2. However, he almost can't see due to the fact that the retina died on the periphery.
For Russian doctors, that's a diagnosis no one will work with. I am an outsider to medicine and have no idea about the current med-tech state in this field. I would be very grateful if someone could explain to me if there's anything we can do with such a diagnosis. 
Thank you so very much
Elena</t>
        </is>
      </c>
      <c r="D1759" t="n">
        <v>1</v>
      </c>
      <c r="E1759" t="n">
        <v>5</v>
      </c>
      <c r="F1759">
        <f>HYPERLINK("https://www.reddit.com/r/eyetriage/comments/haj8yj/retina_died_on_the_periphery_is_anything_could_be/")</f>
        <v/>
      </c>
      <c r="G1759" t="inlineStr">
        <is>
          <t>2020-06-16 20:36:29</t>
        </is>
      </c>
      <c r="H1759" t="inlineStr"/>
    </row>
    <row r="1760">
      <c r="A1760" t="inlineStr">
        <is>
          <t>hamo02</t>
        </is>
      </c>
      <c r="B1760" t="inlineStr">
        <is>
          <t>Retinal Detachment Question</t>
        </is>
      </c>
      <c r="C1760" t="inlineStr">
        <is>
          <t>I was trying to join the US army but I was denied  on a possibility  of a retinal  detachment  they said that even if I had prk  suregy  that my -13 eye has a high possibility  of a detacht rentina  is that true ?</t>
        </is>
      </c>
      <c r="D1760" t="n">
        <v>1</v>
      </c>
      <c r="E1760" t="n">
        <v>11</v>
      </c>
      <c r="F1760">
        <f>HYPERLINK("https://www.reddit.com/r/eyetriage/comments/hamo02/retinal_detachment_question/")</f>
        <v/>
      </c>
      <c r="G1760" t="inlineStr">
        <is>
          <t>2020-06-17 00:38:23</t>
        </is>
      </c>
      <c r="H1760" t="inlineStr"/>
    </row>
    <row r="1761">
      <c r="A1761" t="inlineStr">
        <is>
          <t>hau6vb</t>
        </is>
      </c>
      <c r="B1761" t="inlineStr">
        <is>
          <t>Retinal hole discovered in left eye, left eye more blurry this morning after dilation?</t>
        </is>
      </c>
      <c r="C1761" t="inlineStr">
        <is>
          <t>Hello all,
I'm 33, M. Around last Wednesday I noticed some "after image" bursts of light while watching TV, and just generally everywhere there was a lighter source. I went in for an eye exam 2 days ago and with an Optomap machine my optometrist found the following:
"Choroidal nevus about 2DD oval with distinct borders at 12 o clock in mid periphery. Hole at 4 o clock in far periphery with surrounding floaters."
I received a referral letter and saw an ophthalmologist yesterday at Kaiser. They dilated my eyes and did their own exam which confirmed what my optometrist had found. The doctor told me then that he would have me be seen by their retinal specialist next Wednesday the 24th (I was under the impression this was the retinal specialist and that it would be addressed then but it was their own consultation). 
It's been almost 24 hours since my eyes were dilated and this morning I woke up with my left eye a little bit blurrier than yesterday. I'm still seeing those after image flashes. Could the eyedrops they used yesterday still have this effect today? I was very sensitive to light the entire evening yesterday. They used 0.5% proparacaine/2.5% phenylephrine/1% tropicamide. Should I wait for next Wednesday or try to push for a sooner appointment?</t>
        </is>
      </c>
      <c r="D1761" t="n">
        <v>1</v>
      </c>
      <c r="E1761" t="n">
        <v>2</v>
      </c>
      <c r="F1761">
        <f>HYPERLINK("https://www.reddit.com/r/eyetriage/comments/hau6vb/retinal_hole_discovered_in_left_eye_left_eye_more/")</f>
        <v/>
      </c>
      <c r="G1761" t="inlineStr">
        <is>
          <t>2020-06-17 09:09:27</t>
        </is>
      </c>
      <c r="H1761" t="inlineStr"/>
    </row>
    <row r="1762">
      <c r="A1762" t="inlineStr">
        <is>
          <t>hb039n</t>
        </is>
      </c>
      <c r="B1762" t="inlineStr">
        <is>
          <t>Just got very small drop of lysol in eye should I be worried</t>
        </is>
      </c>
      <c r="C1762" t="inlineStr">
        <is>
          <t>I was shaking the bottle to spray and there was a small amount on the top that splashed up and landed on my eye, I put water on my eye for maybe 5 minutes max</t>
        </is>
      </c>
      <c r="D1762" t="n">
        <v>1</v>
      </c>
      <c r="E1762" t="n">
        <v>4</v>
      </c>
      <c r="F1762">
        <f>HYPERLINK("https://www.reddit.com/r/eyetriage/comments/hb039n/just_got_very_small_drop_of_lysol_in_eye_should_i/")</f>
        <v/>
      </c>
      <c r="G1762" t="inlineStr">
        <is>
          <t>2020-06-17 14:03:20</t>
        </is>
      </c>
      <c r="H1762" t="inlineStr"/>
    </row>
    <row r="1763">
      <c r="A1763" t="inlineStr">
        <is>
          <t>hbfce1</t>
        </is>
      </c>
      <c r="B1763" t="inlineStr">
        <is>
          <t>Astigmatism - maybe!</t>
        </is>
      </c>
      <c r="C1763" t="inlineStr">
        <is>
          <t>Hello! I've been wearing contacts for years, but I've never had a crystal clear vision. I just found out that there is such a thing called astigmatism and I think I might have it. Because of the virus situation, I cannot go out and get it tested by a doctor. But, if I were to order a toric lens, and if I didn't have astigmatism, would it be harmful to my eyes?
Also, is there a brand you recommend?
Thanks soooo much for helping!</t>
        </is>
      </c>
      <c r="D1763" t="n">
        <v>1</v>
      </c>
      <c r="E1763" t="n">
        <v>6</v>
      </c>
      <c r="F1763">
        <f>HYPERLINK("https://www.reddit.com/r/eyetriage/comments/hbfce1/astigmatism_maybe/")</f>
        <v/>
      </c>
      <c r="G1763" t="inlineStr">
        <is>
          <t>2020-06-18 07:12:30</t>
        </is>
      </c>
      <c r="H1763" t="inlineStr"/>
    </row>
    <row r="1764">
      <c r="A1764" t="inlineStr">
        <is>
          <t>hbh1vz</t>
        </is>
      </c>
      <c r="B1764" t="inlineStr">
        <is>
          <t>does hypotony (low blood pressure) have an impact of the vision?</t>
        </is>
      </c>
      <c r="C1764" t="inlineStr">
        <is>
          <t>as the title says, im wondering if my low blood pressure is the reason for my
blurred vision?
&amp;amp;#x200B;
edit: hypotension</t>
        </is>
      </c>
      <c r="D1764" t="n">
        <v>2</v>
      </c>
      <c r="E1764" t="n">
        <v>1</v>
      </c>
      <c r="F1764">
        <f>HYPERLINK("https://www.reddit.com/r/eyetriage/comments/hbh1vz/does_hypotony_low_blood_pressure_have_an_impact/")</f>
        <v/>
      </c>
      <c r="G1764" t="inlineStr">
        <is>
          <t>2020-06-18 08:43:13</t>
        </is>
      </c>
      <c r="H1764" t="inlineStr"/>
    </row>
    <row r="1765">
      <c r="A1765" t="inlineStr">
        <is>
          <t>hbkul1</t>
        </is>
      </c>
      <c r="B1765" t="inlineStr">
        <is>
          <t>Foreign body...</t>
        </is>
      </c>
      <c r="C1765" t="inlineStr">
        <is>
          <t>For the past few weeks I’ve had a feeling that something is in my bottom left eye on the bottom eyelid, I went to an ophthalmologist twice, two different doctors, and both of them saw nothing under the lid and the eye itself looked fine. The first one gave me some steroid medicine that I used for a week and it did not get better and this doctor has given me ketrolac, which burns and subsequently makes it feel better for a little while but it comes back. Any idea what this could be?</t>
        </is>
      </c>
      <c r="D1765" t="n">
        <v>1</v>
      </c>
      <c r="E1765" t="n">
        <v>2</v>
      </c>
      <c r="F1765">
        <f>HYPERLINK("https://www.reddit.com/r/eyetriage/comments/hbkul1/foreign_body/")</f>
        <v/>
      </c>
      <c r="G1765" t="inlineStr">
        <is>
          <t>2020-06-18 12:10:46</t>
        </is>
      </c>
      <c r="H1765" t="inlineStr"/>
    </row>
    <row r="1766">
      <c r="A1766" t="inlineStr">
        <is>
          <t>hbndfc</t>
        </is>
      </c>
      <c r="B1766" t="inlineStr">
        <is>
          <t>Blood donation and myopia</t>
        </is>
      </c>
      <c r="C1766" t="inlineStr">
        <is>
          <t>Do people with high myopia (-6 etc.) could to donate blood? Or it is a risk for retinal detachment?
In post soviet union countries blood donation with myopia is restricted. But in the most countries it is not.</t>
        </is>
      </c>
      <c r="D1766" t="n">
        <v>1</v>
      </c>
      <c r="E1766" t="n">
        <v>3</v>
      </c>
      <c r="F1766">
        <f>HYPERLINK("https://www.reddit.com/r/eyetriage/comments/hbndfc/blood_donation_and_myopia/")</f>
        <v/>
      </c>
      <c r="G1766" t="inlineStr">
        <is>
          <t>2020-06-18 14:25:21</t>
        </is>
      </c>
      <c r="H1766" t="inlineStr"/>
    </row>
    <row r="1767">
      <c r="A1767" t="inlineStr">
        <is>
          <t>hc2kz0</t>
        </is>
      </c>
      <c r="B1767" t="inlineStr">
        <is>
          <t>Distracting Peripheral Vision</t>
        </is>
      </c>
      <c r="C1767" t="inlineStr">
        <is>
          <t>Hello! Yesterday, I noticed an interesting phenomenon with my left eye. Whenever I try to focus on an object, my peripheral vision in my left eye becomes distracting, which causes my eyes to look at other objects to the left of me instead of the one I want to focus on. My left eye can still focus on the same object as my right eye, but it becomes difficult to keep my focus on that object. This is accompanied by eye strain, headache, and slightly blurry vision. Sometimes, my vision randomly goes back to normal, and I have none of the mentioned symptoms or issues.  I originally thought I went cross-eyed, but my eyes still move together and they can both focus on the same object. I plan on visiting a doctor as soon as possible, but can anyone tell me what is going on exactly?</t>
        </is>
      </c>
      <c r="D1767" t="n">
        <v>1</v>
      </c>
      <c r="E1767" t="n">
        <v>0</v>
      </c>
      <c r="F1767">
        <f>HYPERLINK("https://www.reddit.com/r/eyetriage/comments/hc2kz0/distracting_peripheral_vision/")</f>
        <v/>
      </c>
      <c r="G1767" t="inlineStr">
        <is>
          <t>2020-06-19 08:21:20</t>
        </is>
      </c>
      <c r="H1767" t="inlineStr"/>
    </row>
    <row r="1768">
      <c r="A1768" t="inlineStr">
        <is>
          <t>hc5bvt</t>
        </is>
      </c>
      <c r="B1768" t="inlineStr">
        <is>
          <t>I can feel my punctal plugs when I look inward?</t>
        </is>
      </c>
      <c r="C1768" t="inlineStr">
        <is>
          <t>I just got punctal plugs today for my dry eye. No problems other that I get an itchy/sorta sharp sensation when I look inward towards the plug. Whenever I look to the side it is kinda irritating. Will this go away with time? The opthomologist said I might feel "pressure" the first day or so but it will go away. This isn't pressure it's more like a foreign body sensation. I'm also very sensitive but I hope my eyelids and eyes adjust? Is this normal?
edit: the inner corners of my eyes (the whites) are also quite red now on both sides, from the inner corner of the iris all the way into the tear duct</t>
        </is>
      </c>
      <c r="D1768" t="n">
        <v>2</v>
      </c>
      <c r="E1768" t="n">
        <v>2</v>
      </c>
      <c r="F1768">
        <f>HYPERLINK("https://www.reddit.com/r/eyetriage/comments/hc5bvt/i_can_feel_my_punctal_plugs_when_i_look_inward/")</f>
        <v/>
      </c>
      <c r="G1768" t="inlineStr">
        <is>
          <t>2020-06-19 10:52:44</t>
        </is>
      </c>
      <c r="H1768" t="inlineStr"/>
    </row>
    <row r="1769">
      <c r="A1769" t="inlineStr">
        <is>
          <t>hc8hfi</t>
        </is>
      </c>
      <c r="B1769" t="inlineStr">
        <is>
          <t>Higher Order Aberrations help</t>
        </is>
      </c>
      <c r="C1769" t="inlineStr">
        <is>
          <t>I’m somewhat at the end of my rope here; it’s been an incredibly tough few years. I’m currently suffering from post-LASIK issues, specifically irregular astigmatism/higher order aberrations and it is SEVERE.
I’ve tried dry eye solutions (it’s not dry eye) like plugs, steroidal drops, and Xiidra. I’ve tried astigmatic solutions like RGP lenses (twice) and even a scleral lens (PROSE) but they seemingly made my vision worse.
I’m feeling like maybe I need to see someone that specifically specializes in this condition because all I seem to be getting are the same tired answers from skeptical, half-interested doctors. Would anyone be able to point me in the right direction? Thanks.</t>
        </is>
      </c>
      <c r="D1769" t="n">
        <v>1</v>
      </c>
      <c r="E1769" t="n">
        <v>9</v>
      </c>
      <c r="F1769">
        <f>HYPERLINK("https://www.reddit.com/r/eyetriage/comments/hc8hfi/higher_order_aberrations_help/")</f>
        <v/>
      </c>
      <c r="G1769" t="inlineStr">
        <is>
          <t>2020-06-19 13:49:03</t>
        </is>
      </c>
      <c r="H1769" t="inlineStr"/>
    </row>
    <row r="1770">
      <c r="A1770" t="inlineStr">
        <is>
          <t>hc8umi</t>
        </is>
      </c>
      <c r="B1770" t="inlineStr">
        <is>
          <t>Conjunctival cyst removal</t>
        </is>
      </c>
      <c r="C1770" t="inlineStr">
        <is>
          <t>I have got a conjunctival cyst for several months. It is usually very small or unnoticeable when i wake up but gradually gets bigger when the day unfolds and become quite visible. I have been to several ophtalmologists and they said it must be removed. I read on the internet that there are two ways to remove it : by scalpel or laser.  It seems the best way to do it so it does not re occur is to use the laser. But i asked all ophtologists i know, sent emails inquiring to others and they all replied that they use scalpel but not laser. What do you think? Thank you</t>
        </is>
      </c>
      <c r="D1770" t="n">
        <v>1</v>
      </c>
      <c r="E1770" t="n">
        <v>1</v>
      </c>
      <c r="F1770">
        <f>HYPERLINK("https://www.reddit.com/r/eyetriage/comments/hc8umi/conjunctival_cyst_removal/")</f>
        <v/>
      </c>
      <c r="G1770" t="inlineStr">
        <is>
          <t>2020-06-19 14:11:53</t>
        </is>
      </c>
      <c r="H1770" t="inlineStr"/>
    </row>
    <row r="1771">
      <c r="A1771" t="inlineStr">
        <is>
          <t>hcaxgx</t>
        </is>
      </c>
      <c r="B1771" t="inlineStr">
        <is>
          <t>Is a vitrectomy a safe surgery?</t>
        </is>
      </c>
      <c r="C1771" t="inlineStr">
        <is>
          <t>I have to get a vitrectomy and a membrane peal next week because of a hemorrhage due to scar tissue for retinopathy. Is this a relatively safe surgery? I tend to come across horror stories on the internet for retinal detachments, but nothing in regards to my situation. Thank you for the response. I just wanted more info on the surgery outcomes because my retina specialist  is too busy to talk to me before hand.
I’m the sole provider for my family and am really scared right now.</t>
        </is>
      </c>
      <c r="D1771" t="n">
        <v>1</v>
      </c>
      <c r="E1771" t="n">
        <v>7</v>
      </c>
      <c r="F1771">
        <f>HYPERLINK("https://www.reddit.com/r/eyetriage/comments/hcaxgx/is_a_vitrectomy_a_safe_surgery/")</f>
        <v/>
      </c>
      <c r="G1771" t="inlineStr">
        <is>
          <t>2020-06-19 16:07:02</t>
        </is>
      </c>
      <c r="H1771" t="inlineStr"/>
    </row>
    <row r="1772">
      <c r="A1772" t="inlineStr">
        <is>
          <t>hce3wg</t>
        </is>
      </c>
      <c r="B1772" t="inlineStr">
        <is>
          <t>Is my retina detaching?</t>
        </is>
      </c>
      <c r="C1772" t="inlineStr">
        <is>
          <t>18M here, so 4 days ago I had a bad dull headache in the back of my head from using my computer, gaming, and watching TV. I recall my vision flickering twice but thought it was me blinking. I also had eye strain. But it went away after a day. 
Today, around 3PM, I’ve had 2 flashes of light in my peripheral vision. And right now, I had a longer flickering moment while I was in my room but it could’ve been my lightbulb. 
Overall, I’m worried  and wondering if I should go to a doctor or ER ASAP. 
NOTE: I’ve had floaters for years and nothing wrong. 
NOTE 2: I just noticed another flash.</t>
        </is>
      </c>
      <c r="D1772" t="n">
        <v>1</v>
      </c>
      <c r="E1772" t="n">
        <v>13</v>
      </c>
      <c r="F1772">
        <f>HYPERLINK("https://www.reddit.com/r/eyetriage/comments/hce3wg/is_my_retina_detaching/")</f>
        <v/>
      </c>
      <c r="G1772" t="inlineStr">
        <is>
          <t>2020-06-19 19:29:32</t>
        </is>
      </c>
      <c r="H1772" t="inlineStr"/>
    </row>
    <row r="1773">
      <c r="A1773" t="inlineStr">
        <is>
          <t>hcep21</t>
        </is>
      </c>
      <c r="B1773" t="inlineStr">
        <is>
          <t>Constant fear of retinal detachment.</t>
        </is>
      </c>
      <c r="C1773" t="inlineStr">
        <is>
          <t xml:space="preserve">
Not looking for any diagnosis but in a time needing support.
I'm 23(M) and high myope (-6.00). In the past 2 months I have experienced floaters/flashes which have resulted in 5 (small) retinal tears. I've probably been to the ophthalmologist 6 times during this time. First time was 1 small tear which had a bit of lifting next to a blood vessel and the other 4 were discovered on a different day although smaller compared to first and more in the periphery with the vitreous still attached. All have been lasered. Everytime my vitreous changes there's a tear.
I'm constantly in fear and thinking in the next 50 years there may be a time where I may miss a symptom and it'd be too late.
I'm trying to look on the bright side wherever possible. 5 retinal tears? Atleast I caught them in time. I know what to look out for, plus if I have had laser done in those areas they would form good adhesion reducing risks of RD starting from those areas in the future etc. My doctor is one of the top in his field but he is 1 hour away from me which makes visiting him for every so frequent flash I experience exhausting but mandatory.
How to cope?
Any words of wisdom or statistics will help...
Many thanks</t>
        </is>
      </c>
      <c r="D1773" t="n">
        <v>1</v>
      </c>
      <c r="E1773" t="n">
        <v>2</v>
      </c>
      <c r="F1773">
        <f>HYPERLINK("https://www.reddit.com/r/eyetriage/comments/hcep21/constant_fear_of_retinal_detachment/")</f>
        <v/>
      </c>
      <c r="G1773" t="inlineStr">
        <is>
          <t>2020-06-19 20:11:42</t>
        </is>
      </c>
      <c r="H1773" t="inlineStr"/>
    </row>
    <row r="1774">
      <c r="A1774" t="inlineStr">
        <is>
          <t>hcp3gt</t>
        </is>
      </c>
      <c r="B1774" t="inlineStr">
        <is>
          <t>Question about Severe Myopia</t>
        </is>
      </c>
      <c r="C1774" t="inlineStr">
        <is>
          <t>I have severe myopia (-8.00) in each eye with astigmatism. I began wearing contacts in high school (don’t remember what my prescription was when i started) but it has increased almost yearly. The last two years it’s remained at -8.00 however. Each year I jokingly ask my optometrist if I’m going to go blind and they always say no it’ll stabilize... but I’m almost 32. I feel like it should have stabilized by now?
Unfortunately today I came across an article on retinal detachment and am now very concerned as this elevated risk has never been discussed with me.
I guess what I want to know is— how do I know if my myopia is indeed progressive/degenerative/pathological?
Does the fact that it’s generally getting worse every couple years mean it is?
If it is progressive/degenerative/pathological, does that mean I will eventually go blind?
Is -8.00 all that concerning?
Should I be concerned that my eye doctor never mentioned retinal detachment to me before?</t>
        </is>
      </c>
      <c r="D1774" t="n">
        <v>1</v>
      </c>
      <c r="E1774" t="n">
        <v>6</v>
      </c>
      <c r="F1774">
        <f>HYPERLINK("https://www.reddit.com/r/eyetriage/comments/hcp3gt/question_about_severe_myopia/")</f>
        <v/>
      </c>
      <c r="G1774" t="inlineStr">
        <is>
          <t>2020-06-20 09:26:11</t>
        </is>
      </c>
      <c r="H1774" t="inlineStr"/>
    </row>
    <row r="1775">
      <c r="A1775" t="inlineStr">
        <is>
          <t>hd1whx</t>
        </is>
      </c>
      <c r="B1775" t="inlineStr">
        <is>
          <t>is cequa right for me?</t>
        </is>
      </c>
      <c r="C1775" t="inlineStr">
        <is>
          <t>i'm currently 19 female. around 3 years ago i was diagnosed with a severe case of pterygium(s?) in both eyes and the growths were pretty large, or at least that's what the doctors said when they examined me. in december of 2018 i got my first surgery for my left eye, then my right eye a few months after. in a follow up appointment we also identified that i do in fact have chronic dry eyes. since the surgeries i've been on artificial tears and restasis. 
i recently did a checkup with my surgeon just to see how the eyes are doing. i did tell them that restasis was making my eyes feel a bit weird, so i was given samples of cequa and instructed to use it. however, these drops are even more irritating than restasis, just in a different way.. it stings for a LONG time, makes my eyes water, and actually makes my eyes feel even drier..it is not refreshing at all, even after following up with my artificial tears. it's only my second day using this.
should i continue usage? is this normal? i looked up side effects and it did say stinging, but i don't know if it should be this severe...i am not very familiar with cequa and didn't have much time to ask at the appointment, everyone seemed to be in a rush to get people in and out with corona happening and all. any input is appreciated!</t>
        </is>
      </c>
      <c r="D1775" t="n">
        <v>1</v>
      </c>
      <c r="E1775" t="n">
        <v>3</v>
      </c>
      <c r="F1775">
        <f>HYPERLINK("https://www.reddit.com/r/eyetriage/comments/hd1whx/is_cequa_right_for_me/")</f>
        <v/>
      </c>
      <c r="G1775" t="inlineStr">
        <is>
          <t>2020-06-20 23:10:24</t>
        </is>
      </c>
      <c r="H1775" t="inlineStr"/>
    </row>
    <row r="1776">
      <c r="A1776" t="inlineStr">
        <is>
          <t>hd67dn</t>
        </is>
      </c>
      <c r="B1776" t="inlineStr">
        <is>
          <t>Diplopia. Can I fix it?</t>
        </is>
      </c>
      <c r="C1776" t="inlineStr">
        <is>
          <t>Hello. I am 24. My problem is this - since 2015 doubles in the eyes horizontally. It began absolutely abruptly. Doubles if you look into the distance, I think a little more than a meter. If one eye is closed, it becomes visible normally. I went to a neurologist and an optometrist many times, which was essentially useless. Assigned some injections, did not help. I admit that the problem may be in the cervical spine, ie, cervical osteochondrosis. I heard that there are glasses (Fresnel lenses?) That can fix this (?), But I have no idea where to get them, the doctors also did not even hear about them. Vision itself is also poor (-4? The optometrist doesn’t even tell me diopters :D, but this is the least concern). MRI is fine. In General, I will be glad if you give advice on how to fix my vision in my case, because I already do not know what to do.
p.s No, this is not a squint :D</t>
        </is>
      </c>
      <c r="D1776" t="n">
        <v>1</v>
      </c>
      <c r="E1776" t="n">
        <v>6</v>
      </c>
      <c r="F1776">
        <f>HYPERLINK("https://www.reddit.com/r/eyetriage/comments/hd67dn/diplopia_can_i_fix_it/")</f>
        <v/>
      </c>
      <c r="G1776" t="inlineStr">
        <is>
          <t>2020-06-21 05:32:57</t>
        </is>
      </c>
      <c r="H1776" t="inlineStr"/>
    </row>
    <row r="1777">
      <c r="A1777" t="inlineStr">
        <is>
          <t>hdam6o</t>
        </is>
      </c>
      <c r="B1777" t="inlineStr">
        <is>
          <t>Vitreous hemorrhage question for medical experts or past patients</t>
        </is>
      </c>
      <c r="C1777" t="inlineStr">
        <is>
          <t>My first vitreous hemorrhage was a year ago.  Several over the next four months.
I saw an optometrist twice, then a retina specialist, and an ophthalmologist, each three times.  I've also posted here several times.
And I've accepted and followed the advice I've been give by each doctor, and here, and appreciate every reply.
My last appointment was with a retina specialist six months ago, who said I didn't need to return unless I saw the tell-tale "curtain."  He said I may even see what looks like new hemorrhages, but without the "curtain" it would likely be the collected blood from previous bleeds just moving around.  
It's been six months, and the blood has slowly disappeared (been absorbed) to the point I can see fine, but there was still a small(er) pool of blood in the top of my visual field.
Yesterday, six months since the last hemorrhage and visit with the retina specialist, I had what I think was another hemorrhage.  The blood is mostly gone from my visual field, but I'm really worried.  I thought this nightmare was over, even though the remaining pooled blood was still present, although reduced every month.
My ophthalmologist as of a month ago wasn't seeing patients unless it was an emergency.  I've got a call into his office, but haven't yet received a reply.
Edit:  I am not diabetic.
Bottom line:  Is my experience that atypical?  Can I assume/hope it's just the remnant blood that hasn't been absorbed yet, or is this a new hemorrhage, and I need a vitrectomy, or something more serious?
To say I'm freaking out again is an understatement.  I don't even know if I'll get a call back by tomorrow.
Edit: I am not diabetic.</t>
        </is>
      </c>
      <c r="D1777" t="n">
        <v>1</v>
      </c>
      <c r="E1777" t="n">
        <v>10</v>
      </c>
      <c r="F1777">
        <f>HYPERLINK("https://www.reddit.com/r/eyetriage/comments/hdam6o/vitreous_hemorrhage_question_for_medical_experts/")</f>
        <v/>
      </c>
      <c r="G1777" t="inlineStr">
        <is>
          <t>2020-06-21 10:18:24</t>
        </is>
      </c>
      <c r="H1777" t="inlineStr"/>
    </row>
    <row r="1778">
      <c r="A1778" t="inlineStr">
        <is>
          <t>hdehxl</t>
        </is>
      </c>
      <c r="B1778" t="inlineStr">
        <is>
          <t>Help me please!</t>
        </is>
      </c>
      <c r="C1778" t="inlineStr">
        <is>
          <t>Help me please, i don't know what's happening to my vision.
Everything is looking two dimensional for me despite having a good binocular vision.
I'am actually able to see stereograms which confirms this.
Tv screen and computer screen are just 2D with little depth to it.
Trees and many other things are also flat and 2D especially when they are a little bit far.
what could this be?</t>
        </is>
      </c>
      <c r="D1778" t="n">
        <v>1</v>
      </c>
      <c r="E1778" t="n">
        <v>8</v>
      </c>
      <c r="F1778">
        <f>HYPERLINK("https://www.reddit.com/r/eyetriage/comments/hdehxl/help_me_please/")</f>
        <v/>
      </c>
      <c r="G1778" t="inlineStr">
        <is>
          <t>2020-06-21 14:04:08</t>
        </is>
      </c>
      <c r="H1778" t="inlineStr"/>
    </row>
    <row r="1779">
      <c r="A1779" t="inlineStr">
        <is>
          <t>hdfu2q</t>
        </is>
      </c>
      <c r="B1779" t="inlineStr">
        <is>
          <t>I have keratoconus and I will be undergoing cross linking surgery for my right eye next friday, but I was wondering if I can swim prior to it.</t>
        </is>
      </c>
      <c r="C1779" t="inlineStr">
        <is>
          <t>I just finished building a pool and wanted to get in, but apparently i need to avoid eye pressure so my keratoconus doesnt advance to stage 4 and can be fixed only by cornea transplant. My question is, is swimming gonna be dangerous due to my situation?</t>
        </is>
      </c>
      <c r="D1779" t="n">
        <v>1</v>
      </c>
      <c r="E1779" t="n">
        <v>2</v>
      </c>
      <c r="F1779">
        <f>HYPERLINK("https://www.reddit.com/r/eyetriage/comments/hdfu2q/i_have_keratoconus_and_i_will_be_undergoing_cross/")</f>
        <v/>
      </c>
      <c r="G1779" t="inlineStr">
        <is>
          <t>2020-06-21 15:20:51</t>
        </is>
      </c>
      <c r="H1779" t="inlineStr"/>
    </row>
    <row r="1780">
      <c r="A1780" t="inlineStr">
        <is>
          <t>hdigmd</t>
        </is>
      </c>
      <c r="B1780" t="inlineStr">
        <is>
          <t>Should I seek treatment for CRVO?</t>
        </is>
      </c>
      <c r="C1780" t="inlineStr">
        <is>
          <t>Tldr; healthy 38 y/o male with CRVO, what treatment should I seek (if any) for CRVO? How often do people recover without treatment? If I seek treatment is it necessary I get it ASAP or can it wait for me to get back to the US?
Hi! I had a sudden bout of Central Retinal Vein Occlusion happen on Friday afternoon. I was sitting at my computer and very suddenly my right eye became very light sensitive and then I these giant color blocks obscured my vision along with clouds in my periphery. I couldn't read or see any details but my vision remained basically the same as far as focus is concerned.
I'm an American visiting my fiancee in Northern Ireland, so out of my element a bit in dealing with the NHS and she can't come with me due to covid. The eye doctor at the hospital diagnosed me with central retinal vein occlusion and told me to prepare for losing some of the sight in my right eye. He said the treatment options were basically a last resort rather than what they go to first. He also said because I'm young and don't have any risk factors I should recover fairly quickly (few weeks).
Reading about this I just want some clarity. Is treatment for CRVO necessary? How often do people recover without treatment? If I seek treatment is it necessary I get it ASAP or can it wait for me to get back to the US?
I realize I am opening myself to myriad opinions but I just wonder if I'm not selling myself short and likely going to end up with way worse issues by not seeking treatment.
I'm a 38 man, non-diabetic, low blood pressure, low chloresterol, average weight/height. I don't smoke or do drugs. I drink less than a serving of alcohol a day and only very rarely drink excessively.
Thanks to anyone for taking the time to respond!</t>
        </is>
      </c>
      <c r="D1780" t="n">
        <v>1</v>
      </c>
      <c r="E1780" t="n">
        <v>6</v>
      </c>
      <c r="F1780">
        <f>HYPERLINK("https://www.reddit.com/r/eyetriage/comments/hdigmd/should_i_seek_treatment_for_crvo/")</f>
        <v/>
      </c>
      <c r="G1780" t="inlineStr">
        <is>
          <t>2020-06-21 18:12:01</t>
        </is>
      </c>
      <c r="H1780" t="inlineStr"/>
    </row>
    <row r="1781">
      <c r="A1781" t="inlineStr">
        <is>
          <t>hdirn3</t>
        </is>
      </c>
      <c r="B1781" t="inlineStr">
        <is>
          <t>Pupils are unequal sizes?</t>
        </is>
      </c>
      <c r="C1781" t="inlineStr">
        <is>
          <t>**Concern/Question:** So by random chance I was looking at old pictures of myself as a kid, and noticed that in every photo, my left pupil is much larger than my right. These pictures are from when I was around age 5. Recently I've noticed my pupils are doing this again, but I wasn't able to get a picture. Why were/are my eyes doing this?
**History:** At the time of these photos, I had pretty severe diplopia, and amblyopia (did patching for a year). Since then I've been diagnosed with nystagmus, convergence insufficiency, strabismus, hypermetropia, astigmatism, stereoblindness, and Hypo-accommodations for hypermetropia (I have no idea what the last one means). I've done vision therapy throughout my life to help with the diplopia, and now have good conscious control over diverging and converging, but my brain often suppresses one of my eyes (switches randomly between the two). I have prism lenses which helps. I've had many brain MRI's, and nothing is abnormal except for a mild chiari malformation. I have no idea if any of that info is helpful, but thought I would add it just in case. 
https://preview.redd.it/m19owzgl4d651.png?width=1146&amp;amp;format=png&amp;amp;auto=webp&amp;amp;s=80f84d99842e4dcfcd1c4d5433b2b365de787f86</t>
        </is>
      </c>
      <c r="D1781" t="n">
        <v>1</v>
      </c>
      <c r="E1781" t="n">
        <v>11</v>
      </c>
      <c r="F1781">
        <f>HYPERLINK("https://www.reddit.com/r/eyetriage/comments/hdirn3/pupils_are_unequal_sizes/")</f>
        <v/>
      </c>
      <c r="G1781" t="inlineStr">
        <is>
          <t>2020-06-21 18:33:06</t>
        </is>
      </c>
      <c r="H1781" t="inlineStr"/>
    </row>
    <row r="1782">
      <c r="A1782" t="inlineStr">
        <is>
          <t>hdsf6z</t>
        </is>
      </c>
      <c r="B1782" t="inlineStr">
        <is>
          <t>Sudden white dot and pain on iris</t>
        </is>
      </c>
      <c r="C1782" t="inlineStr">
        <is>
          <t>I don’t want to have to leave my apartment if I don’t need to, as I have asthma. 
Just this morning I woke up and had a lot of discomfort and itchiness in my eye. I kept trying to ignore it and then it turned into a needle point type of pain and I got up to check my eye after minimal rubbing. I found a little white dot on my iris that has never been there before. I tried to move it with my bottom eyelid and then finger (after washing my hand well) but it did not move. It looks as though it’s underneath the surface. This made a little concerned but I don’t know if I should make an appointment to see an eye doctor. My eye still hurts and itches but I don’t know if this is something that will pass or just a foreign body. 
I try to never rub my eyes or anything because my mom told me that’s how you get cataracts (or something idk I was really young but it stuck with me). I also don’t wear contacts. I know the dot wasn’t there before because I do a lot of makeup and I’m usually up close to a mirror for that. That being said I haven’t worn makeup at all during quarantine. 
I really appreciate any sort of response from anyone that knows about eyes.</t>
        </is>
      </c>
      <c r="D1782" t="n">
        <v>1</v>
      </c>
      <c r="E1782" t="n">
        <v>5</v>
      </c>
      <c r="F1782">
        <f>HYPERLINK("https://www.reddit.com/r/eyetriage/comments/hdsf6z/sudden_white_dot_and_pain_on_iris/")</f>
        <v/>
      </c>
      <c r="G1782" t="inlineStr">
        <is>
          <t>2020-06-22 06:33:38</t>
        </is>
      </c>
      <c r="H1782" t="inlineStr"/>
    </row>
    <row r="1783">
      <c r="A1783" t="inlineStr">
        <is>
          <t>hdz7qq</t>
        </is>
      </c>
      <c r="B1783" t="inlineStr">
        <is>
          <t>Eye floaters and Sinus infection/Sinusitis</t>
        </is>
      </c>
      <c r="C1783" t="inlineStr">
        <is>
          <t>I've struggled with Sinus problems and Eustacian Tube issues. I developed eye floaters during this. I was convinced this was the source of my eye floaters. I went to an eye doctor and he said Sinus problems can't cause eye floaters. I was wondering why can't it? Sinus issues often put pressure on the eyes. It can can cause other eye problems such as blurry vision. I've seen a few posts from people who developed eye floaters around the time of a Sinus infection. I have yet to find an explanation on this.</t>
        </is>
      </c>
      <c r="D1783" t="n">
        <v>2</v>
      </c>
      <c r="E1783" t="n">
        <v>0</v>
      </c>
      <c r="F1783">
        <f>HYPERLINK("https://www.reddit.com/r/eyetriage/comments/hdz7qq/eye_floaters_and_sinus_infectionsinusitis/")</f>
        <v/>
      </c>
      <c r="G1783" t="inlineStr">
        <is>
          <t>2020-06-22 12:39:45</t>
        </is>
      </c>
      <c r="H1783" t="inlineStr"/>
    </row>
    <row r="1784">
      <c r="A1784" t="inlineStr">
        <is>
          <t>hdzsax</t>
        </is>
      </c>
      <c r="B1784" t="inlineStr">
        <is>
          <t>Appointment with a specialist tomorrow for a possible detached retina</t>
        </is>
      </c>
      <c r="C1784" t="inlineStr">
        <is>
          <t>I found out last week that I have a tear on my retina. Today I woke up with a half moon shaped black curtain obscuring my vision. I know I won’t know until tomorrow, but if my retina is detaching (already detached?) will they want to do a procedure right then and there during the office visit? Or likely make an appointment for me to come back? Just want to be mentally prepared. Thanks</t>
        </is>
      </c>
      <c r="D1784" t="n">
        <v>4</v>
      </c>
      <c r="E1784" t="n">
        <v>11</v>
      </c>
      <c r="F1784">
        <f>HYPERLINK("https://www.reddit.com/r/eyetriage/comments/hdzsax/appointment_with_a_specialist_tomorrow_for_a/")</f>
        <v/>
      </c>
      <c r="G1784" t="inlineStr">
        <is>
          <t>2020-06-22 13:09:59</t>
        </is>
      </c>
      <c r="H1784" t="inlineStr"/>
    </row>
    <row r="1785">
      <c r="A1785" t="inlineStr">
        <is>
          <t>he05m5</t>
        </is>
      </c>
      <c r="B1785" t="inlineStr">
        <is>
          <t>Can someone ELI5 cataract surgery &amp;amp; recovery risks for my grandmother?</t>
        </is>
      </c>
      <c r="C1785" t="inlineStr">
        <is>
          <t>Grandma has finally decided to get her cataracts done, and I'll be her ride home and regular caretaker during recovery.
I know a bare minimum about ophthalmology, and have no idea how to help her decision-making process - whether to go with drops or dropless (intracameral injection) for recovery. The main complications present are:
1. CoViD-19 and incidence of infection in surgical settings
2. Her penicillin allergy
To conclude, we're looking for any advice y'all have concerning the risks associated with recovery from outpatient cataract surgery.
Thanks!</t>
        </is>
      </c>
      <c r="D1785" t="n">
        <v>1</v>
      </c>
      <c r="E1785" t="n">
        <v>1</v>
      </c>
      <c r="F1785">
        <f>HYPERLINK("https://www.reddit.com/r/eyetriage/comments/he05m5/can_someone_eli5_cataract_surgery_recovery_risks/")</f>
        <v/>
      </c>
      <c r="G1785" t="inlineStr">
        <is>
          <t>2020-06-22 13:29:58</t>
        </is>
      </c>
      <c r="H1785" t="inlineStr"/>
    </row>
    <row r="1786">
      <c r="A1786" t="inlineStr">
        <is>
          <t>he4kd9</t>
        </is>
      </c>
      <c r="B1786" t="inlineStr">
        <is>
          <t>Can flashing vein-like artifacts be an indicative of problems in the retinal blood vessels?</t>
        </is>
      </c>
      <c r="C1786" t="inlineStr">
        <is>
          <t>I have recurrent sinus infections and lately I've been with a ton of pressure inside my head causing pain in my eyes, but I'm particularly worried about my left eye.
My left eye in particular hurt a lot one of these days, and before that (about 10 days ago) and extending to this day, I've been seeing a thin, colored (generally red/orange) and bright figure flash near the center of my left eye vision (it appears and fades within half a second or so). It's always a little bit below the center of the visual field, not more than 5° away.
The figure looks like a segment of a blood vessel, the brightest part is perceptibly tortuous and the edges of this seem to continue to something that doesn't get revealed during the flash.
I used a flashlight at the border of my vision to see the shadows of the blood vessels in my retina (constantly wobbling the flashlight to keeping them from fading away) and I tried to see if there was anything glaringly wrong, but it looks normal.
I don't know if that could reveal anything unless if it was really catastrophic, but at least I know nothing is so wrong.
I also did some blind spot checks (in both eyes) to see if there were any new blind spots or obscured regions near the center of my vision (I could only cover a radius of 30° around the center) and I only found the blind points that were supposed to exist.
Is there any reason I should still be worried?
Should I fear some vascular problem due to that figure or that isn't indicative of anything by itself?
Thanks.</t>
        </is>
      </c>
      <c r="D1786" t="n">
        <v>1</v>
      </c>
      <c r="E1786" t="n">
        <v>1</v>
      </c>
      <c r="F1786">
        <f>HYPERLINK("https://www.reddit.com/r/eyetriage/comments/he4kd9/can_flashing_veinlike_artifacts_be_an_indicative/")</f>
        <v/>
      </c>
      <c r="G1786" t="inlineStr">
        <is>
          <t>2020-06-22 17:43:58</t>
        </is>
      </c>
      <c r="H1786" t="inlineStr"/>
    </row>
    <row r="1787">
      <c r="A1787" t="inlineStr">
        <is>
          <t>hebjxo</t>
        </is>
      </c>
      <c r="B1787" t="inlineStr">
        <is>
          <t>I warm compressed my eyes too hard and a couple hours later I started to get some issues</t>
        </is>
      </c>
      <c r="C1787" t="inlineStr">
        <is>
          <t>I warm compressed my eyes for 10 minutes but the product I used and the strap with my big head made a lot of pressure on my eyes that I should have adjusted. A couple hours later I got eye pain towards the back  and headaches that come and go. nothing I've gotten so far I would describe as extreme pain or extreme headache. Later in the day it's like there's a buildup of tension at my temples, especially after I eat I notice it I realise now I probably increased the pressure or something with the warm compress. Additionally, I notice it's like if I  close my eyes hard it's more noticeable almost like I have bulging eyes but when I look in the mirror I don't notice any big difference. I would rather avoid an appointment because I came in multiple times already this year.  Can someone tell what's what's going on? A family member of mine uses zioptan, they do not have glaucoma but have higher pressure or something so was advised to take it anyways.  should I consider taking that for a couple days?</t>
        </is>
      </c>
      <c r="D1787" t="n">
        <v>1</v>
      </c>
      <c r="E1787" t="n">
        <v>2</v>
      </c>
      <c r="F1787">
        <f>HYPERLINK("https://www.reddit.com/r/eyetriage/comments/hebjxo/i_warm_compressed_my_eyes_too_hard_and_a_couple/")</f>
        <v/>
      </c>
      <c r="G1787" t="inlineStr">
        <is>
          <t>2020-06-23 02:36:01</t>
        </is>
      </c>
      <c r="H1787" t="inlineStr"/>
    </row>
    <row r="1788">
      <c r="A1788" t="inlineStr">
        <is>
          <t>hedtct</t>
        </is>
      </c>
      <c r="B1788" t="inlineStr">
        <is>
          <t>Pre-lasik eye exam revealed some concerns</t>
        </is>
      </c>
      <c r="C1788" t="inlineStr">
        <is>
          <t>I can handle the mild-moderate dry eye with some warm compresses and drops.  I can manage the mild blepharitis with lid wipes and the dry eye treatment.
However, she mentioned that (and I'm trying to remember exactly what she said here) apparently my ocular nerves are implanted slightly off centre in both eyes.  She said this could be a variant of normal, just how my eyes grew or it could be a sign of more concerning issues like neurological issues.  I've been having eye exams since I was a child and wearing glasses since I was 8 or 9.  No one else has ever noted this.  I'm going back to have a visual field test in two weeks.  Anyone have any insight to what exactly the concerns might be, how likely they are given this has never been noted before and what other testing might be necessary?  I can't quite understand what the visual field test will tell her about the source of the irregularity.  
&amp;amp;#x200B;
Also - will this interfere (or should this interfere) with my Lasik procedure scheduled for July 24?
&amp;amp;#x200B;
Thanks in advance</t>
        </is>
      </c>
      <c r="D1788" t="n">
        <v>1</v>
      </c>
      <c r="E1788" t="n">
        <v>10</v>
      </c>
      <c r="F1788">
        <f>HYPERLINK("https://www.reddit.com/r/eyetriage/comments/hedtct/prelasik_eye_exam_revealed_some_concerns/")</f>
        <v/>
      </c>
      <c r="G1788" t="inlineStr">
        <is>
          <t>2020-06-23 05:35:31</t>
        </is>
      </c>
      <c r="H1788" t="inlineStr"/>
    </row>
    <row r="1789">
      <c r="A1789" t="inlineStr">
        <is>
          <t>heka8v</t>
        </is>
      </c>
      <c r="B1789" t="inlineStr">
        <is>
          <t>Full spectrum CBD and high IOP - concerned</t>
        </is>
      </c>
      <c r="C1789" t="inlineStr">
        <is>
          <t>I know this is a tough question as the study is new and there haven’t been more. But I wanted to get some feedback on CBD and glaucoma. I don’t have glaucoma, but my eye pressure runs boarder line high so they check it and a few other vision tests every visit.
The study shows CBD alone (in eye drop form) raises pressure. Studies show that THC + CBD lowers pressure - is the THC in full spectrum enough for this effect? Any first hand accounts from people who take CBD and have high IOP already, or at least get checked frequently?
It helps my anxiety a lot, but not worth blindness. Wondering also if it’s only dangerous if it’s daily dosing, or maybe I could reduce doses etc. any feedback appreciated!
Here is the study: [https://www.sciencedaily.com/releases/2018/12/181217151537.htm](https://www.sciencedaily.com/releases/2018/12/181217151537.htm)</t>
        </is>
      </c>
      <c r="D1789" t="n">
        <v>1</v>
      </c>
      <c r="E1789" t="n">
        <v>0</v>
      </c>
      <c r="F1789">
        <f>HYPERLINK("https://www.reddit.com/r/eyetriage/comments/heka8v/full_spectrum_cbd_and_high_iop_concerned/")</f>
        <v/>
      </c>
      <c r="G1789" t="inlineStr">
        <is>
          <t>2020-06-23 11:40:16</t>
        </is>
      </c>
      <c r="H1789" t="inlineStr"/>
    </row>
    <row r="1790">
      <c r="A1790" t="inlineStr">
        <is>
          <t>hem5xy</t>
        </is>
      </c>
      <c r="B1790" t="inlineStr">
        <is>
          <t>Appointment with Neuro ophthalmologist tomorrow</t>
        </is>
      </c>
      <c r="C1790" t="inlineStr">
        <is>
          <t>Hello everyone! I decided to post bc I’m seeing a neuro ophthalmologist tomorrow and I want to make sure I’m asking the right questions. I’ve been dealing with floaters for 2 years now. Always checked up on them to make sure there wasn’t any underlying issue causing them. Retina seemed fine and my optometrist told me it was probably bc of my near-sightness and age. I’m only 26 years old but okay whatever. I went to 2 other doctors for more opinions and they all said my eyes were fine. Fast forward to May 2020 when I started noticing flashes too. Every time I move my right eye, I can see like this circle outline of a flash. In places with bright lights I see halos around people and I feel like I can see two bright spots in the center of my vision. It goes away when I blink, but it’s very scary. I also started getting frequent headaches, bad eye pain, and like my eyes get shaky when I try to focus. They’ve been twitching like crazy lately. My neurologist ordered an MRI for me , and it came back with no abnormalities. So he thinks it’s just migraines. My ophthalmologist said my optic nerves looked “suspicious” and my eye pressure was borderline glaucoma levels but everything else seemed okay. He even sent me to a retina specialist who didn’t see any tears. The retina specialist wants to see me in September and my ophthalmologist in December. I’m just super confused and the neuro-ophthalmologist is my last hope to see what’s causing these eyes changes. I don’t want to lose my eyesight. If there’s any suggestions on what questions to ask, please let me know.</t>
        </is>
      </c>
      <c r="D1790" t="n">
        <v>1</v>
      </c>
      <c r="E1790" t="n">
        <v>4</v>
      </c>
      <c r="F1790">
        <f>HYPERLINK("https://www.reddit.com/r/eyetriage/comments/hem5xy/appointment_with_neuro_ophthalmologist_tomorrow/")</f>
        <v/>
      </c>
      <c r="G1790" t="inlineStr">
        <is>
          <t>2020-06-23 13:18:56</t>
        </is>
      </c>
      <c r="H1790" t="inlineStr"/>
    </row>
    <row r="1791">
      <c r="A1791" t="inlineStr">
        <is>
          <t>henuxf</t>
        </is>
      </c>
      <c r="B1791" t="inlineStr">
        <is>
          <t>Droopy Eyelid After Eye Exams</t>
        </is>
      </c>
      <c r="C1791" t="inlineStr">
        <is>
          <t>I went to the ER for eye pain yesterday, and was given numbing agents and orange dye as part of the testing I received. Also, a hand-held pressure test was given. After going home this morning and getting \~3 hours of sleep, I woke up feeling like my eyes weren't opening that well, but attributed that to tiredness.
I saw an ophthalmologist today as well, by recommendation of the ER doc, and received dye, a numbing agent, as well as a dilation test.
I went home and got some more sleep, but when I woke up, my left eye was clearly not opening as wide as it did before. I called the ophthalmologist about this, and he said my eyes looked quite healthy, and he didn't see anything wrong. Also that the body sometimes does things and for me to just sleep it off.
Despite his reassurances, I am somewhat concerned about this, and I am wondering if this is potentially a side effect of all I went through in the past day.
Thanks.</t>
        </is>
      </c>
      <c r="D1791" t="n">
        <v>1</v>
      </c>
      <c r="E1791" t="n">
        <v>1</v>
      </c>
      <c r="F1791">
        <f>HYPERLINK("https://www.reddit.com/r/eyetriage/comments/henuxf/droopy_eyelid_after_eye_exams/")</f>
        <v/>
      </c>
      <c r="G1791" t="inlineStr">
        <is>
          <t>2020-06-23 14:50:14</t>
        </is>
      </c>
      <c r="H1791" t="inlineStr"/>
    </row>
    <row r="1792">
      <c r="A1792" t="inlineStr">
        <is>
          <t>heo0nd</t>
        </is>
      </c>
      <c r="B1792" t="inlineStr">
        <is>
          <t>Machine says I have astigmatism, doctor says I don't?</t>
        </is>
      </c>
      <c r="C1792" t="inlineStr">
        <is>
          <t>Hi All,
I went to the Wal Mart optical center today to get an eye exam and encountered difficulties with the A / B comparison tests. The doctor asked me for my preferences between text on red background vs text on green backgrounds and it was difficult to pick on over the other from some slides. My biggest problem was that on some slides, I can clearly make out the text, but I would see a shadow of the same characters immediately above the text I'm reading. My response baffled the doctor and she claims that she needs to know whether my response could be trusted. After spending roughly 35 minutes trying the slides over and over, the doctor claims that I do not have astigmatism, contrary to what the machine reported. In her own words "the machine shows that you have all sorts of astigmatism".
I find this to be somewhat confusing, since all my previous doctors had prescribed me lenses for astigmatism and for near-sightedness.
I think the doctor's patience ran out towards and end, and she hurriedly wrote a proscription for -2.25 OD and -2.50 OS for me and sent me on my way. My personal opinion was that the lenses she had me try on did not offer very significant improvements over my current pair. Is something amiss? Should I just order glasses with her prescription? How can the machine report me as having astigmatism on three occasions and for me to "not have astigmatism" per the doctor?</t>
        </is>
      </c>
      <c r="D1792" t="n">
        <v>1</v>
      </c>
      <c r="E1792" t="n">
        <v>20</v>
      </c>
      <c r="F1792">
        <f>HYPERLINK("https://www.reddit.com/r/eyetriage/comments/heo0nd/machine_says_i_have_astigmatism_doctor_says_i_dont/")</f>
        <v/>
      </c>
      <c r="G1792" t="inlineStr">
        <is>
          <t>2020-06-23 14:58:38</t>
        </is>
      </c>
      <c r="H1792" t="inlineStr"/>
    </row>
    <row r="1793">
      <c r="A1793" t="inlineStr">
        <is>
          <t>hersm8</t>
        </is>
      </c>
      <c r="B1793" t="inlineStr">
        <is>
          <t>Sleep paralysis or retinal issue?</t>
        </is>
      </c>
      <c r="C1793" t="inlineStr">
        <is>
          <t>I have a history of retinal tears. Yesterday I went for a follow up with my retinal doctor who found no issues. This morning I experienced sleep paralysis (haven't had it in 2 months). It lasted for 20 seconds, I was frozen and the left side of my head was slightly pounding and I saw about 20 flashing strobe lights. Felt like a seizure. The night before I only had 4hrs of sleep and have been on high stress levels.
I'm worried about retinal issues however it seems to be one too many flashes to be related plus I saw the eye doctor yesterday. Is this likely to be sleep paralysis and not retinal issue?</t>
        </is>
      </c>
      <c r="D1793" t="n">
        <v>1</v>
      </c>
      <c r="E1793" t="n">
        <v>0</v>
      </c>
      <c r="F1793">
        <f>HYPERLINK("https://www.reddit.com/r/eyetriage/comments/hersm8/sleep_paralysis_or_retinal_issue/")</f>
        <v/>
      </c>
      <c r="G1793" t="inlineStr">
        <is>
          <t>2020-06-23 18:42:49</t>
        </is>
      </c>
      <c r="H1793" t="inlineStr"/>
    </row>
    <row r="1794">
      <c r="A1794" t="inlineStr">
        <is>
          <t>heu0dd</t>
        </is>
      </c>
      <c r="B1794" t="inlineStr">
        <is>
          <t>Seeing a bright spot after Ophthalmologist visit.</t>
        </is>
      </c>
      <c r="C1794" t="inlineStr">
        <is>
          <t xml:space="preserve"> Hi. Yesterday Ophthalmology reddit. Adrian here. I went to the Ophthalmologist. I said to the Dr. that i have eye pain on my left eye for like 3 years. During the quarantine i used a lot my phone and my PC and i experienced a decrease in my central vision when the light are out. I recieved like 4 droplets so it can grow the size of my pupil. Am also sensible to harsh light like camera flashes and phone lantern light. I also experience negative after image, visual snow in the dark and palinopsia in the dark with sources of light. The Dr. used a machine to watch into my pupils that used bright light and it bothered my a lot she turned to the minimum when she saw that it bothered me. I looked directly into the light and she said to look at her ear not at the light i stared at the light for like 4 seconds or so. Since yesterday i noticed a new shape of irregular form like little bubbles on my left eyes appearing when i turn on the light. It disappears quickly but every time when i switch the light or looking at a source of light like a screen quickly with my left eye i can see the bright irregular shape form little bubbles there. The after negative image effect is also more aggressive since the test. I'm using glasses with -0.5 left and -0.5 right. Dr. said that i could see all kinds of things during the day after the droplets but that time already passed and since yesterday. I'm kind of anxious. Dr. also prescribed me some droplets when i experience pain in my left eye and said to decrease screen time. I would be a lot of hel having an opinion from someone experienced.</t>
        </is>
      </c>
      <c r="D1794" t="n">
        <v>1</v>
      </c>
      <c r="E1794" t="n">
        <v>1</v>
      </c>
      <c r="F1794">
        <f>HYPERLINK("https://www.reddit.com/r/eyetriage/comments/heu0dd/seeing_a_bright_spot_after_ophthalmologist_visit/")</f>
        <v/>
      </c>
      <c r="G1794" t="inlineStr">
        <is>
          <t>2020-06-23 21:11:47</t>
        </is>
      </c>
      <c r="H1794" t="inlineStr"/>
    </row>
    <row r="1795">
      <c r="A1795" t="inlineStr">
        <is>
          <t>heurmm</t>
        </is>
      </c>
      <c r="B1795" t="inlineStr">
        <is>
          <t>Floppy eyelid syndrome..29 years old</t>
        </is>
      </c>
      <c r="C1795" t="inlineStr">
        <is>
          <t>Hi, so I figured out last year I had floppy eyelid syndrome and the eye dr I went to disregarded me and said it was allergies. 
I found a different doctor this year who said I had severe floppy eyelid syndrome. She prescribed be drops for my eyes (azelastine hydrochloride) because she said they were so annoyed on the inside. 
The FES has caused my eyelashes to literally go straight down over my eyes. It’s pretty annoying and won’t even curl with a lash curler. Is it safe for someone with FES to get a “lash lift”? It’s like a perm for your eyelashes. I’m so over the lashes effecting my vision.</t>
        </is>
      </c>
      <c r="D1795" t="n">
        <v>1</v>
      </c>
      <c r="E1795" t="n">
        <v>0</v>
      </c>
      <c r="F1795">
        <f>HYPERLINK("https://www.reddit.com/r/eyetriage/comments/heurmm/floppy_eyelid_syndrome29_years_old/")</f>
        <v/>
      </c>
      <c r="G1795" t="inlineStr">
        <is>
          <t>2020-06-23 22:07:55</t>
        </is>
      </c>
      <c r="H1795" t="inlineStr"/>
    </row>
    <row r="1796">
      <c r="A1796" t="inlineStr">
        <is>
          <t>hev72h</t>
        </is>
      </c>
      <c r="B1796" t="inlineStr">
        <is>
          <t>ghosting/auras around text - doctors can’t find solution or cause</t>
        </is>
      </c>
      <c r="C1796" t="inlineStr">
        <is>
          <t>I’ve been dealing with a persistent issue that no doctor has figured out yet. For over a year, I’ve noticed ghosting around text (white text on black bg) and glowing/auras around text (black text on white bg). It’s most noticeable with text because of the sharply-defined lines. I started to see it while watching movies and seeing streaking during credits and ghosting/drop shadows on subtitles. This occurs at all distances though. It’s pretty difficult for me to read because I’m focused on trying to make the letters look clear (so comprehension suffers). Most noticeable when reading books (digitally and on paper), but it’s at all distances. I don’t know how to drive but I wouldn’t feel safe driving if I did know how (street signs aren’t fully clear). I have to concentrate on just physically reading letters in ways I have never experienced before.
I’m not seeing blur - it isn’t softness as much as this slight doubling (though it’s not exactly doubling either). There have been some photos in past posts that are closer to what I see - drop shadows behind text (white on black) and glowing (black on white)
I have an astigmatism and fairly strong prescription. Most recent script is 8.50 sph, +1.75 cyl in both eyes, right axis 104, left axis 77. 
I’ve tried getting progressives, reading glasses, multiple attempts at distance frames, eye drops for slightly large pupils, and artificial tears. Nothing seems to help. I have the same issues with eye charts at the doctor’s office - I can make out what most of the letters are to about 20/20, but it’s difficult and they look streaky/weird. Not crisp like I remember from all my years in eye appointments.
I went for a laser eye consult and was turned down because it’s unlikely laser will correct the issue I’m facing. All my scans seem to come out normal and my eyes seem healthy to the doctors (ophthalmologists, optometrists).
I’m going to investigate hard contacts next, and hopefully get a referral to a neuro-ophthalmologist.
I am an artist and photographer, so clarity of vision is top of mind. I’ve never experienced anything like this before, and have worn glasses since around age 6. Even though I have a fairly strong prescription, I’ve always been able to see clearly with glasses - until the last year or so.
I’m really at a loss! Sometimes it feels like I’m making this up, but my vision hasn’t felt right for a while now. Has anyone experienced something similar or heard of these issues before? Anyone have any insight into possibilities of what this could be, or other things I can try? Help!!</t>
        </is>
      </c>
      <c r="D1796" t="n">
        <v>1</v>
      </c>
      <c r="E1796" t="n">
        <v>20</v>
      </c>
      <c r="F1796">
        <f>HYPERLINK("https://www.reddit.com/r/eyetriage/comments/hev72h/ghostingauras_around_text_doctors_cant_find/")</f>
        <v/>
      </c>
      <c r="G1796" t="inlineStr">
        <is>
          <t>2020-06-23 22:39:36</t>
        </is>
      </c>
      <c r="H1796" t="inlineStr"/>
    </row>
    <row r="1797">
      <c r="A1797" t="inlineStr">
        <is>
          <t>hey063</t>
        </is>
      </c>
      <c r="B1797" t="inlineStr">
        <is>
          <t>Retinal detachment and strength training</t>
        </is>
      </c>
      <c r="C1797" t="inlineStr">
        <is>
          <t>A few days ago I was diagnosed with retinal detachment and the doctors told me that after the surgery I had to stop the weight training that I was doing until now.  
My question is if there is no way I can continue with my workouts.</t>
        </is>
      </c>
      <c r="D1797" t="n">
        <v>1</v>
      </c>
      <c r="E1797" t="n">
        <v>3</v>
      </c>
      <c r="F1797">
        <f>HYPERLINK("https://www.reddit.com/r/eyetriage/comments/hey063/retinal_detachment_and_strength_training/")</f>
        <v/>
      </c>
      <c r="G1797" t="inlineStr">
        <is>
          <t>2020-06-24 02:27:56</t>
        </is>
      </c>
      <c r="H1797" t="inlineStr"/>
    </row>
    <row r="1798">
      <c r="A1798" t="inlineStr">
        <is>
          <t>hf8qpx</t>
        </is>
      </c>
      <c r="B1798" t="inlineStr">
        <is>
          <t>Can I go swim after a crosslinking procedure?</t>
        </is>
      </c>
      <c r="C1798" t="inlineStr">
        <is>
          <t>Title. I know I will have so uncomfort and that I shouldnt rub my eyes, but can I swim?</t>
        </is>
      </c>
      <c r="D1798" t="n">
        <v>1</v>
      </c>
      <c r="E1798" t="n">
        <v>13</v>
      </c>
      <c r="F1798">
        <f>HYPERLINK("https://www.reddit.com/r/eyetriage/comments/hf8qpx/can_i_go_swim_after_a_crosslinking_procedure/")</f>
        <v/>
      </c>
      <c r="G1798" t="inlineStr">
        <is>
          <t>2020-06-24 13:26:32</t>
        </is>
      </c>
      <c r="H1798" t="inlineStr"/>
    </row>
    <row r="1799">
      <c r="A1799" t="inlineStr">
        <is>
          <t>hfh6jc</t>
        </is>
      </c>
      <c r="B1799" t="inlineStr">
        <is>
          <t>Dealing with an accommodative spasm that won’t get any better.</t>
        </is>
      </c>
      <c r="C1799" t="inlineStr">
        <is>
          <t>Trying not to make this post too long. I’m a 19 year old female with no health issues that would affect my eyes. I was born 3 months early and had ROP. I have no depth perception, struggle in dark lighting and my vision is like an old android camera trying to focus 24/7. After being diagnosed with a severe accommodative spasm, I tried visual therapy for 5 months and it only got worse. Dilation drops help me, but affects my vision in ways that affects my job and school (can’t read or write). I have sparkle like floaters in my peripheral vision, and grainy (snow like, or static like floaters covering my whole field of vision and they also never go away). My visual acuity is worse than ever even though my vision has progressively gotten worse since I’ve been seeing my optho at the age of 6. My optho is referring me to a neuro optho, but I’m losing hope that this is in any way fixable. I had a pretty bad concussion back in April, could that be part of the reason? Why won’t it get better? Sorry this post is so long.</t>
        </is>
      </c>
      <c r="D1799" t="n">
        <v>1</v>
      </c>
      <c r="E1799" t="n">
        <v>9</v>
      </c>
      <c r="F1799">
        <f>HYPERLINK("https://www.reddit.com/r/eyetriage/comments/hfh6jc/dealing_with_an_accommodative_spasm_that_wont_get/")</f>
        <v/>
      </c>
      <c r="G1799" t="inlineStr">
        <is>
          <t>2020-06-24 23:32:11</t>
        </is>
      </c>
      <c r="H1799" t="inlineStr"/>
    </row>
    <row r="1800">
      <c r="A1800" t="inlineStr">
        <is>
          <t>hfqzop</t>
        </is>
      </c>
      <c r="B1800" t="inlineStr">
        <is>
          <t>Is this painless red eye an issue? *I have severe recurrent uveitis*</t>
        </is>
      </c>
      <c r="C1800" t="inlineStr">
        <is>
          <t>Hi, like the title says I have recurrent uveitis in both eyes but I have one eye that is worse (my right). I am currently on remicade for it and I got my last Infusion Tuesday. 
Other context; I’ve felt crummy the past few days. I feel like I’m having a flare up and I was hoping the remicade would help. My rheumatologist thinks I have Behcets because of oral ulcers but the uveitis was what got me in to see her. 
However, in the past I’ve never had a red eye- just really bad eye pain. Is this red eye a concern? There isn’t any pain or discomfort at this moment but it’s getting worse. My eye specialist is super hard to get in to see 
I use xiidra twice a day and have been off steroid drops for a few months. 
https://imgur.com/a/SnY4nSs</t>
        </is>
      </c>
      <c r="D1800" t="n">
        <v>1</v>
      </c>
      <c r="E1800" t="n">
        <v>7</v>
      </c>
      <c r="F1800">
        <f>HYPERLINK("https://www.reddit.com/r/eyetriage/comments/hfqzop/is_this_painless_red_eye_an_issue_i_have_severe/")</f>
        <v/>
      </c>
      <c r="G1800" t="inlineStr">
        <is>
          <t>2020-06-25 11:09:10</t>
        </is>
      </c>
      <c r="H1800" t="inlineStr"/>
    </row>
    <row r="1801">
      <c r="A1801" t="inlineStr">
        <is>
          <t>hfr0ta</t>
        </is>
      </c>
      <c r="B1801" t="inlineStr">
        <is>
          <t>Bacterial Pink Eye Help</t>
        </is>
      </c>
      <c r="C1801" t="inlineStr">
        <is>
          <t>Hey! I am a student, and I had a question about bacterial pink eye and I wanted some advice.
To give a bit of history:
1. In Summer 2018, I went to an ophthalmologist who told me I had a bacterial pink eye infection. He told me to use Vigamox 4 times a day for 7 days, and then when that didn't work, he gave me Tobradex, which eventually helped. It took almost a month to return my eyes to normal.
2. In Winter 2019, I went to an optometrist for a similar problem, who also told me I had a bacterial pink eye. He gave me Tobradex, and it went away after at most 2 weeks.
3. About 2 weeks ago, I got another infection. I didn't want to jump to conclusions again (stupidly on my part). I decided to use warm and cool compresses, and artificial tears in the event the infection was viral or allergic. Nothing helped.
4. So, 1 week ago, I went to a Walkin-Doctor, who looked at my eye and told me I have a bacterial infection. He gave me Vigamox, and after about 7 days using 3 drops per day, nothing has changed.
My symptoms include:
1. Pink eye
2. Extremely watering
3. Yellow, sticky discharge when I wake up, and a bit throughout the day.
4. Sensitive to sunlight
5. And as of this morning, I struggle to keep my eye open (As if I am sleepy and forcing myself to keep awake).
My questions are these:
1. Should I go to the emergency room in the hospital?
2. Should I keep using the Vigamox and hope something good happens?
3. Any other advice or suggestions?
Thank you so much!</t>
        </is>
      </c>
      <c r="D1801" t="n">
        <v>1</v>
      </c>
      <c r="E1801" t="n">
        <v>11</v>
      </c>
      <c r="F1801">
        <f>HYPERLINK("https://www.reddit.com/r/eyetriage/comments/hfr0ta/bacterial_pink_eye_help/")</f>
        <v/>
      </c>
      <c r="G1801" t="inlineStr">
        <is>
          <t>2020-06-25 11:10:48</t>
        </is>
      </c>
      <c r="H1801" t="inlineStr"/>
    </row>
    <row r="1802">
      <c r="A1802" t="inlineStr">
        <is>
          <t>hfzmzt</t>
        </is>
      </c>
      <c r="B1802" t="inlineStr">
        <is>
          <t>New stye almost every week. HELP</t>
        </is>
      </c>
      <c r="C1802" t="inlineStr">
        <is>
          <t>I have been getting styes since I was a little girl. I am 26 now.
I got them very frequently in grade and middle school - I’d say once a month. Thank goodness they slowed down in high school in college and I would get maybe 1-2 a year.
I have recently started to get them very frequently again. In the past 4 months, I have been averaging 3-4 styes a month. In March, I had 4 styes at one time. 3 in one eye and 1 in the other. I saw a ophthalmologist and she told me I needed to cleanse my eyelid every night which I have been doing.
I do wear contacts, and am very clean when I take out and put them in. I wash my hands frequently and am very good about not touching my eyes. I hardly ever wear make up. I do have severe allergies.
I do not believe cleansing my eyelids has been helping, if anything it has just been drying out my skin.
I believe my styes are being caused by my eyelashes - is this possible? I have always had VERY long, thin eyelashes. They grow like weeds, and they often grow out of line with the others. I have noticed when I pluck the eyelashes around the infected area, the pain often subsides a little. When I pluck the lashes, they come out with gunk on the end and often the ones where the infection is - they come out very thick on the other end. They almost look like the end of a Bobby pin or when you pull a hairbrush bristle out.
The current stye I have, I noticed the eyelash was a lot lower than the rest of my lashes and when I plucked it I felt like that was the lash that was causing the infection.
I am becoming very frustrated with these reoccurring styes as they are very painful and unsightly.
Can anyone offer me any advice or suggestions on treatment for me to do at home or present to my ophthalmologist? (I am familiar with many home remedies but am open to anything)</t>
        </is>
      </c>
      <c r="D1802" t="n">
        <v>1</v>
      </c>
      <c r="E1802" t="n">
        <v>6</v>
      </c>
      <c r="F1802">
        <f>HYPERLINK("https://www.reddit.com/r/eyetriage/comments/hfzmzt/new_stye_almost_every_week_help/")</f>
        <v/>
      </c>
      <c r="G1802" t="inlineStr">
        <is>
          <t>2020-06-25 19:50:03</t>
        </is>
      </c>
      <c r="H1802" t="inlineStr"/>
    </row>
    <row r="1803">
      <c r="A1803" t="inlineStr">
        <is>
          <t>hg4081</t>
        </is>
      </c>
      <c r="B1803" t="inlineStr">
        <is>
          <t>Struggling with severe binocular vision. Please help</t>
        </is>
      </c>
      <c r="C1803" t="inlineStr">
        <is>
          <t>I'm 18 years old and I've been struggling with binocular double vision for over a year. It can be near impossible to focus on objects far away. The farther away the object, the farther apart the two images get. It's also worse in my lower vision and to the left and right.
It's worse in the morning and after looking at my phone (I am on my phone 6+ hours a day since quarantine and this has made things significantly worse. Though I was an avid phone user before.)
I got an mri and there's nothing wrong with my brain. The doctors don't thinks it's MS. I can't see any other doctors because of the pandemic and the last one I was to basically shrugged his shoulders and sent me home blind (literally and figuratively :/)
My life has become fairly hard to handle and I can't stand looking more than a foot or so from me because it's so irritating. What's wrong with me and how can I fix this issue?</t>
        </is>
      </c>
      <c r="D1803" t="n">
        <v>1</v>
      </c>
      <c r="E1803" t="n">
        <v>9</v>
      </c>
      <c r="F1803">
        <f>HYPERLINK("https://www.reddit.com/r/eyetriage/comments/hg4081/struggling_with_severe_binocular_vision_please/")</f>
        <v/>
      </c>
      <c r="G1803" t="inlineStr">
        <is>
          <t>2020-06-26 01:49:14</t>
        </is>
      </c>
      <c r="H1803" t="inlineStr"/>
    </row>
    <row r="1804">
      <c r="A1804" t="inlineStr">
        <is>
          <t>hgd3gf</t>
        </is>
      </c>
      <c r="B1804" t="inlineStr">
        <is>
          <t>Does my symptoms warrant emergency visit? Already diagnosed w/ optic disc pit, posterior staphyloma, undefined congenital anomaly of optic nerve.</t>
        </is>
      </c>
      <c r="C1804" t="inlineStr">
        <is>
          <t>Will try to keep this as short as possible. I have a rare congenital defect in my left eye that affects my optic nerve, along with an optic disc pit and posterior staphyloma. I can only see out of the bottom half of that eye. I am working with an excellent ophthalmologist (president of MGH-affiliated practice)  who took on my case a couple of years ago because of the unusual complexities. The eye has never caused me any discomfort (nor was I told to expect any) up until about 1 month ago. I was never prescribed any drops or other form of treatment since there's really nothing confirmed that would be likely to help - they've just been monitoring to see how soon I'll lose all my vision in that eye, which I've already accepted and come to terms with. 
Backstory aside: I started experiencing a feeling of increased pressure in the left eye about 1 month ago, barely noticeable at first. It was accompanied by an occasional twitching sensation. Over the past week, the pressure sensation has gotten gradually worse. My field of vision in that eye seems a bit worse than normal, but it's never been good, so it's hard to tell exactly how much worse it is (my right eye compensates). The past three nights, I have had a tough time falling asleep because the pressure is now accompanied by a feeling of grittiness behind the eye. Shutting the eye feels worse than keeping it open; when shut, it feels like it twitches like crazy and the pressure is worse. It's also painful to look hard in any one direction with that eye. 
I already called my ophth's office and made an appointment for 2 weeks from now. I am also moving to a new apartment next week. Basically, I'm trying to figure out if there's anything I can use OTC or otherwise to make the discomfort less noticeable/help me sleep until my appointment so I can just get through this move – or, whether I should see a different doctor ASAP. Already tried Visine, only made it worse. Ibuprofen does nothing. 
TLDR; experiencing weird eye pressure/grittiness/discomfort but no obvious changes to vision. Previously diagnosed with rare congenital defect in that eye. Should I go to different ophthalmologist ASAP or can I get away with waiting 2 weeks until my already scheduled appointment with Dr. who is familiar with my preexisting condition?</t>
        </is>
      </c>
      <c r="D1804" t="n">
        <v>1</v>
      </c>
      <c r="E1804" t="n">
        <v>3</v>
      </c>
      <c r="F1804">
        <f>HYPERLINK("https://www.reddit.com/r/eyetriage/comments/hgd3gf/does_my_symptoms_warrant_emergency_visit_already/")</f>
        <v/>
      </c>
      <c r="G1804" t="inlineStr">
        <is>
          <t>2020-06-26 11:29:47</t>
        </is>
      </c>
      <c r="H1804" t="inlineStr"/>
    </row>
    <row r="1805">
      <c r="A1805" t="inlineStr">
        <is>
          <t>hgdp6q</t>
        </is>
      </c>
      <c r="B1805" t="inlineStr">
        <is>
          <t>Doctor prescribed lubricant eye drops does jack all.</t>
        </is>
      </c>
      <c r="C1805" t="inlineStr">
        <is>
          <t>After an hour or so of wearing my glasses, I get a severe headache specially behind my right eye. I went to the doc for an eye checkup. He told me that the power of my glasses are fine and I should reduce my screen-time and prescribed me PEG 400 eye drops. The thing is I hardly use my laptop let alone my phone. It's been a month since using this eye drop and it hadn't helped me at all.</t>
        </is>
      </c>
      <c r="D1805" t="n">
        <v>2</v>
      </c>
      <c r="E1805" t="n">
        <v>4</v>
      </c>
      <c r="F1805">
        <f>HYPERLINK("https://www.reddit.com/r/eyetriage/comments/hgdp6q/doctor_prescribed_lubricant_eye_drops_does_jack/")</f>
        <v/>
      </c>
      <c r="G1805" t="inlineStr">
        <is>
          <t>2020-06-26 12:01:47</t>
        </is>
      </c>
      <c r="H1805" t="inlineStr"/>
    </row>
    <row r="1806">
      <c r="A1806" t="inlineStr">
        <is>
          <t>hgeyps</t>
        </is>
      </c>
      <c r="B1806" t="inlineStr">
        <is>
          <t>Just had laser treatment for a retina tear</t>
        </is>
      </c>
      <c r="C1806" t="inlineStr">
        <is>
          <t>Injured my eye from blunt force trauma to the eye that knocked me out for a few seconds.  Not in my hometown, went to an optomotrist who said I bruised my retina and sent me to an ophthalmologist.  
Got to my appointment and the dr said I needed laser treatment and said we can do it right now.  I tried to get some info from the dr as they told me very little. He said it was higher risk to not have it done, so i agreed to it. He went ahead with the procedure, it was quick but he was very rough with my eye. Said its finished stood up, opened the door and said have a good day.
I asked if there is anything I need to know or do for the healing process, he said not to get hit in the eye again, and book an appointment in 6 months. then left.
My vision is still a bit off, especially when im tired, or around light or dark. I can see 2 spots that dont move when i close my eyes at night. And im still in a lot of pain, especially when I move my head or look around with my eyes.
Looking for any advice on how long this could last and when it would be safe for me to return to work(extremely strenuous job) and any precautions i need to take.  I left the appointment with more questions than answers, im not even sure if I should of had that procedure done, he didnt really seem to give a shit about me.
I didnt have any idea that anything would be done that day, and they didnt warn me that my vision would be affected which i realized after I started driving.(dont know anyone in this town to help me) had to pull over call a cab and leave my car at some strangers house.
Feeling very anxious and unsettled about this entire situation</t>
        </is>
      </c>
      <c r="D1806" t="n">
        <v>1</v>
      </c>
      <c r="E1806" t="n">
        <v>5</v>
      </c>
      <c r="F1806">
        <f>HYPERLINK("https://www.reddit.com/r/eyetriage/comments/hgeyps/just_had_laser_treatment_for_a_retina_tear/")</f>
        <v/>
      </c>
      <c r="G1806" t="inlineStr">
        <is>
          <t>2020-06-26 13:07:50</t>
        </is>
      </c>
      <c r="H1806" t="inlineStr"/>
    </row>
    <row r="1807">
      <c r="A1807" t="inlineStr">
        <is>
          <t>hgigqg</t>
        </is>
      </c>
      <c r="B1807" t="inlineStr">
        <is>
          <t>RNFL thickness means atrophy?</t>
        </is>
      </c>
      <c r="C1807" t="inlineStr">
        <is>
          <t>I am 18 years old male. 
I had an OCT and the results came normal pretty much (96 average) but I actually had low Inferior and Superior diameter. Below the average on both eyes. 102 and 90, 100 and 99. By the looks, doctor said my nerve doesnt look atrophic at all but he looked worried by these results although he said this is something rare to see (so low diameter) that he doesn't worry him and maybe it's a random find. I am worried now a little bit... Could it be a problem for sure, or maybe it just nothing to worry about?</t>
        </is>
      </c>
      <c r="D1807" t="n">
        <v>1</v>
      </c>
      <c r="E1807" t="n">
        <v>8</v>
      </c>
      <c r="F1807">
        <f>HYPERLINK("https://www.reddit.com/r/eyetriage/comments/hgigqg/rnfl_thickness_means_atrophy/")</f>
        <v/>
      </c>
      <c r="G1807" t="inlineStr">
        <is>
          <t>2020-06-26 16:21:17</t>
        </is>
      </c>
      <c r="H1807" t="inlineStr"/>
    </row>
    <row r="1808">
      <c r="A1808" t="inlineStr">
        <is>
          <t>hglwk3</t>
        </is>
      </c>
      <c r="B1808" t="inlineStr">
        <is>
          <t>I need help quickly</t>
        </is>
      </c>
      <c r="C1808" t="inlineStr">
        <is>
          <t>My mom was hit in the left eye by a tennis ball (pretty hard) and her eye is now swollen and red, and she says left eye's vision is blurred. We can't seek medical attention right now and I need to know what to do. We iced it, but we don't know what to do now. If anyone has any advice, I would love to hear it.</t>
        </is>
      </c>
      <c r="D1808" t="n">
        <v>1</v>
      </c>
      <c r="E1808" t="n">
        <v>7</v>
      </c>
      <c r="F1808">
        <f>HYPERLINK("https://www.reddit.com/r/eyetriage/comments/hglwk3/i_need_help_quickly/")</f>
        <v/>
      </c>
      <c r="G1808" t="inlineStr">
        <is>
          <t>2020-06-26 20:04:51</t>
        </is>
      </c>
      <c r="H1808" t="inlineStr"/>
    </row>
    <row r="1809">
      <c r="A1809" t="inlineStr">
        <is>
          <t>hgy420</t>
        </is>
      </c>
      <c r="B1809" t="inlineStr">
        <is>
          <t>Light streaks while blinking when watching movies</t>
        </is>
      </c>
      <c r="C1809" t="inlineStr">
        <is>
          <t>When I watch movies at night, I have no problem seeing the screen. When I blink, however, I get momentary light streaking down and away from the screen. The streaks are the color of the object on the screen. Since I blink pretty often, this gets pretty annoying. Any tips would be greatly appreciated.</t>
        </is>
      </c>
      <c r="D1809" t="n">
        <v>2</v>
      </c>
      <c r="E1809" t="n">
        <v>11</v>
      </c>
      <c r="F1809">
        <f>HYPERLINK("https://www.reddit.com/r/eyetriage/comments/hgy420/light_streaks_while_blinking_when_watching_movies/")</f>
        <v/>
      </c>
      <c r="G1809" t="inlineStr">
        <is>
          <t>2020-06-27 10:56:01</t>
        </is>
      </c>
      <c r="H1809" t="inlineStr"/>
    </row>
    <row r="1810">
      <c r="A1810" t="inlineStr">
        <is>
          <t>hhbyvk</t>
        </is>
      </c>
      <c r="B1810" t="inlineStr">
        <is>
          <t>Cataract surgery gone bad</t>
        </is>
      </c>
      <c r="C1810" t="inlineStr">
        <is>
          <t>Got staph infection in eye, after 4 days of surgery. Woke up totally blind in that eye, have been treated with injections &amp;amp; drops on the hour to clear up inflammation.  Sight has improved a little, but still very blurry, specialist said just have to wait to see if all of my sight comes back. When I was checked at Dr, office right after surgery, his associate said he saw a tear, gave me some dry tear drops. My surgeon now says it should have put a stitch in it, which he did not, &amp;amp; that is probably where the staph infection got in my eye. Just concerned if all of my sight will return.</t>
        </is>
      </c>
      <c r="D1810" t="n">
        <v>1</v>
      </c>
      <c r="E1810" t="n">
        <v>6</v>
      </c>
      <c r="F1810">
        <f>HYPERLINK("https://www.reddit.com/r/eyetriage/comments/hhbyvk/cataract_surgery_gone_bad/")</f>
        <v/>
      </c>
      <c r="G1810" t="inlineStr">
        <is>
          <t>2020-06-28 03:09:03</t>
        </is>
      </c>
      <c r="H1810" t="inlineStr"/>
    </row>
    <row r="1811">
      <c r="A1811" t="inlineStr">
        <is>
          <t>hhj81g</t>
        </is>
      </c>
      <c r="B1811" t="inlineStr">
        <is>
          <t>Repeating phosphene</t>
        </is>
      </c>
      <c r="C1811" t="inlineStr">
        <is>
          <t>I keep getting what I take to be a phosphene. It is a black disc with a thin gold border that I see for less than 1 second. I see it 0-2 times a day, normally in the morning. It is in the exact  same place every time: at the very top of my left eye. I have had it for a a month or two?
Why do I keep getting it?</t>
        </is>
      </c>
      <c r="D1811" t="n">
        <v>1</v>
      </c>
      <c r="E1811" t="n">
        <v>5</v>
      </c>
      <c r="F1811">
        <f>HYPERLINK("https://www.reddit.com/r/eyetriage/comments/hhj81g/repeating_phosphene/")</f>
        <v/>
      </c>
      <c r="G1811" t="inlineStr">
        <is>
          <t>2020-06-28 11:10:20</t>
        </is>
      </c>
      <c r="H1811" t="inlineStr"/>
    </row>
    <row r="1812">
      <c r="A1812" t="inlineStr">
        <is>
          <t>hhl40b</t>
        </is>
      </c>
      <c r="B1812" t="inlineStr">
        <is>
          <t>Big bright flashes of light in peripheral when moving eyes/shaking head? Any ideas?</t>
        </is>
      </c>
      <c r="C1812" t="inlineStr">
        <is>
          <t>Hey guys, I’m 23 years old and I’ve had strange dark lines and flashes of light all up and down the periphery of my eyes for at least one year now. I’ve Seen multiple ophthalmologists, have taken a few visual field tests and they say I have healthy eyes.
Does any know what this could be?? I can be in a bright room, look left and right back and forth, and get bright flashes in the peripheral of both eyes. I can keep my eyes fixed and shake my head left and right and the flashes still persist.
Could this be a tumor of some kind?
Thanks!</t>
        </is>
      </c>
      <c r="D1812" t="n">
        <v>2</v>
      </c>
      <c r="E1812" t="n">
        <v>4</v>
      </c>
      <c r="F1812">
        <f>HYPERLINK("https://www.reddit.com/r/eyetriage/comments/hhl40b/big_bright_flashes_of_light_in_peripheral_when/")</f>
        <v/>
      </c>
      <c r="G1812" t="inlineStr">
        <is>
          <t>2020-06-28 12:51:57</t>
        </is>
      </c>
      <c r="H1812" t="inlineStr"/>
    </row>
    <row r="1813">
      <c r="A1813" t="inlineStr">
        <is>
          <t>hhoq14</t>
        </is>
      </c>
      <c r="B1813" t="inlineStr">
        <is>
          <t>Serious trouble reading even with glasses or contacts - high hyperopia</t>
        </is>
      </c>
      <c r="C1813" t="inlineStr">
        <is>
          <t>I attached my prescription.
As I said in the title, I have a profession that requires a great deal of reading. I discussed this with my doctor and she kept adjusting the prescription but without good lighting I can maybe read for 30 seconds and then have to take a break because I literally cannot see anymore.
I was informed no surgery is suitable for my condition. Also the lenses started to make my eyes red and are uncomfortable. Glasses are decent but I feel like my vision is even worse with them.
Is there any hope to make reading more comfortable with this prescription?[Contacts prescription ](https://i.imgur.com/aA7MQCD.jpg)</t>
        </is>
      </c>
      <c r="D1813" t="n">
        <v>1</v>
      </c>
      <c r="E1813" t="n">
        <v>4</v>
      </c>
      <c r="F1813">
        <f>HYPERLINK("https://www.reddit.com/r/eyetriage/comments/hhoq14/serious_trouble_reading_even_with_glasses_or/")</f>
        <v/>
      </c>
      <c r="G1813" t="inlineStr">
        <is>
          <t>2020-06-28 16:20:40</t>
        </is>
      </c>
      <c r="H1813" t="inlineStr"/>
    </row>
    <row r="1814">
      <c r="A1814" t="inlineStr">
        <is>
          <t>hhp5ra</t>
        </is>
      </c>
      <c r="B1814" t="inlineStr">
        <is>
          <t>Help!</t>
        </is>
      </c>
      <c r="C1814" t="inlineStr">
        <is>
          <t>First off, yes, I am going to the ophthalmologist first thing tomorrow. A few days ago I woke up with a very gooky crusty eye and then soon after noticed some blurriness and it was itchy. My eye is also sore when I move it around and has a yellow discharge and stringy white discharge. I immediately went to urgent care and they gave me antibiotics and said it was an infection. My symptoms are still persisting 4 days in, and I can describe the blurriness as a central scotoma. Anyone have any ideas on what could be going on?</t>
        </is>
      </c>
      <c r="D1814" t="n">
        <v>1</v>
      </c>
      <c r="E1814" t="n">
        <v>6</v>
      </c>
      <c r="F1814">
        <f>HYPERLINK("https://www.reddit.com/r/eyetriage/comments/hhp5ra/help/")</f>
        <v/>
      </c>
      <c r="G1814" t="inlineStr">
        <is>
          <t>2020-06-28 16:48:18</t>
        </is>
      </c>
      <c r="H1814" t="inlineStr"/>
    </row>
    <row r="1815">
      <c r="A1815" t="inlineStr">
        <is>
          <t>hhq72q</t>
        </is>
      </c>
      <c r="B1815" t="inlineStr">
        <is>
          <t>Grey veins(?) appearing around both my eyes</t>
        </is>
      </c>
      <c r="C1815" t="inlineStr">
        <is>
          <t>Image :  [https://imgur.com/a/FyhANuW](https://imgur.com/a/FyhANuW) 
&amp;amp;#x200B;
There are these grey looking patches/veins (they seem to be larger than normal veins but its not exactly blobs of grey either) that appeared recently in both my eyes. They are mostly concentrated near the bottom of my eyes like in the pictures or towards the corners of my eyes. No other issues with my eyes besides it feeling slightly more fatigued lately but I also have a lot of screen time so I don't know if thats correlated.</t>
        </is>
      </c>
      <c r="D1815" t="n">
        <v>1</v>
      </c>
      <c r="E1815" t="n">
        <v>0</v>
      </c>
      <c r="F1815">
        <f>HYPERLINK("https://www.reddit.com/r/eyetriage/comments/hhq72q/grey_veins_appearing_around_both_my_eyes/")</f>
        <v/>
      </c>
      <c r="G1815" t="inlineStr">
        <is>
          <t>2020-06-28 17:53:50</t>
        </is>
      </c>
      <c r="H1815" t="inlineStr"/>
    </row>
    <row r="1816">
      <c r="A1816" t="inlineStr">
        <is>
          <t>hhs6w4</t>
        </is>
      </c>
      <c r="B1816" t="inlineStr">
        <is>
          <t>recently Diagnosed with Retinal Vein Occlusion...Some Questions</t>
        </is>
      </c>
      <c r="C1816" t="inlineStr">
        <is>
          <t xml:space="preserve"> My diagnosis came from an out-of-network Ophthamologist, so we didn't really talk much about treatments. I'm a 36 y/o male, generally healthy former smoker Her suggestion, obviously, was to see my PCP and get a referral, which I did. I rarely see doctors however, and my PCP did say my cholesterol is a little high. My appointment is tomorrow...sooooo
1. What are some questions I should be asking? Are there specific or newer treatments I should be asking about?
2. Do people generally regain lost vision? Is vision loss able to be stopped?</t>
        </is>
      </c>
      <c r="D1816" t="n">
        <v>1</v>
      </c>
      <c r="E1816" t="n">
        <v>3</v>
      </c>
      <c r="F1816">
        <f>HYPERLINK("https://www.reddit.com/r/eyetriage/comments/hhs6w4/recently_diagnosed_with_retinal_vein/")</f>
        <v/>
      </c>
      <c r="G1816" t="inlineStr">
        <is>
          <t>2020-06-28 20:08:46</t>
        </is>
      </c>
      <c r="H1816" t="inlineStr"/>
    </row>
    <row r="1817">
      <c r="A1817" t="inlineStr">
        <is>
          <t>hhw8df</t>
        </is>
      </c>
      <c r="B1817" t="inlineStr">
        <is>
          <t>Anyone else has this?</t>
        </is>
      </c>
      <c r="C1817" t="inlineStr">
        <is>
          <t>I have convergene insufficiency in my left eye don’t know if this could cause the below:
My right eye has almost perfect vision, and my left has mild astigmatism.
If i cover my left eye and look through my right and fixate my vision without moving my eye and no other light stimuly (a stll environment without movement) my vision after a while starts to form a dark environment and leaves me with central vision until I blink or move my eye the whole picture is back - I think I read this is normal.
HOWEVER, on my left... covering my right, the darkness of my right starts to overlap with my vision after literally 3 seconds of not moving my eye, the efect on my right eye takes a while. But on my left the darker tunnel vision appears pretty quickly after closing my eye.
I also have convergence issues on that side, is this to do with it?
This is more noticeable in dim environment than in bright daylight. I know there is a name for this phenomena but it worried me it happens way faster in my left eye when my right is gone, I had normal
Visual field tests before, yet cannot explain this.
Also I have a vey dry left eye, don’t know if this is a factor?</t>
        </is>
      </c>
      <c r="D1817" t="n">
        <v>1</v>
      </c>
      <c r="E1817" t="n">
        <v>0</v>
      </c>
      <c r="F1817">
        <f>HYPERLINK("https://www.reddit.com/r/eyetriage/comments/hhw8df/anyone_else_has_this/")</f>
        <v/>
      </c>
      <c r="G1817" t="inlineStr">
        <is>
          <t>2020-06-29 01:38:16</t>
        </is>
      </c>
      <c r="H1817" t="inlineStr"/>
    </row>
    <row r="1818">
      <c r="A1818" t="inlineStr">
        <is>
          <t>hhxxpn</t>
        </is>
      </c>
      <c r="B1818" t="inlineStr">
        <is>
          <t>Feeling dizzy when on the computer and general studying. 22F.</t>
        </is>
      </c>
      <c r="C1818" t="inlineStr">
        <is>
          <t>*I don't have any prescription, the last exam I did was in February and everything was ok.*
So this has been happening since the beginning of quarantine in March. Since I'm home all day I spent all of my days and nights on my computer or phone. I also created the bad habit of checking my phone as soon as I wake up when I'm still with the lights off and then my eyes hurt when I open the windows. 
Lately I get **very** dizzy the minute I sit on my computer. Even writing this I feel like the room is spinning and I start to feel physically sick. I always try to control the shine, I turn on the "night" screen feature, I wear sunglasses when I'm out. The only thing that makes me feel better is going out to the garden to read a bit. But the minute I comeback to the pc the dizziness comes back. I'm getting scared because it's strong dizziness but I have school exams so I cannot not be on the computer.
I also took blood tests a few months ago and everything was ok, I always take my vitamins. The only thing that changed was being home all day on the computer that's why I think that's that.
 I'm thinking of buying those blue light glasses. 
What can I do? Never felt like this before</t>
        </is>
      </c>
      <c r="D1818" t="n">
        <v>1</v>
      </c>
      <c r="E1818" t="n">
        <v>8</v>
      </c>
      <c r="F1818">
        <f>HYPERLINK("https://www.reddit.com/r/eyetriage/comments/hhxxpn/feeling_dizzy_when_on_the_computer_and_general/")</f>
        <v/>
      </c>
      <c r="G1818" t="inlineStr">
        <is>
          <t>2020-06-29 04:10:13</t>
        </is>
      </c>
      <c r="H1818" t="inlineStr"/>
    </row>
    <row r="1819">
      <c r="A1819" t="inlineStr">
        <is>
          <t>hhzced</t>
        </is>
      </c>
      <c r="B1819" t="inlineStr">
        <is>
          <t>Swelling around eyes for 3 months+</t>
        </is>
      </c>
      <c r="C1819" t="inlineStr">
        <is>
          <t>Hi, I've had on and off swelling around my eyes for 3 months approximately. It started with just in the morning and would go away by the end of the day. My eyes would feel pressure and dryness and were a bit watery. 
Well, things got much worse in the last 2 weeks and my eyelids and skin below (bags?) were so swollen all day. Went to doc who took my bloods and diagnosed probable over active thyroid and/or Graves disease. 
She gave me medication to tide me over till I see a specialist (endocrinologist) in a few weeks and sent me to an emergency A&amp;amp;E hospital specifically for eyes and ears. After waiting three hours the medical student doc did measurements on my eyes to make sure there was no bulging and basically sent me away with lubricating eye drops. He said I will need to see another eye doc who may give me steroids. He said he couldn't give me them because he was only A&amp;amp;E (?)
Anyway, while my general feelings of illness (from the thyroid problem) is easing off due to the medication, my eyes are worse than ever. They are now bloodshot in the mornings and there is  gel-like yellowish mucus in them. In the mornings they are crusty. The swelling has now progressed to my inner eye lids.
So, my question is, is this normal for hyperthyroidism or should I contact my doc and ask her to send me to a private eye doctor (which will cost maybe €200). Or should I wait until I see the endocrinologist?</t>
        </is>
      </c>
      <c r="D1819" t="n">
        <v>1</v>
      </c>
      <c r="E1819" t="n">
        <v>0</v>
      </c>
      <c r="F1819">
        <f>HYPERLINK("https://www.reddit.com/r/eyetriage/comments/hhzced/swelling_around_eyes_for_3_months/")</f>
        <v/>
      </c>
      <c r="G1819" t="inlineStr">
        <is>
          <t>2020-06-29 05:55:27</t>
        </is>
      </c>
      <c r="H1819" t="inlineStr"/>
    </row>
    <row r="1820">
      <c r="A1820" t="inlineStr">
        <is>
          <t>hi2m5o</t>
        </is>
      </c>
      <c r="B1820" t="inlineStr">
        <is>
          <t>Grey veins(?) appearing around both my eyes</t>
        </is>
      </c>
      <c r="C1820" t="inlineStr">
        <is>
          <t>Image : [https://imgur.com/a/FyhANuW](https://imgur.com/a/FyhANuW)
There are these grey looking patches/veins (they seem to be larger than normal veins but its not exactly blobs of grey either) that appeared recently in both my eyes. They are mostly concentrated near the bottom of my eyes like in the pictures or towards the corners of my eyes. No other issues with my eyes besides it feeling slightly more fatigued lately but I also have a lot of screen time so I don't know if thats correlated.</t>
        </is>
      </c>
      <c r="D1820" t="n">
        <v>1</v>
      </c>
      <c r="E1820" t="n">
        <v>3</v>
      </c>
      <c r="F1820">
        <f>HYPERLINK("https://www.reddit.com/r/eyetriage/comments/hi2m5o/grey_veins_appearing_around_both_my_eyes/")</f>
        <v/>
      </c>
      <c r="G1820" t="inlineStr">
        <is>
          <t>2020-06-29 09:05:55</t>
        </is>
      </c>
      <c r="H1820" t="inlineStr"/>
    </row>
    <row r="1821">
      <c r="A1821" t="inlineStr">
        <is>
          <t>hidhzb</t>
        </is>
      </c>
      <c r="B1821" t="inlineStr">
        <is>
          <t>Halos and glare around lights at night</t>
        </is>
      </c>
      <c r="C1821" t="inlineStr">
        <is>
          <t>Hi there, I am going through epidemic keratoconjuctivitis for the last 6 months. I was on prednisolone for 4.5 months and now on FML. I have started noticing glare and halos around lights at night. I also know there is a subepithelial infiltrate in the center of my eye with some others scattered around the cornea. There is 1 right where the pupil is. 1 interesting thing is that when I look through a pinhole, the glare and halo reduces substantially. Could this centered infiltrate be causing the glare and halos?? I am really worried and hoping it’s not something serious? I have some redness and some mild pain in that eye too.</t>
        </is>
      </c>
      <c r="D1821" t="n">
        <v>1</v>
      </c>
      <c r="E1821" t="n">
        <v>2</v>
      </c>
      <c r="F1821">
        <f>HYPERLINK("https://www.reddit.com/r/eyetriage/comments/hidhzb/halos_and_glare_around_lights_at_night/")</f>
        <v/>
      </c>
      <c r="G1821" t="inlineStr">
        <is>
          <t>2020-06-29 18:30:55</t>
        </is>
      </c>
      <c r="H1821" t="inlineStr"/>
    </row>
    <row r="1822">
      <c r="A1822" t="inlineStr">
        <is>
          <t>hihrjq</t>
        </is>
      </c>
      <c r="B1822" t="inlineStr">
        <is>
          <t>Pain and strange phenomenon after blunt force trauma/onset of PVD</t>
        </is>
      </c>
      <c r="C1822" t="inlineStr">
        <is>
          <t>Last Tuesday I attended an emergency eye appointment after starting to see flashes following blunt trauma to the eye three days prior. I'm a high myope (-11). I was seen by two ophthalmologists and was told it was PVD. They explained what this means and all the signs to look for with a retinal detachment, and they're going to follow me up in two weeks.
Since I'd only had the injury three days prior at that point, at the time I didn't think to ask 'what about the pain?', but now, 10 days after the injury, I'm still getting pain, especially when I move my eye. Can anyone suggest what might still be giving me pain, as I'm aware that retinal issues/PVD are meant to be painless?
Also, for the last few days I've noticed that if I close my eyes in a reasonably bright room, I get a pattern of lines in the affected eye. I can only really describe them as on the top and bottom of my eye, slightly curved, bending towards the centre/vanishing point. They disappear after around 2 seconds. I can't see them with the eye open; it's closed only, and only when in a light room, but not outside (so when going from light to dark by closing my eyes - I guess outside it's still bright enough even with the eye closed).
I'd be grateful for any insight on what might be going on. I'm being followed up on 7 July so intend to report these issues then.</t>
        </is>
      </c>
      <c r="D1822" t="n">
        <v>1</v>
      </c>
      <c r="E1822" t="n">
        <v>0</v>
      </c>
      <c r="F1822">
        <f>HYPERLINK("https://www.reddit.com/r/eyetriage/comments/hihrjq/pain_and_strange_phenomenon_after_blunt_force/")</f>
        <v/>
      </c>
      <c r="G1822" t="inlineStr">
        <is>
          <t>2020-06-29 23:22:26</t>
        </is>
      </c>
      <c r="H1822" t="inlineStr"/>
    </row>
    <row r="1823">
      <c r="A1823" t="inlineStr">
        <is>
          <t>hiikgk</t>
        </is>
      </c>
      <c r="B1823" t="inlineStr">
        <is>
          <t>Blunt force trauma eye rupture. No chance of recovery?</t>
        </is>
      </c>
      <c r="C1823" t="inlineStr">
        <is>
          <t>Close family member who is a much kinder and better human being than I am suffered blunt force trauma to their eye (on the white part, not the cornea). The ER doctors say that there was a rupture. Is there any chance their vision can partially return after surgery? How critical is the timing of the surgery?
Sparse details for privacy's sake, sorry.</t>
        </is>
      </c>
      <c r="D1823" t="n">
        <v>1</v>
      </c>
      <c r="E1823" t="n">
        <v>9</v>
      </c>
      <c r="F1823">
        <f>HYPERLINK("https://www.reddit.com/r/eyetriage/comments/hiikgk/blunt_force_trauma_eye_rupture_no_chance_of/")</f>
        <v/>
      </c>
      <c r="G1823" t="inlineStr">
        <is>
          <t>2020-06-30 00:28:22</t>
        </is>
      </c>
      <c r="H1823" t="inlineStr"/>
    </row>
    <row r="1824">
      <c r="A1824" t="inlineStr">
        <is>
          <t>hiopte</t>
        </is>
      </c>
      <c r="B1824" t="inlineStr">
        <is>
          <t>Red and tired eyes, is contact lenses the way to go?</t>
        </is>
      </c>
      <c r="C1824" t="inlineStr">
        <is>
          <t>Hi,
&amp;amp;#x200B;
Since a year ago I've had trouble with my eyes.
&amp;amp;#x200B;
It all started at my work when I begun working as a software developer and I was sitting by my computer almost all day at work, and then I'd go home and continue programming/study at the computer. 
My eyes became red, and were littered with the red "strains"( I don't know what it's called)  making my eyes even more red, become irritated and and my eyes felt tired. My days changed a lot, I felt uncomfortable when talking with other people, and it really lowered my productivity.
I believe the cause of my irritated and red eyes are because I'm spending a lot of my time infront of a screen.
And since I'm a programmer I begun my googling and found out it could be CVS(Computer-vision syndrome), and I haven't really found anything that helped me. Tried different kinds of eye drops and the 20-20-20-rule, and none have helped. 
I then went to my local health center and spoke with a nurse who told me to put a few plants by my monitor, which didn't help at all.
I'm about to book and appointment at the optician, but I want to ask here first since it's kinda costly and I don't have much money at the moment. 
I've looked into the Acuvue Oasys Hydraluxe contact lenses, do anyone have any experience with them? On their page they specifically state that they help eyes during heavy screen time. 
&amp;amp;#x200B;
Is this the way to go? Use contact lenses when I have no known visual impairment?</t>
        </is>
      </c>
      <c r="D1824" t="n">
        <v>2</v>
      </c>
      <c r="E1824" t="n">
        <v>14</v>
      </c>
      <c r="F1824">
        <f>HYPERLINK("https://www.reddit.com/r/eyetriage/comments/hiopte/red_and_tired_eyes_is_contact_lenses_the_way_to_go/")</f>
        <v/>
      </c>
      <c r="G1824" t="inlineStr">
        <is>
          <t>2020-06-30 07:47:07</t>
        </is>
      </c>
      <c r="H1824" t="inlineStr"/>
    </row>
    <row r="1825">
      <c r="A1825" t="inlineStr">
        <is>
          <t>hiq0wu</t>
        </is>
      </c>
      <c r="B1825" t="inlineStr">
        <is>
          <t>MiBo Infrared heating pads for meibomian gland dysfunction</t>
        </is>
      </c>
      <c r="C1825" t="inlineStr">
        <is>
          <t>I was thinkin about buying MiBo heating pads, because they release constant heat (I don't ike other heating cloths as temperature is difficult to control and changed through the minutes; I usually end up putting too high temperature on eyes).
However, this mask uses infrared light to heat the skin and eyelids and I have read that infrared light can damage your eyes. I am worried because I would use this mask EVERYDAY to treat my dry eye. So I am afraid that it coud cause damage in the long run?  
Do you know about this? What does science say about these masks for the everyday use? Thanks!</t>
        </is>
      </c>
      <c r="D1825" t="n">
        <v>1</v>
      </c>
      <c r="E1825" t="n">
        <v>2</v>
      </c>
      <c r="F1825">
        <f>HYPERLINK("https://www.reddit.com/r/eyetriage/comments/hiq0wu/mibo_infrared_heating_pads_for_meibomian_gland/")</f>
        <v/>
      </c>
      <c r="G1825" t="inlineStr">
        <is>
          <t>2020-06-30 08:56:07</t>
        </is>
      </c>
      <c r="H1825" t="inlineStr"/>
    </row>
    <row r="1826">
      <c r="A1826" t="inlineStr">
        <is>
          <t>hjc3l6</t>
        </is>
      </c>
      <c r="B1826" t="inlineStr">
        <is>
          <t>Eye floaters question!</t>
        </is>
      </c>
      <c r="C1826" t="inlineStr">
        <is>
          <t>Eye floaters
Hello im a student 22 year old, and i gamed alot during the pandemic and quarantine, i was wondering is the google searches that the eye floaters might last from 3 to 6 months to settle? I need second opinions... actual opinions. And what should i be or not be worried about them... and recently ive seen them mostly when i wake up and after the nights sleep, only during bright enviroments/huge lights... or if i strain my eyes for too long. Ive changed my diet to a healthier perspective, been drinking lots of water, and as i read i dont have them as huge as some people do, but i definetely can see them bothering me as some strings that float in the eye when i move them across.
Thank u for the answers! And no i had no retinal detachment i was at the doc, ill go do another check up in two weeks as the monthly one to make sure aswell!
Edit;
I have had them about or over two weeks now, cant say they fell, but idk if they reduced or not... , and is the vitreoxygen a bad supplement to take?</t>
        </is>
      </c>
      <c r="D1826" t="n">
        <v>1</v>
      </c>
      <c r="E1826" t="n">
        <v>0</v>
      </c>
      <c r="F1826">
        <f>HYPERLINK("https://www.reddit.com/r/eyetriage/comments/hjc3l6/eye_floaters_question/")</f>
        <v/>
      </c>
      <c r="G1826" t="inlineStr">
        <is>
          <t>2020-07-01 08:11:50</t>
        </is>
      </c>
      <c r="H1826" t="inlineStr"/>
    </row>
    <row r="1827">
      <c r="A1827" t="inlineStr">
        <is>
          <t>hjhfia</t>
        </is>
      </c>
      <c r="B1827" t="inlineStr">
        <is>
          <t>[16yo]So I been studying the process of corneal cross linking, which I will be going through this friday, and I have noticed that people said you need to focus on a blur and not try not to move. How hard is this? What happens if I look away accidentally?</t>
        </is>
      </c>
      <c r="C1827" t="inlineStr">
        <is>
          <t>Im kinda nervous and I want to prepare for the procedure as much as I can, any advice or help is very much welcome. Thanks in advance.</t>
        </is>
      </c>
      <c r="D1827" t="n">
        <v>1</v>
      </c>
      <c r="E1827" t="n">
        <v>7</v>
      </c>
      <c r="F1827">
        <f>HYPERLINK("https://www.reddit.com/r/eyetriage/comments/hjhfia/16yoso_i_been_studying_the_process_of_corneal/")</f>
        <v/>
      </c>
      <c r="G1827" t="inlineStr">
        <is>
          <t>2020-07-01 12:40:21</t>
        </is>
      </c>
      <c r="H1827" t="inlineStr"/>
    </row>
    <row r="1828">
      <c r="A1828" t="inlineStr">
        <is>
          <t>hjqm7m</t>
        </is>
      </c>
      <c r="B1828" t="inlineStr">
        <is>
          <t>[24M] Severe eye pain, fatigue, and headaches when reading</t>
        </is>
      </c>
      <c r="C1828" t="inlineStr">
        <is>
          <t>I experience pain, mainly in my left eye but also in both, when reading for any sizeable amount of time (&amp;gt;3 minutes). This originally started ~9 months ago when reading small print but has progressed to reading both near and far, and even just watching TV, all of which I've severely cut back on in the last month or two. In lecture situations, I'll often fatigue to the point of falling asleep, no matter how well I slept or how much coffee I drink.
I've been tested multiple times and I've got 20/20 vision, slight dry eyes for which I use lubricating eye drops, and a slight convergence insufficiency (4 exophoria in my left eye in whatever units that uses), none of which doctors say are enough to explain the pain.
Weirdly this usually presents as a radiating pain from slightly above my left eye down my face that I can feel in my molar. I often get headaches that last for up to an hour and I have slight photophobia. When being tested I get this pain even when moving my eyes with my eyes closed, which my doctor thinks means this is a muscular or nerve disorder.
I have no prior trauma and I feel relatively unstressed given the circumstances. I've also been to a couple of ENTs, who ruled out sinusitis but did point out a slight TMJ, which flared up once but in general doesn't hurt.
I have plans to see neurologists specializing in headaches to hopefully get some scans and rule out migranes, cluster headaches, all this coming from TMJ, etc. Basically I want to know if there's anything else I should be doing because I'm getting pretty tired of this shit. And sorry for ranting.</t>
        </is>
      </c>
      <c r="D1828" t="n">
        <v>1</v>
      </c>
      <c r="E1828" t="n">
        <v>4</v>
      </c>
      <c r="F1828">
        <f>HYPERLINK("https://www.reddit.com/r/eyetriage/comments/hjqm7m/24m_severe_eye_pain_fatigue_and_headaches_when/")</f>
        <v/>
      </c>
      <c r="G1828" t="inlineStr">
        <is>
          <t>2020-07-01 21:51:50</t>
        </is>
      </c>
      <c r="H1828" t="inlineStr"/>
    </row>
    <row r="1829">
      <c r="A1829" t="inlineStr">
        <is>
          <t>hk5ymm</t>
        </is>
      </c>
      <c r="B1829" t="inlineStr">
        <is>
          <t>24M Question about Ulcerative Blepharitis medication.</t>
        </is>
      </c>
      <c r="C1829" t="inlineStr">
        <is>
          <t>I moved from Florida to Tennessee recently. I switched jobs and there is a 3 month period before my insurance from my new job will cover doctor visits and medication.
I have had severe Ulcerative Blepharitis my whole life (24 yo/male). I have prednisolone from my previous ophthalmologist, but I do not have any topical antibiotic ointment. The previous ointment I have been prescribed required a prescription.
Is there an alternative that I can buy over the counter that is safe to use on my eyelid?
I'm trying to avoid paying the high cost of a doctor visit while I do not have insurance, but my eye has become pretty enflamed in the last week.
Any help appreciated.</t>
        </is>
      </c>
      <c r="D1829" t="n">
        <v>1</v>
      </c>
      <c r="E1829" t="n">
        <v>1</v>
      </c>
      <c r="F1829">
        <f>HYPERLINK("https://www.reddit.com/r/eyetriage/comments/hk5ymm/24m_question_about_ulcerative_blepharitis/")</f>
        <v/>
      </c>
      <c r="G1829" t="inlineStr">
        <is>
          <t>2020-07-02 14:33:47</t>
        </is>
      </c>
      <c r="H1829" t="inlineStr"/>
    </row>
    <row r="1830">
      <c r="A1830" t="inlineStr">
        <is>
          <t>hk61oj</t>
        </is>
      </c>
      <c r="B1830" t="inlineStr">
        <is>
          <t>Rather worried about some visual anomalies.</t>
        </is>
      </c>
      <c r="C1830" t="inlineStr">
        <is>
          <t>Rather worried about anomalies with my vision.
I’m having a multitude of issues, vision was blurry in the left eye today, was fine yesterday. I’m seeing perfect black holes with a white outer ring when I look at lights for a certain period of time, the lights are blurry (I’m myopic) yet the the holes are perfectly defined and clear. The halos (not new) expand and retract around the lights around the lights (new)I looked at my pupils in the mirror and it looks like they’re expanding and dilating again, in a weird yet somewhat continuous rhythm (perhaps in line with my heartbeat?). This is in both eyes. I looked at an Amsler Grid because I read something about AMD and the Amsler grid itself looked fine, but after a few seconds of staring at it my vision would fade to black and I would see darkness with zigzag lines, almost like the covered eye was taking over and I was seeing the darkness in the other eye but with this visual disturbance which seems to be a kaleidoscope. I’ve caught this weird pattern a few other times and I have feeling it’s always there, I just see it clearly when I do that test. I have a routine eye check up booked for next week but I’m not sure if this warrants immediate attention. Any idea what’s going on here?</t>
        </is>
      </c>
      <c r="D1830" t="n">
        <v>1</v>
      </c>
      <c r="E1830" t="n">
        <v>1</v>
      </c>
      <c r="F1830">
        <f>HYPERLINK("https://www.reddit.com/r/eyetriage/comments/hk61oj/rather_worried_about_some_visual_anomalies/")</f>
        <v/>
      </c>
      <c r="G1830" t="inlineStr">
        <is>
          <t>2020-07-02 14:38:19</t>
        </is>
      </c>
      <c r="H1830" t="inlineStr"/>
    </row>
    <row r="1831">
      <c r="A1831" t="inlineStr">
        <is>
          <t>hk6vjr</t>
        </is>
      </c>
      <c r="B1831" t="inlineStr">
        <is>
          <t>Muro 128</t>
        </is>
      </c>
      <c r="C1831" t="inlineStr">
        <is>
          <t>Does anyone have experience with this medication? It says to be used every 3-4 hours but I’m curious to know what can happen it it was used every hour. Meds like Tylenol generally list risks of using more than recommended but I can’t find anything on Muro</t>
        </is>
      </c>
      <c r="D1831" t="n">
        <v>1</v>
      </c>
      <c r="E1831" t="n">
        <v>8</v>
      </c>
      <c r="F1831">
        <f>HYPERLINK("https://www.reddit.com/r/eyetriage/comments/hk6vjr/muro_128/")</f>
        <v/>
      </c>
      <c r="G1831" t="inlineStr">
        <is>
          <t>2020-07-02 15:23:09</t>
        </is>
      </c>
      <c r="H1831" t="inlineStr"/>
    </row>
    <row r="1832">
      <c r="A1832" t="inlineStr">
        <is>
          <t>hk7gvg</t>
        </is>
      </c>
      <c r="B1832" t="inlineStr">
        <is>
          <t>What's the worst eye prescription you've seen on a patient?</t>
        </is>
      </c>
      <c r="C1832" t="inlineStr">
        <is>
          <t>Anyone seen anything worse than -11?</t>
        </is>
      </c>
      <c r="D1832" t="n">
        <v>1</v>
      </c>
      <c r="E1832" t="n">
        <v>8</v>
      </c>
      <c r="F1832">
        <f>HYPERLINK("https://www.reddit.com/r/eyetriage/comments/hk7gvg/whats_the_worst_eye_prescription_youve_seen_on_a/")</f>
        <v/>
      </c>
      <c r="G1832" t="inlineStr">
        <is>
          <t>2020-07-02 15:55:45</t>
        </is>
      </c>
      <c r="H1832" t="inlineStr"/>
    </row>
    <row r="1833">
      <c r="A1833" t="inlineStr">
        <is>
          <t>hk8t32</t>
        </is>
      </c>
      <c r="B1833" t="inlineStr">
        <is>
          <t>5 year old crossed eye/double vision.</t>
        </is>
      </c>
      <c r="C1833" t="inlineStr">
        <is>
          <t>5 year old crossed eye
My 5 year old son presented yesterday with double vision and his left eye crossed. His eye was working this morning fine. Seems to be irritating him a little now. We took him to the ER yesterday. they did a quick MRI. They did not have any ideas as to what was going on. And they said the quick MRI looked normal. 
We saw an ophthalmologist at the Casey Eye Institute. She was very nice and very thorough. After many tests she can see that there are movement issues in both his eyes. Interestingly another child came in yesterday with the same symptoms. The doctor is currently working with a neuro ophthalmologist to come up with a plan but it looks like the following will most likely be done. 
I’m hoping someone can help explain what they are looking for with these tests. Or why they are the best options. 
1) Lumbar puncture to see if there is elevated pressure on his brain. She didn’t see symptoms of this in his exam but it seems like this is what she is leaning towards as the culprit. 
2) blood work to rule out Ocular Myasthenia. She didn’t see any signs of this during her tests and doesn’t think this is the cause, but it needs to be ruled out. 
3) COVID-19 test if they will let us. She kept coming back to this topic during our visit. I think the fact that another child came in with the same symptoms is making her curious about it. Another thing to rule out if it comes back negative. 
4) a sedated MRI so they can fully rule out any neurological issues in his brain.
All of these tests will probably happen, but they are trying to plan out the order to do them in. Test will most likely start on Monday.</t>
        </is>
      </c>
      <c r="D1833" t="n">
        <v>1</v>
      </c>
      <c r="E1833" t="n">
        <v>11</v>
      </c>
      <c r="F1833">
        <f>HYPERLINK("https://www.reddit.com/r/eyetriage/comments/hk8t32/5_year_old_crossed_eyedouble_vision/")</f>
        <v/>
      </c>
      <c r="G1833" t="inlineStr">
        <is>
          <t>2020-07-02 17:14:03</t>
        </is>
      </c>
      <c r="H1833" t="inlineStr"/>
    </row>
    <row r="1834">
      <c r="A1834" t="inlineStr">
        <is>
          <t>hk9k4s</t>
        </is>
      </c>
      <c r="B1834" t="inlineStr">
        <is>
          <t>Corner of my right eye looking orange-ish, is this normal?</t>
        </is>
      </c>
      <c r="C1834" t="inlineStr">
        <is>
          <t xml:space="preserve"> Tried taking some pictures but it was very hard to capture that part of the eye. Normally that part of my eye is pink but for my right eye, it recently started looking more orange recently. My eyes have been irritated due to screen time recently but I'm wondering, is this normal?</t>
        </is>
      </c>
      <c r="D1834" t="n">
        <v>1</v>
      </c>
      <c r="E1834" t="n">
        <v>0</v>
      </c>
      <c r="F1834">
        <f>HYPERLINK("https://www.reddit.com/r/eyetriage/comments/hk9k4s/corner_of_my_right_eye_looking_orangeish_is_this/")</f>
        <v/>
      </c>
      <c r="G1834" t="inlineStr">
        <is>
          <t>2020-07-02 18:00:32</t>
        </is>
      </c>
      <c r="H1834" t="inlineStr"/>
    </row>
    <row r="1835">
      <c r="A1835" t="inlineStr">
        <is>
          <t>hkqovx</t>
        </is>
      </c>
      <c r="B1835" t="inlineStr">
        <is>
          <t>Hello</t>
        </is>
      </c>
      <c r="C1835" t="inlineStr">
        <is>
          <t xml:space="preserve"> 
# Hey all!
📷
Today after a long time i sat down on pc for the first time in weeks and spent 2-3 hours in!  
I can still sadly notice the floaters on brighter areas in the monitor, but what's been bothering me even more is something else , and i wanna ask some of you if you all had this problem when u got the Floaters!
So what my "paranoid ass" has had me acting up now is that, whenever i move my eyes fast or too fast across the monitor screen i see some sort of a small DOT like sort of a black hole in the white areas , like sort of a flash of light but middle is not as lightly
📷
[ ](https://preview.redd.it/j9faezzzfp851.png?width=251&amp;amp;format=png&amp;amp;auto=webp&amp;amp;s=a9fc623ecb7fefa4ebbff3c3409306ac33a4d9cc)
sort of like this but the black is dim and i see through it, and it lasts just a small split second...
sort of like this but the black is dim and i see through it, and it lasts just a split second...
I dont know how else to explain it since english isnt my primary language. The flashes are not contionus, and i've noticed that i see that sort of in peripheral near or close the center? idk... but i do notice it now and i cannot unnotice it.... the other thing that bothers me is that i kinda do see it when i wake up and the eye floaters are more persistent when i wake up and then sort of go away and become less bothersome, but that "flash of black hole" sort of is active in dimly lit areas too for a split second and then goes away... is this normal and im just being paranoid? Or im just creating pressure on the vitreous humour and it creates a split second pressure on the retina? as i recently got the eye floaters too.</t>
        </is>
      </c>
      <c r="D1835" t="n">
        <v>1</v>
      </c>
      <c r="E1835" t="n">
        <v>0</v>
      </c>
      <c r="F1835">
        <f>HYPERLINK("https://www.reddit.com/r/eyetriage/comments/hkqovx/hello/")</f>
        <v/>
      </c>
      <c r="G1835" t="inlineStr">
        <is>
          <t>2020-07-03 13:49:36</t>
        </is>
      </c>
      <c r="H1835" t="inlineStr"/>
    </row>
    <row r="1836">
      <c r="A1836" t="inlineStr">
        <is>
          <t>hks8o8</t>
        </is>
      </c>
      <c r="B1836" t="inlineStr">
        <is>
          <t>What is the usual treatment for getting product in the eye? I got olaplex 3 in my eye 9 days ago and it's still bothering me</t>
        </is>
      </c>
      <c r="C1836" t="inlineStr">
        <is>
          <t>I know it's stupid that I didn't go to the eye doctor but I couldn't - I am remote and I am caring for 2 cancer patients. I guess I am wondering if I can expect long term damage at this point and I am curious about what would it could have been the treatment .</t>
        </is>
      </c>
      <c r="D1836" t="n">
        <v>1</v>
      </c>
      <c r="E1836" t="n">
        <v>5</v>
      </c>
      <c r="F1836">
        <f>HYPERLINK("https://www.reddit.com/r/eyetriage/comments/hks8o8/what_is_the_usual_treatment_for_getting_product/")</f>
        <v/>
      </c>
      <c r="G1836" t="inlineStr">
        <is>
          <t>2020-07-03 15:23:16</t>
        </is>
      </c>
      <c r="H1836" t="inlineStr"/>
    </row>
    <row r="1837">
      <c r="A1837" t="inlineStr">
        <is>
          <t>hkviki</t>
        </is>
      </c>
      <c r="B1837" t="inlineStr">
        <is>
          <t>How long does it take for the full pain to kick in after cxl?</t>
        </is>
      </c>
      <c r="C1837" t="inlineStr">
        <is>
          <t>I recently went through cxl and have little discomfort , how long does it usually takes for the pain to hit hard usually?</t>
        </is>
      </c>
      <c r="D1837" t="n">
        <v>1</v>
      </c>
      <c r="E1837" t="n">
        <v>0</v>
      </c>
      <c r="F1837">
        <f>HYPERLINK("https://www.reddit.com/r/eyetriage/comments/hkviki/how_long_does_it_take_for_the_full_pain_to_kick/")</f>
        <v/>
      </c>
      <c r="G1837" t="inlineStr">
        <is>
          <t>2020-07-03 19:07:53</t>
        </is>
      </c>
      <c r="H1837" t="inlineStr"/>
    </row>
    <row r="1838">
      <c r="A1838" t="inlineStr">
        <is>
          <t>hl28t8</t>
        </is>
      </c>
      <c r="B1838" t="inlineStr">
        <is>
          <t>Feels like somethings in my eye when I close it.</t>
        </is>
      </c>
      <c r="C1838" t="inlineStr">
        <is>
          <t>Every time I close my eye, it feels like something is in it. I washed it with water for like 5 mins and it didn’t help, so I used eye drops and there’s still irritation when I close my eye and blink. Any suggestions on what I should do to stop the irritation?</t>
        </is>
      </c>
      <c r="D1838" t="n">
        <v>1</v>
      </c>
      <c r="E1838" t="n">
        <v>4</v>
      </c>
      <c r="F1838">
        <f>HYPERLINK("https://www.reddit.com/r/eyetriage/comments/hl28t8/feels_like_somethings_in_my_eye_when_i_close_it/")</f>
        <v/>
      </c>
      <c r="G1838" t="inlineStr">
        <is>
          <t>2020-07-04 05:02:54</t>
        </is>
      </c>
      <c r="H1838" t="inlineStr"/>
    </row>
    <row r="1839">
      <c r="A1839" t="inlineStr">
        <is>
          <t>hlfnds</t>
        </is>
      </c>
      <c r="B1839" t="inlineStr">
        <is>
          <t>Vision problems after retinal detachment surgery</t>
        </is>
      </c>
      <c r="C1839" t="inlineStr">
        <is>
          <t>Posting bc I don't really know what else to do. TL;DR friend's vision is failing years after successful retinal detachment surgery and I'm wondering if this truly is the end for her vision.
A friend of mine, who roughly 9 years ago had seemingly successful retinal detachment surgery: she could see fine but with a really strong prescription. in the last month she started seeing doubles and colourful auras (?) around things which made it really hard to see and work. She went back to specialists who said her retinas were fine, got prescribed a bunch of migraine medications, none of which worked, and finally got an mri to see if it might be a tumour or another neurological issue.
Anyways, the last doctor who interpreted her results basically told her, no tumour, her retinas are not detaching again, her vision is just like this now. She is understandably devastated but especially because she is an animator and artist.
I'm not posting on her behalf but more like,  I feel really helpless! and want to help! I've been reading things about retinas that I barely understand, but is this really the end?? Wouldn't a 2nd opinion be helpful? Could her vision just clear up naturally over time?</t>
        </is>
      </c>
      <c r="D1839" t="n">
        <v>1</v>
      </c>
      <c r="E1839" t="n">
        <v>6</v>
      </c>
      <c r="F1839">
        <f>HYPERLINK("https://www.reddit.com/r/eyetriage/comments/hlfnds/vision_problems_after_retinal_detachment_surgery/")</f>
        <v/>
      </c>
      <c r="G1839" t="inlineStr">
        <is>
          <t>2020-07-04 20:01:37</t>
        </is>
      </c>
      <c r="H1839" t="inlineStr"/>
    </row>
    <row r="1840">
      <c r="A1840" t="inlineStr">
        <is>
          <t>hlfxaa</t>
        </is>
      </c>
      <c r="B1840" t="inlineStr">
        <is>
          <t>An estimate?</t>
        </is>
      </c>
      <c r="C1840" t="inlineStr">
        <is>
          <t xml:space="preserve">
Hi i havent gotten on anything ive asked here... so what im about to ask is; how long will the virteous humour act up till it settles down with the eye floaters, sometimes when i stare at screens alot i see a biiiit of visual snow(idk how to call the tinyyy small dots like safter rubbing your eyes and seeing stars?) but only on very bright surfaces(sky,wall in a light or smth white), and the headaches... i heard that it might go up to 3 months or even 6 till it sort of settles?? Is that true? Or what do i need to do...</t>
        </is>
      </c>
      <c r="D1840" t="n">
        <v>1</v>
      </c>
      <c r="E1840" t="n">
        <v>0</v>
      </c>
      <c r="F1840">
        <f>HYPERLINK("https://www.reddit.com/r/eyetriage/comments/hlfxaa/an_estimate/")</f>
        <v/>
      </c>
      <c r="G1840" t="inlineStr">
        <is>
          <t>2020-07-04 20:23:43</t>
        </is>
      </c>
      <c r="H1840" t="inlineStr"/>
    </row>
    <row r="1841">
      <c r="A1841" t="inlineStr">
        <is>
          <t>hlj5si</t>
        </is>
      </c>
      <c r="B1841" t="inlineStr">
        <is>
          <t>Chronic eye redness on my child. (Long story!)</t>
        </is>
      </c>
      <c r="C1841" t="inlineStr">
        <is>
          <t>My daughter is currently 8 years old and has been having recurrent eye redness for years. It all started when she was around 4 years old and i noticed one eye would turn red while the other eye was completely normal.  Besides the redness, she is light sensitive and has pain that she describes as something is "poking her eye"
I have been to multiple ophthalmologist and they always say it is just allergies. She had an allergy test and they told me she was allergic to mold, dust and tree pollen.
Because they believe its allergies, she is on multiple allergy medications. She has Cromolyn (4x day) olopatidine (2x day) and zaditor (2x day) eyedrops everyday plus takes 10ml of oral loratidine everyday.
NOTHING HELPS the eye redness go away. Steroid eyedrops are the only thing that will help but once we taper down and stop the steroid eyedrops the Eye redness flares up again! 
It is very frustrating going through this for years and i see how much discomfort my daughter goes through. Has anyone been through anything similar or any advice on what else i can do? I really dont think its allergies. The doctor says he doesnt not think its uveitis or JIA as she does not have any other symptoms besides the eye inflammation. Any info will be helpful! Thank you in advance</t>
        </is>
      </c>
      <c r="D1841" t="n">
        <v>1</v>
      </c>
      <c r="E1841" t="n">
        <v>9</v>
      </c>
      <c r="F1841">
        <f>HYPERLINK("https://www.reddit.com/r/eyetriage/comments/hlj5si/chronic_eye_redness_on_my_child_long_story/")</f>
        <v/>
      </c>
      <c r="G1841" t="inlineStr">
        <is>
          <t>2020-07-05 01:20:33</t>
        </is>
      </c>
      <c r="H1841" t="inlineStr"/>
    </row>
    <row r="1842">
      <c r="A1842" t="inlineStr">
        <is>
          <t>hljjjj</t>
        </is>
      </c>
      <c r="B1842" t="inlineStr">
        <is>
          <t>Scleral Buckle vs. Vitrectomy</t>
        </is>
      </c>
      <c r="C1842" t="inlineStr">
        <is>
          <t>I was diagnosed last week with a retinal detachment from 4-8 o'clock on my right eye. It doesn't effect my vision at all and was only found because I went to the optometrist for a few floaters I had been seeing in my eye for the last few months.
I was stationed in the military in Turkey when it was found and sent to a Turkish surgeon in the local city by the optometrist on base who originally found it. The Turkish surgeon examined me and said that the needed surgery is complex and required more follow-up than he could provide. He talked about there being a gas bubble involved and how gel would have to be removed.
After his recommendation I was flown as a wounded warrior, even though I'm nothing close to that, to a famous military hospital in the U.S. for surgery. The surgeon here was pissed that he had to see me on the holiday weekend and scoffed that the Turkish didn't operate. He said it's not that hard of a surgery and that the Scleral Buckle has been around for 100 years. He is now planning to operate this coming week because he wanted to get back to his weekend.
However, I realize now that he is doing a completely different and less complicated surgery than what the Turkish surgeon recommended for me. And that this is the reason that the Turkish couldn't provide follow-up for me. I'm wondering if before I have an irrevocable surgery done whether I should inquire about why he is not considering a vitrectomy? I feel like the Scleral Buckle is cheaper and easier, but I'm not sure if it is the best long-term solution for me especially since I have great vision and would prefer to avoid the change in eye shape that the Scleral Buckle will cause. Any thoughts?</t>
        </is>
      </c>
      <c r="D1842" t="n">
        <v>1</v>
      </c>
      <c r="E1842" t="n">
        <v>4</v>
      </c>
      <c r="F1842">
        <f>HYPERLINK("https://www.reddit.com/r/eyetriage/comments/hljjjj/scleral_buckle_vs_vitrectomy/")</f>
        <v/>
      </c>
      <c r="G1842" t="inlineStr">
        <is>
          <t>2020-07-05 01:58:37</t>
        </is>
      </c>
      <c r="H1842" t="inlineStr"/>
    </row>
    <row r="1843">
      <c r="A1843" t="inlineStr">
        <is>
          <t>hln1hl</t>
        </is>
      </c>
      <c r="B1843" t="inlineStr">
        <is>
          <t>Should I call on-call Optho again?</t>
        </is>
      </c>
      <c r="C1843" t="inlineStr">
        <is>
          <t>I had a serious detachment in my right eye and and after many laser treatments and 3 surgeries, it's at about 75% normal. Yesterday I had some flashes (not lightening bolts) and and then a ton of floaters and strands and a filmy covering over my left eye.
I called the on-call optho at my local practice and he said as long there was no change in my peripheral vision or large black areas, I would probably be alright until Monday when he could get me into the schedule as an emergency.
He told me to call back if anything changed or I wanted to talk to him further. Last night the film/floaters/strands were so bad that I could barely see out my left eye. Today it's better, but filmy and ever changing. I need some crowd sourced reassurance that I should be alright until tomorrow.
What do you think?  Call him back today or wait?</t>
        </is>
      </c>
      <c r="D1843" t="n">
        <v>1</v>
      </c>
      <c r="E1843" t="n">
        <v>2</v>
      </c>
      <c r="F1843">
        <f>HYPERLINK("https://www.reddit.com/r/eyetriage/comments/hln1hl/should_i_call_oncall_optho_again/")</f>
        <v/>
      </c>
      <c r="G1843" t="inlineStr">
        <is>
          <t>2020-07-05 06:56:54</t>
        </is>
      </c>
      <c r="H1843" t="inlineStr"/>
    </row>
    <row r="1844">
      <c r="A1844" t="inlineStr">
        <is>
          <t>hlnexr</t>
        </is>
      </c>
      <c r="B1844" t="inlineStr">
        <is>
          <t>Inflammed Lacrimal caruncle and Plica semilunaris</t>
        </is>
      </c>
      <c r="C1844" t="inlineStr">
        <is>
          <t>Hi there! It's been about 3 months since I have been experiencing irritation and inflammation in my left eye. I've been to two ophthalmologists (the second one was at a well known eye institute for serious problem). The first ophthalmologist prescribed pink eye drops and told me to also take antihistamine drops. It never got better. Then I was prescribed azithromycin. Still not better. The second ophthalmologist prescribed steroid drops (Fluorometholon) for four weeks, which didn't seem to make much of a difference. This only made a slight improvement. I am still experiencing some foregin body sensation in the corner of my eye and both the lacrimal caruncle and plica semilunaris appear to be red and mildly inflammed.
If anyone knows a little more about what this or could leave some advice I would really appreciate your input. Thanks you so much!</t>
        </is>
      </c>
      <c r="D1844" t="n">
        <v>1</v>
      </c>
      <c r="E1844" t="n">
        <v>0</v>
      </c>
      <c r="F1844">
        <f>HYPERLINK("https://www.reddit.com/r/eyetriage/comments/hlnexr/inflammed_lacrimal_caruncle_and_plica_semilunaris/")</f>
        <v/>
      </c>
      <c r="G1844" t="inlineStr">
        <is>
          <t>2020-07-05 07:22:28</t>
        </is>
      </c>
      <c r="H1844" t="inlineStr"/>
    </row>
    <row r="1845">
      <c r="A1845" t="inlineStr">
        <is>
          <t>hlnhmt</t>
        </is>
      </c>
      <c r="B1845" t="inlineStr">
        <is>
          <t>Way Too Many Floaters</t>
        </is>
      </c>
      <c r="C1845" t="inlineStr">
        <is>
          <t>Okay so about 2 weeks ago I started seeing my floaters a lot more often. Also in a lot bigger quantities. It’s gone from maybe 1 or 2 to 40-70. Lucky I don’t see all of them all the time, only about 5 stay there always. When I’m outside though, I notice them so often that it’s been starting to piss me off. They’re in clumps and lines of clumps and having them there everyone I go outside (I’m outside more often than inside) can be very annoying. Anyone know why I might have so many, why I started to notice them, if they’ll ever go away, and if they won’t what I can do to get rid of them.</t>
        </is>
      </c>
      <c r="D1845" t="n">
        <v>1</v>
      </c>
      <c r="E1845" t="n">
        <v>5</v>
      </c>
      <c r="F1845">
        <f>HYPERLINK("https://www.reddit.com/r/eyetriage/comments/hlnhmt/way_too_many_floaters/")</f>
        <v/>
      </c>
      <c r="G1845" t="inlineStr">
        <is>
          <t>2020-07-05 07:27:35</t>
        </is>
      </c>
      <c r="H1845" t="inlineStr"/>
    </row>
    <row r="1846">
      <c r="A1846" t="inlineStr">
        <is>
          <t>hlv1uh</t>
        </is>
      </c>
      <c r="B1846" t="inlineStr">
        <is>
          <t>Advice after you undergo CXL</t>
        </is>
      </c>
      <c r="C1846" t="inlineStr">
        <is>
          <t>This is my 3rd dah after cxl and I just discovered something incredibly helpful. If you have air directly pointing at your eyes. DAMN it feels good. It's helping me use my phone to deal with boredom, and the cold breeze really helps with the discomfort. Thought I would put it out there for anyone who may need it</t>
        </is>
      </c>
      <c r="D1846" t="n">
        <v>3</v>
      </c>
      <c r="E1846" t="n">
        <v>0</v>
      </c>
      <c r="F1846">
        <f>HYPERLINK("https://www.reddit.com/r/eyetriage/comments/hlv1uh/advice_after_you_undergo_cxl/")</f>
        <v/>
      </c>
      <c r="G1846" t="inlineStr">
        <is>
          <t>2020-07-05 14:54:58</t>
        </is>
      </c>
      <c r="H1846" t="inlineStr"/>
    </row>
    <row r="1847">
      <c r="A1847" t="inlineStr">
        <is>
          <t>hmb4f5</t>
        </is>
      </c>
      <c r="B1847" t="inlineStr">
        <is>
          <t>Do I need prescription computer glasses ?</t>
        </is>
      </c>
      <c r="C1847" t="inlineStr">
        <is>
          <t>&amp;amp;#x200B;
I am having eyestrain  when using a computer(when I read particularly not when watching movies) and I was thinking of trying computer glasses (one which have reduced prescription for intermediate vision) . But I read that they are needed by people who are 40 or more. I am 18.
My current glasses (distance vision) have anti reflective coating and a blue light filter and i still get eyestrain so I was wondering if its normal for people who are not 40 to require them.</t>
        </is>
      </c>
      <c r="D1847" t="n">
        <v>1</v>
      </c>
      <c r="E1847" t="n">
        <v>4</v>
      </c>
      <c r="F1847">
        <f>HYPERLINK("https://www.reddit.com/r/eyetriage/comments/hmb4f5/do_i_need_prescription_computer_glasses/")</f>
        <v/>
      </c>
      <c r="G1847" t="inlineStr">
        <is>
          <t>2020-07-06 09:43:36</t>
        </is>
      </c>
      <c r="H1847" t="inlineStr"/>
    </row>
    <row r="1848">
      <c r="A1848" t="inlineStr">
        <is>
          <t>hmijlc</t>
        </is>
      </c>
      <c r="B1848" t="inlineStr">
        <is>
          <t>Eyes changed colour</t>
        </is>
      </c>
      <c r="C1848" t="inlineStr">
        <is>
          <t>Hi,
I always had dark brown eyes as a child and teenager and a few years ago (when I was about 25) I noticed they were suddenly green. I assumed it was maybe an age thing and I know people's eyes do sometimes like slightly different in different lights, so maybe it was a more extreme version of that. 
Feeling a bit bored, I've just done a bit of googling to see why it happens, expecting some interesting but routine answer. However, it looks like it's really uncommon and can be a sign of something more sinister. 
Is this always the case?
I've obviously been okay for this long so I'm not worried, but surprised!</t>
        </is>
      </c>
      <c r="D1848" t="n">
        <v>1</v>
      </c>
      <c r="E1848" t="n">
        <v>13</v>
      </c>
      <c r="F1848">
        <f>HYPERLINK("https://www.reddit.com/r/eyetriage/comments/hmijlc/eyes_changed_colour/")</f>
        <v/>
      </c>
      <c r="G1848" t="inlineStr">
        <is>
          <t>2020-07-06 15:55:01</t>
        </is>
      </c>
      <c r="H1848" t="inlineStr"/>
    </row>
    <row r="1849">
      <c r="A1849" t="inlineStr">
        <is>
          <t>hmk8jl</t>
        </is>
      </c>
      <c r="B1849" t="inlineStr">
        <is>
          <t>Could I have Glaucoma/Should I start eye drops?</t>
        </is>
      </c>
      <c r="C1849" t="inlineStr">
        <is>
          <t>I’m a 17 year old female with no family history of glaucoma. My great aunt has tested 27-30 eye pressure since she was 23 and has a thick cornea (she has never done eye drops). I have been going to an optometrist for 4 years now and have had eye pressure between 21-26 (using the blue light test, NOT the puff of air). I just got my cornea measured and it came back thicker than normal (585). I get SUPER anxious before going to the eye doctor and I’m wondering if that has anything to do with how high my eye pressure reads. I’m freaking out because I’m scared of going blind. I have heard the side effects of drops are not fun so I would like to avoid them unless it seems necessary. 
I just need some advice/how bad does my situation seem, I have been depressed lately thinking about what life would be without vision :(</t>
        </is>
      </c>
      <c r="D1849" t="n">
        <v>1</v>
      </c>
      <c r="E1849" t="n">
        <v>4</v>
      </c>
      <c r="F1849">
        <f>HYPERLINK("https://www.reddit.com/r/eyetriage/comments/hmk8jl/could_i_have_glaucomashould_i_start_eye_drops/")</f>
        <v/>
      </c>
      <c r="G1849" t="inlineStr">
        <is>
          <t>2020-07-06 17:35:51</t>
        </is>
      </c>
      <c r="H1849" t="inlineStr"/>
    </row>
    <row r="1850">
      <c r="A1850" t="inlineStr">
        <is>
          <t>hmp6ob</t>
        </is>
      </c>
      <c r="B1850" t="inlineStr">
        <is>
          <t>About 3 months ago I noticed my vision was slightly blurry from diplopia in both eyes. Cornea specialist attributes it to my astigmatism</t>
        </is>
      </c>
      <c r="C1850" t="inlineStr">
        <is>
          <t>After seeing a cornea specialist and having my corneas mapped, they believe the cause is from asymmetric astigmatism in both of my eyes. But something that remains unanswered is why did both of my eyes seemingly flare up in the same time frame.
Recently I started to notice a specific region of the corner my eye is getting bloodshot without any irritation. It seems to flare up after any moderate physical exertion, but I've also noticed it without any exertion. The same eye has also been having periodic, mild throbbing/aching pain the past few days. Could this be from eye strain from lack of corrected vision?
I'm in the process of getting fitted for either toric or GP lenses so I still do not have fully corrected vision, but I don't feel like I'm straining that much to compensate for the ghost images/smearing. Should I try to schedule a sooner appointment to see my ophthalmologist?</t>
        </is>
      </c>
      <c r="D1850" t="n">
        <v>1</v>
      </c>
      <c r="E1850" t="n">
        <v>0</v>
      </c>
      <c r="F1850">
        <f>HYPERLINK("https://www.reddit.com/r/eyetriage/comments/hmp6ob/about_3_months_ago_i_noticed_my_vision_was/")</f>
        <v/>
      </c>
      <c r="G1850" t="inlineStr">
        <is>
          <t>2020-07-06 23:20:56</t>
        </is>
      </c>
      <c r="H1850" t="inlineStr"/>
    </row>
    <row r="1851">
      <c r="A1851" t="inlineStr">
        <is>
          <t>hn068d</t>
        </is>
      </c>
      <c r="B1851" t="inlineStr">
        <is>
          <t>What to look up in a screen in order to prevent eyestrain besides antiglare and blue light filtering? (already went to see a doctor)</t>
        </is>
      </c>
      <c r="C1851" t="inlineStr">
        <is>
          <t>I feel eyestrain everyday. Even after making the habits of blinking often, taking breaks(i even got apps and programs to remind me of that), antiglare, blue light filtering, propper ergonomic desk and chair, brightness according to room light, and so on.
 I went to see my ophtalmologist for a regular check, he said my vision was fine(no need for glasses) and that i needed to reduce electronic device usage. That's not an option having in mind that i am in college and we are given many pdfs for reading (i try to get physical copies or propper ebook versions with font type/size options when possible).
 I already have a kindle paperwhite, however when it comes to reading college pdfs and stuff is bad. My laptop is 6 years old, so i plan to buy a new one(or a tablet) having in mind my recurrent eyestrain, in hopes of reducing or maybe completely getting rid of it.
What should i have in mind? Ppi, hz refresh rate, screen resolution,etc? Should i get the ipad pro which has 120hz refresh rate with an antiglare protector? Is a 13 inch computer worse for eyestrain?
What are your suggestions?</t>
        </is>
      </c>
      <c r="D1851" t="n">
        <v>1</v>
      </c>
      <c r="E1851" t="n">
        <v>7</v>
      </c>
      <c r="F1851">
        <f>HYPERLINK("https://www.reddit.com/r/eyetriage/comments/hn068d/what_to_look_up_in_a_screen_in_order_to_prevent/")</f>
        <v/>
      </c>
      <c r="G1851" t="inlineStr">
        <is>
          <t>2020-07-07 11:31:20</t>
        </is>
      </c>
      <c r="H1851" t="inlineStr"/>
    </row>
    <row r="1852">
      <c r="A1852" t="inlineStr">
        <is>
          <t>hn3qwl</t>
        </is>
      </c>
      <c r="B1852" t="inlineStr">
        <is>
          <t>Please give your opinion ! Kinda desperate with my eyes ! Possible allergies</t>
        </is>
      </c>
      <c r="C1852" t="inlineStr">
        <is>
          <t xml:space="preserve"> Hello Guys and Gals , I would appreciate any opinion cuz I'm kind of fed up with how my allergies have been this year. So here it goes : I am allergic to quite a lot of stuff including the dog that I have so I'm gonna spare you all the stuff that I am allergic to. I'm quite used to sinus issues and stuffy nose pretty much all year round. That's not the problem this time. The issue is that 3 or 4 months ago I started having a lot of issues with my eyes . I've gone to 2 ophthalmologists both of which are quite good and I do indeed trust them because they have helped me before. The first one said it's due to my sinus being full and stuff gave me a lot of eye drops steroids etc. It did help a bit but not much also I took Xyzal (newer version of Zyrtec pretty much for those who haven't heard it). I have severe light sensitivity and my vision becomes blurry as the day goes on. That's my issue when I wake up in the mornings and early afternoon it's tolerable I can get some work done without much issues . However as the days go on things worsen when at night time most of the time it's really hard for me to work on the computer or watch tv etc. because of the light sensitivity (from which my I develop tension headaches because i squint my eyes ). I was kinda searching the internet because time went by but my condition didn't improve much. I am hypochondriac btw... So because of that I did some research and was beginning to think that I have chronic dry eye or something even more serious (blocked tear ducts ... etc)as I said I am hypochondriac so that's how it goes :D. My mother who works in a hospital said that she will take me to her friend who is the best ophthalmologist in the hospital for a second opinion just because things weren't working out much and I was getting more worried . However she pretty much said the same that it's due to allergies (plus I have just a tiny bit of a lazy eye which was adjusting due to the age that I'am in I'm 28) . So she did change my treatment a bit and I was kind of feeling better for a bit . However when I have to use the computer a lot or watch a lot of tv the next day my eyes become worse. I also have tiny bits of stringy mucus ( clear not yellow) but not much. My eyes do itch but not much , also they aren't really red . They have tiny bits of red but not much. So my issue is that I need to work ( as everyone I guess :D) which during the day is fine but if I have to work in the evenings or watch some TV it's bad because of the light sensitivity and my eyes become easily exhausted by that. By the way I do still work like that it's not to the point that it's impossible ( at least most of the time , cuz sometimes it's ). So my quetion to all of you is what's your opinion because I'm starting to question the diagnosis of allergic conjunctivitis again ? As I said I am hypochondriac , I do stress it a lot and stuff it's just what it is , so excuse me for asking for kind of reassurance :) . So to sum up my eyes are mostly clear , they don't itch much , they do have some mucus but only tiny bits and mostly when I overdo with computer and TV stuff, I have severe light sensitivity and my vision becomes worse as the day goes ? Also I do have other allergy symptoms at the moment with sinus, nasal stuff etc . My issue is that I do indeed tick some boxes for allergic conjunctivitis however some things don't quite make sense ( that my eyes are mostly clear and don't itch that much) . So I am not gonna waste more of your time , even if You have read all of my "novel" :D I really appreciate it because it's quite long ? What do you think , am I being stressed for nothing which will not be the first time and trust the 2 specialists that I've been to more ? Have you had similar issues ? Anything will be much appreciated ! Thank You!</t>
        </is>
      </c>
      <c r="D1852" t="n">
        <v>1</v>
      </c>
      <c r="E1852" t="n">
        <v>0</v>
      </c>
      <c r="F1852">
        <f>HYPERLINK("https://www.reddit.com/r/eyetriage/comments/hn3qwl/please_give_your_opinion_kinda_desperate_with_my/")</f>
        <v/>
      </c>
      <c r="G1852" t="inlineStr">
        <is>
          <t>2020-07-07 14:40:34</t>
        </is>
      </c>
      <c r="H1852" t="inlineStr"/>
    </row>
    <row r="1853">
      <c r="A1853" t="inlineStr">
        <is>
          <t>hn5pqv</t>
        </is>
      </c>
      <c r="B1853" t="inlineStr">
        <is>
          <t>What is it called when your eyes are only able to focus on a small area and the rest is blurry/indiscernible</t>
        </is>
      </c>
      <c r="C1853" t="inlineStr">
        <is>
          <t>Some tumor in my midbrain messed up my vision and I'm trying to find out the name of my problem</t>
        </is>
      </c>
      <c r="D1853" t="n">
        <v>1</v>
      </c>
      <c r="E1853" t="n">
        <v>2</v>
      </c>
      <c r="F1853">
        <f>HYPERLINK("https://www.reddit.com/r/eyetriage/comments/hn5pqv/what_is_it_called_when_your_eyes_are_only_able_to/")</f>
        <v/>
      </c>
      <c r="G1853" t="inlineStr">
        <is>
          <t>2020-07-07 16:28:53</t>
        </is>
      </c>
      <c r="H1853" t="inlineStr"/>
    </row>
    <row r="1854">
      <c r="A1854" t="inlineStr">
        <is>
          <t>hn9w0b</t>
        </is>
      </c>
      <c r="B1854" t="inlineStr">
        <is>
          <t>Could I have glaucoma?</t>
        </is>
      </c>
      <c r="C1854" t="inlineStr">
        <is>
          <t>My vision has been getting worse over the past 7 months, more specifically, my peripheral vision. It seems like it's closing in; looks hazy/slightly cloudy and just very unfocused, to the point where I found it hard making things out in my peripheral vision. Ive seen my ophthalmologist a couple times and had multiple different scans with him and an MRI and they can't find anything. At night, the cloudy peripheral is a lot more apparent, and being in a light supermarket and then coming home my vision goes quite dim, also my eyes feel heavy and pressurized. Can it be glaucoma or some other serious degenerative disease?</t>
        </is>
      </c>
      <c r="D1854" t="n">
        <v>1</v>
      </c>
      <c r="E1854" t="n">
        <v>7</v>
      </c>
      <c r="F1854">
        <f>HYPERLINK("https://www.reddit.com/r/eyetriage/comments/hn9w0b/could_i_have_glaucoma/")</f>
        <v/>
      </c>
      <c r="G1854" t="inlineStr">
        <is>
          <t>2020-07-07 20:48:25</t>
        </is>
      </c>
      <c r="H1854" t="inlineStr"/>
    </row>
    <row r="1855">
      <c r="A1855" t="inlineStr">
        <is>
          <t>hndasl</t>
        </is>
      </c>
      <c r="B1855" t="inlineStr">
        <is>
          <t>Peripheral flashes a year after a PVD</t>
        </is>
      </c>
      <c r="C1855" t="inlineStr">
        <is>
          <t>I saw my ophthalmologist two weeks ago, and was told my retina looks good.  My problem is I forgot to ask him if there's any reason to be worried about still seeing occasional peripheral flashes.
Should I call him and make another appointment, or is this known to happen in some patients?
I have another question:  Is there any relationship between dehydration and PVDs and peripheral flashes?
Thank you.</t>
        </is>
      </c>
      <c r="D1855" t="n">
        <v>1</v>
      </c>
      <c r="E1855" t="n">
        <v>2</v>
      </c>
      <c r="F1855">
        <f>HYPERLINK("https://www.reddit.com/r/eyetriage/comments/hndasl/peripheral_flashes_a_year_after_a_pvd/")</f>
        <v/>
      </c>
      <c r="G1855" t="inlineStr">
        <is>
          <t>2020-07-08 01:25:39</t>
        </is>
      </c>
      <c r="H1855" t="inlineStr"/>
    </row>
    <row r="1856">
      <c r="A1856" t="inlineStr">
        <is>
          <t>hnfard</t>
        </is>
      </c>
      <c r="B1856" t="inlineStr">
        <is>
          <t>Cotton wool spot</t>
        </is>
      </c>
      <c r="C1856" t="inlineStr">
        <is>
          <t>If somebody is diagnosed with a cotton wool spot and swollen retina that is causing a scotoma, will their normal vision return when the cotton wool spot disappears? 
This somebody is under the care of an ophthalmology team (next appointment in 2 weeks) and is otherwise young, healthy, and doesn't have high blood pressure or high blood sugar.</t>
        </is>
      </c>
      <c r="D1856" t="n">
        <v>1</v>
      </c>
      <c r="E1856" t="n">
        <v>0</v>
      </c>
      <c r="F1856">
        <f>HYPERLINK("https://www.reddit.com/r/eyetriage/comments/hnfard/cotton_wool_spot/")</f>
        <v/>
      </c>
      <c r="G1856" t="inlineStr">
        <is>
          <t>2020-07-08 04:22:13</t>
        </is>
      </c>
      <c r="H1856" t="inlineStr"/>
    </row>
    <row r="1857">
      <c r="A1857" t="inlineStr">
        <is>
          <t>hnk1oh</t>
        </is>
      </c>
      <c r="B1857" t="inlineStr">
        <is>
          <t>Can short exposure to an extremely bright LED advertisement cause any damage to my eyes?</t>
        </is>
      </c>
      <c r="C1857" t="inlineStr">
        <is>
          <t>I've accidentally looked at a big LED advertisement that is overly bright from a near distance. My eyes hurt immediately, forcing me to look away. How likely does such a short exposure to high-intensity light cause damage to one's retina?</t>
        </is>
      </c>
      <c r="D1857" t="n">
        <v>1</v>
      </c>
      <c r="E1857" t="n">
        <v>5</v>
      </c>
      <c r="F1857">
        <f>HYPERLINK("https://www.reddit.com/r/eyetriage/comments/hnk1oh/can_short_exposure_to_an_extremely_bright_led/")</f>
        <v/>
      </c>
      <c r="G1857" t="inlineStr">
        <is>
          <t>2020-07-08 09:20:53</t>
        </is>
      </c>
      <c r="H1857" t="inlineStr"/>
    </row>
    <row r="1858">
      <c r="A1858" t="inlineStr">
        <is>
          <t>hnpzfa</t>
        </is>
      </c>
      <c r="B1858" t="inlineStr">
        <is>
          <t>Eye muscle pain</t>
        </is>
      </c>
      <c r="C1858" t="inlineStr">
        <is>
          <t>I have been experiencing eye muscle pain off and on for a few weeks now. The pain is located above and in from my left eye. I often, but not exclusively, notice it while reading a computer screen or book. I often, but not exclusively, feel it when my left eye is looking up and to the left. The pain is of short duration--a second or so, and about a 3/10 in terms of pain. It almost feels like a brief muscle spasm. I do not have blurry or double vision.
I have had two bouts of this problem. The first time lasted about four days, gradually getting better until going  away for a few days.  This second bout has lasted about a week now, with perhaps a gradual diminution of pain, at best, as a result.
I just had a full eye exam a month ago before this started, so I feel kinda silly going back in. Any ideas on what it could be? I've suspected it is EVS, but following the 20/20/20 rule, etc, isn't seeming to make much of a dent. I also regularly use eye drops.</t>
        </is>
      </c>
      <c r="D1858" t="n">
        <v>1</v>
      </c>
      <c r="E1858" t="n">
        <v>4</v>
      </c>
      <c r="F1858">
        <f>HYPERLINK("https://www.reddit.com/r/eyetriage/comments/hnpzfa/eye_muscle_pain/")</f>
        <v/>
      </c>
      <c r="G1858" t="inlineStr">
        <is>
          <t>2020-07-08 14:28:03</t>
        </is>
      </c>
      <c r="H1858" t="inlineStr"/>
    </row>
    <row r="1859">
      <c r="A1859" t="inlineStr">
        <is>
          <t>hnz07o</t>
        </is>
      </c>
      <c r="B1859" t="inlineStr">
        <is>
          <t>my eyes don’t feel right</t>
        </is>
      </c>
      <c r="C1859" t="inlineStr">
        <is>
          <t>the veins in my eyes have been pretty red for over a week. i got an eyelash in one of my eyes a few days ago and it seems like it might have poked my eye a tiny bit and left a mark. but there’s also a very faint yellow film over my eye. my veins just haven’t ever been this pronounced for this long and i have anxiety so i’m not sure what’s going on</t>
        </is>
      </c>
      <c r="D1859" t="n">
        <v>1</v>
      </c>
      <c r="E1859" t="n">
        <v>3</v>
      </c>
      <c r="F1859">
        <f>HYPERLINK("https://www.reddit.com/r/eyetriage/comments/hnz07o/my_eyes_dont_feel_right/")</f>
        <v/>
      </c>
      <c r="G1859" t="inlineStr">
        <is>
          <t>2020-07-09 00:44:16</t>
        </is>
      </c>
      <c r="H1859" t="inlineStr"/>
    </row>
    <row r="1860">
      <c r="A1860" t="inlineStr">
        <is>
          <t>hoii7o</t>
        </is>
      </c>
      <c r="B1860" t="inlineStr">
        <is>
          <t>I’m taking Inveltys for GVHD. How long can I take it safely?</t>
        </is>
      </c>
      <c r="C1860" t="inlineStr">
        <is>
          <t>Google tells me 14 days.  It was 14 days yesterday.   I see ophthalmologist tomorrow but I’m concerned she may want to extend it.   Can that be done safely?  Or should she start tapering it off?   TY.</t>
        </is>
      </c>
      <c r="D1860" t="n">
        <v>1</v>
      </c>
      <c r="E1860" t="n">
        <v>6</v>
      </c>
      <c r="F1860">
        <f>HYPERLINK("https://www.reddit.com/r/eyetriage/comments/hoii7o/im_taking_inveltys_for_gvhd_how_long_can_i_take/")</f>
        <v/>
      </c>
      <c r="G1860" t="inlineStr">
        <is>
          <t>2020-07-09 21:31:23</t>
        </is>
      </c>
      <c r="H1860" t="inlineStr"/>
    </row>
    <row r="1861">
      <c r="A1861" t="inlineStr">
        <is>
          <t>hoj1yr</t>
        </is>
      </c>
      <c r="B1861" t="inlineStr">
        <is>
          <t>Is it OK to put a Gel vial in the fridge.</t>
        </is>
      </c>
      <c r="C1861" t="inlineStr">
        <is>
          <t>I am using Thealoz Duo Gel and it says it should be kept below 25 degrees Celsius but the thing is the only place that could be possible Is my fridge because now it's summer and it's above that. So I just put it in the fridge and use it but I am afraid that it's going to get infected by bacteria and microbes in the fridge. Is that possible? I put it in a small cup of coffee so it doesn't touch anything in the fridge but aren't a lot of bacteria in the air and all that since it's open from the top side(the cup, not the vial). Should I stop doing that, or if the gel vial doesn't touch anything I am fine?</t>
        </is>
      </c>
      <c r="D1861" t="n">
        <v>1</v>
      </c>
      <c r="E1861" t="n">
        <v>6</v>
      </c>
      <c r="F1861">
        <f>HYPERLINK("https://www.reddit.com/r/eyetriage/comments/hoj1yr/is_it_ok_to_put_a_gel_vial_in_the_fridge/")</f>
        <v/>
      </c>
      <c r="G1861" t="inlineStr">
        <is>
          <t>2020-07-09 22:13:11</t>
        </is>
      </c>
      <c r="H1861" t="inlineStr"/>
    </row>
    <row r="1862">
      <c r="A1862" t="inlineStr">
        <is>
          <t>homzh8</t>
        </is>
      </c>
      <c r="B1862" t="inlineStr">
        <is>
          <t>My eye may have been damaged by a "Slip" of an Alger Brush, but I don't know if that's really possible</t>
        </is>
      </c>
      <c r="C1862" t="inlineStr">
        <is>
          <t>Is an injury from an Alger Brush even possible? 
Doctor  was rushed, as there was a forest fire bearing down on my medium-sized  city  (I live in the intermountian western U.S. and this happened during  fire season---the fire burned many homes the following day.)   The  piece of rust stuck in the surface layer of my eye was giving me great  pain, so I went in anyway, even though I should have been packing to  evacuate.  Doctor and assistants were so rushed and scrambling to  accommodate me before they left the clinic.  I should have waited, I  know.  The fire didn't even reach the clinic office.
During  the foreign body removal, I felt a VERY sharp pain.  I yelled and leapt  backward out of the chair.  Doctor said: "It's ok, I got it out."  I  asked about the pain, and he said: "Everyone has some pain."  He gave me  medicine to take intraocularly, and I followed his directions to the  letter over the next few weeks.  However, I began to notice a strange  astigmatism in that eye over the next couple weeks, like nothing I had  ever seen before.  I would look at the moon, and I would see the moon,  but I would also see a "second", "ghost" moon offset approximately  1.5degrees down and to the right, which, if flipped, would correspond to  the location of my injury.
I went  back to the clinic to ask about it, and they told me: "That is just the  process of the eye healing.  Eyes heal extremely slowly."  It has now  been a long time.  Nothing has changed.  How likely is this to heal?   What should I do?
I had no records of my vision before the injury, so no way to "prove" to a court that I was injured.</t>
        </is>
      </c>
      <c r="D1862" t="n">
        <v>1</v>
      </c>
      <c r="E1862" t="n">
        <v>23</v>
      </c>
      <c r="F1862">
        <f>HYPERLINK("https://www.reddit.com/r/eyetriage/comments/homzh8/my_eye_may_have_been_damaged_by_a_slip_of_an/")</f>
        <v/>
      </c>
      <c r="G1862" t="inlineStr">
        <is>
          <t>2020-07-10 04:04:59</t>
        </is>
      </c>
      <c r="H1862" t="inlineStr"/>
    </row>
    <row r="1863">
      <c r="A1863" t="inlineStr">
        <is>
          <t>houaay</t>
        </is>
      </c>
      <c r="B1863" t="inlineStr">
        <is>
          <t>Can I masturbate after getting the scleral buckle?</t>
        </is>
      </c>
      <c r="C1863" t="inlineStr">
        <is>
          <t>It’s one week post op and most of the holes in my eye have closed up but one still remains. Can I use a vibrator or have an orgasm? Idk how it affect the pressure in my brain/eye. Would prefer not asking my doctor if I can use a vibrator haha</t>
        </is>
      </c>
      <c r="D1863" t="n">
        <v>1</v>
      </c>
      <c r="E1863" t="n">
        <v>4</v>
      </c>
      <c r="F1863">
        <f>HYPERLINK("https://www.reddit.com/r/eyetriage/comments/houaay/can_i_masturbate_after_getting_the_scleral_buckle/")</f>
        <v/>
      </c>
      <c r="G1863" t="inlineStr">
        <is>
          <t>2020-07-10 11:28:46</t>
        </is>
      </c>
      <c r="H1863" t="inlineStr"/>
    </row>
    <row r="1864">
      <c r="A1864" t="inlineStr">
        <is>
          <t>hozi1w</t>
        </is>
      </c>
      <c r="B1864" t="inlineStr">
        <is>
          <t>IMMENSE eye strain 24/7, and very sensitive to light to the point of pain. Objects seem much closer and larger.</t>
        </is>
      </c>
      <c r="C1864" t="inlineStr">
        <is>
          <t>I have had this issue since around 2012 or so. I am 20 now. It has become harder for me to look at light and to focus on objects. I often walk around without trying to focus on anything in particular because it hurts less. I use screens on minimum brightness with blue light filters set to maximum to make it a little more bearable. I often find myself switching eyes subconsciously while I type and using one at a time while the other one doesn't focus. I have found myself suffering from a weird issue with perspective, I don't know if it's related to this. Everything seems larger and closer to me than it actually is, even though I know the object is smaller. When I put on my partner's glasses, my image "zooms out" and it seems so much more natural to how I remember it. I used to test 20/10, in 2018, I tested 20/15 (and could still read some of the bottom letters), and now I test 20/20, 20/25. This is disturbing to me and I want my eyesight back. I remember how to focus on objects the way I used to but if I attempt it I have to look away almost immediately. The less effort I put into focusing, the less pain there is. I swear, I can still see, but something relating to this strain is making it impossible, eyesight doesn't deteriorate that fast, especially at my age, right? 
In bright light, particularly outside, I find it very difficult to look up. This has gotten progressively worse over the years. When I was at the eye doctor about  a week ago (I have covid  now, can't go again), when she shined the light on my pupils I jumped when it hit each pupils. I can't really look up at clouds anymore, and whether I'm indoors or outdoors, I find myself looking down and unfocusing my vision to relieve the strain a bit.
She gave me eye drops for dry eye, and I felt a little better for maybe 10 seconds. Then the pain came back, and it's normal. If anything, I can feel the pain in the center of my eye even more pronounced since the sides of my eyes feel fine.
I don't know that i would particularly want to see her again. Nor do I think asking people online will give me an answer. I am going to see a doctor, but this is just so frustrating, I'm at a loss. If it's not dry eye, wtf is it? and why does everything seem so close to me? She didn't even attempt to answer my question with that.</t>
        </is>
      </c>
      <c r="D1864" t="n">
        <v>1</v>
      </c>
      <c r="E1864" t="n">
        <v>0</v>
      </c>
      <c r="F1864">
        <f>HYPERLINK("https://www.reddit.com/r/eyetriage/comments/hozi1w/immense_eye_strain_247_and_very_sensitive_to/")</f>
        <v/>
      </c>
      <c r="G1864" t="inlineStr">
        <is>
          <t>2020-07-10 16:20:39</t>
        </is>
      </c>
      <c r="H1864" t="inlineStr"/>
    </row>
    <row r="1865">
      <c r="A1865" t="inlineStr">
        <is>
          <t>hpbu1o</t>
        </is>
      </c>
      <c r="B1865" t="inlineStr">
        <is>
          <t>My eye is stuck at a certain focal length - How do I release it at home, is there a muscle relaxant, or do I need glasses?</t>
        </is>
      </c>
      <c r="C1865" t="inlineStr">
        <is>
          <t>Hello, I am 20 years old, and I have had this problem to varying degrees since about age 8 or so when I got my first laptop, but it has “hardened” so to speak at phone distance since age 12 after i got my iPod Touch. I didn’t get out much as a kid, I always used my devices 😭
So I believe I have what is called “accommodative spasm” where my eyes only focus on one field of view, leaving the rest of my near vision slightly blurry. I used to have essentially perfect eyesight (could easily test 20/10 without slowing down on the bottom row), meaning that even though my focus is locked an arm’s distance away from me (cellphone usage), I still test around 20/20 between 20/25 in an eye test. 
If I compare my eye to a camera, the focal length is stuck. Objects around me don’t change in size too much, just focus, and my body feels far too large for what is actually in reality (but not Alice in Wonderland, I can tell how big everything actually is but can’t accommodate my vision to change apparent size. Ihave always wondered why everything feels too big, and it’s because my freakin vision is not working properly. My field of view is restricted to the field of view you have when using your phone at waist level. I know for a fact my actual field of view is much wider than this.
I have noticed this problem since around age 11 or 12, but never bothered because I could still see 20/20 so I never realized there was an issue to begin with. However, I want my sight back. I have found myself confused, losing track of current tasks, and being easily distracted, when I know I’m not. It’s just that I can’t see and I get distracted whenever something pops up in that “perfect focus” area of my vision.
I don’t really want glasses. I don’t need them, I KNOW I don’t. Is there some kind of eye exercise or muscle relaxant for the eyes that will allow my eye to just chill out and not automatically focus at this focal length? If I do need glasses, it will CORRECT the muscle issue, not compensate for it and leave me inhibited, right?
Thank you guys very much. This will allow me to take back control of my life and start getting As again, and not be so scatterbrained.</t>
        </is>
      </c>
      <c r="D1865" t="n">
        <v>1</v>
      </c>
      <c r="E1865" t="n">
        <v>12</v>
      </c>
      <c r="F1865">
        <f>HYPERLINK("https://www.reddit.com/r/eyetriage/comments/hpbu1o/my_eye_is_stuck_at_a_certain_focal_length_how_do/")</f>
        <v/>
      </c>
      <c r="G1865" t="inlineStr">
        <is>
          <t>2020-07-11 08:27:30</t>
        </is>
      </c>
      <c r="H1865" t="inlineStr"/>
    </row>
    <row r="1866">
      <c r="A1866" t="inlineStr">
        <is>
          <t>hpecqi</t>
        </is>
      </c>
      <c r="B1866" t="inlineStr">
        <is>
          <t>what recommendation should i get for my eyeglasses?</t>
        </is>
      </c>
      <c r="C1866" t="inlineStr">
        <is>
          <t>I did 2 medical checkups in 2015 and 2016 that said that i have RIGHT: cyl +05 , ax 80 and LEFT: cyl +05 ax 100. The third medical check up i did it today and said i have RIGHT: Cyl +0.5 ax 75 and LEFT cyl +0.25 ax 110. There is also a difference is between the distance of the eye pupils. in 2015 and 2016 it was 61 but today only 60. The today check up was without that substance that makes you vision blurry for 2 hours so i guess the old ones from 2016 were more complete. So in the end what recommendation should i consider? are the differences between the check ups relevant?
I am a bit worried about the eye pupil distance. that should have stayed the same, right?   
And also did my left eye really got better on his own from 0,5 to 0.25? i didn't wear glasses during this time. Or maybe the doctor from the old checkups was better?</t>
        </is>
      </c>
      <c r="D1866" t="n">
        <v>1</v>
      </c>
      <c r="E1866" t="n">
        <v>11</v>
      </c>
      <c r="F1866">
        <f>HYPERLINK("https://www.reddit.com/r/eyetriage/comments/hpecqi/what_recommendation_should_i_get_for_my_eyeglasses/")</f>
        <v/>
      </c>
      <c r="G1866" t="inlineStr">
        <is>
          <t>2020-07-11 10:51:21</t>
        </is>
      </c>
      <c r="H1866" t="inlineStr"/>
    </row>
    <row r="1867">
      <c r="A1867" t="inlineStr">
        <is>
          <t>hpf79s</t>
        </is>
      </c>
      <c r="B1867" t="inlineStr">
        <is>
          <t>SSRIS and ocular steroids a safe combo?</t>
        </is>
      </c>
      <c r="C1867" t="inlineStr">
        <is>
          <t>Age 20. current on ocular corticosteroid. Prescribed SSRI yesterday. No glaucoma or glaucoma indicators at recent OCT. 
The SSRI causes mild dilation and I know steroids can increase pressure in the eye? Is there any cause for concern here or am I good. 
For full disclosure, I’m also a mild smoker (4-7) a day.</t>
        </is>
      </c>
      <c r="D1867" t="n">
        <v>1</v>
      </c>
      <c r="E1867" t="n">
        <v>13</v>
      </c>
      <c r="F1867">
        <f>HYPERLINK("https://www.reddit.com/r/eyetriage/comments/hpf79s/ssris_and_ocular_steroids_a_safe_combo/")</f>
        <v/>
      </c>
      <c r="G1867" t="inlineStr">
        <is>
          <t>2020-07-11 11:40:04</t>
        </is>
      </c>
      <c r="H1867" t="inlineStr"/>
    </row>
    <row r="1868">
      <c r="A1868" t="inlineStr">
        <is>
          <t>hpxo20</t>
        </is>
      </c>
      <c r="B1868" t="inlineStr">
        <is>
          <t>Can wearing minus glasses while doing near work do more harm than good?</t>
        </is>
      </c>
      <c r="C1868" t="inlineStr">
        <is>
          <t>Hi, I'm a 23 year old male who spends a lot of time infront of screens which caused me to become short sightedness/myopic which led to lots of eyestrain + neckpain especially from screen use. 
I visited 3 eye specialists, 2 of them said my eyes are completely fine and do not have the need to wear glasses but prescribed eye drops + omega 3 tablets (which i didnt take). The 3rd eye doctor prescribed me glasses in February 2020 for my short sightedness which is:
-0.50 left eye, -0.75 right eye
What got me confused is the doctor said to keep the glasses on at all time, even when during near work which I find odd as won't that increase myopia? I also realized when i DON'T wear glasses when using phone (near work) I don't get eyestrain where as WHEN I DO wear glasses while using phone my eyes feel more strained. 
I also feel my eyes are more drier than usual and with chronic neckpain, I notice increased neckpain infront of screens.
Due to the pandemic, prefer not to the visit the doctor onsite for another checkup until things cool down so looking for advise from here
Thanks</t>
        </is>
      </c>
      <c r="D1868" t="n">
        <v>1</v>
      </c>
      <c r="E1868" t="n">
        <v>16</v>
      </c>
      <c r="F1868">
        <f>HYPERLINK("https://www.reddit.com/r/eyetriage/comments/hpxo20/can_wearing_minus_glasses_while_doing_near_work/")</f>
        <v/>
      </c>
      <c r="G1868" t="inlineStr">
        <is>
          <t>2020-07-12 09:56:00</t>
        </is>
      </c>
      <c r="H1868" t="inlineStr"/>
    </row>
    <row r="1869">
      <c r="A1869" t="inlineStr">
        <is>
          <t>hq213r</t>
        </is>
      </c>
      <c r="B1869" t="inlineStr">
        <is>
          <t>Retinoschisis and Rock Climbing Question</t>
        </is>
      </c>
      <c r="C1869" t="inlineStr">
        <is>
          <t>Hi all, 
I am a 23 y/o female who was diagnosed with retinoschisis at age 20. I have no visual field impairment (don't even wear glasses) or pain associated with it but was told by my consultant not to expose myself to G-forces (i.e. avoid formula 1 cars, roller coasters, bungee jumping). I have become more and more invovled in rock climbing since I was diagnosed and am hoping to begin leading routes soon. This however means that I will be taking falls on climbs (hopefully not too many!). I am unsure how this will impact my eye - how much of a fall can I take? I don't need to regularly check in with my consultant and my GP doesn't know much about the condition so I don't have any medical professional to ask, hence my turning to reddit! 
I'd appreciate any advice you can give!</t>
        </is>
      </c>
      <c r="D1869" t="n">
        <v>1</v>
      </c>
      <c r="E1869" t="n">
        <v>6</v>
      </c>
      <c r="F1869">
        <f>HYPERLINK("https://www.reddit.com/r/eyetriage/comments/hq213r/retinoschisis_and_rock_climbing_question/")</f>
        <v/>
      </c>
      <c r="G1869" t="inlineStr">
        <is>
          <t>2020-07-12 14:04:20</t>
        </is>
      </c>
      <c r="H1869" t="inlineStr"/>
    </row>
    <row r="1870">
      <c r="A1870" t="inlineStr">
        <is>
          <t>hqhjo5</t>
        </is>
      </c>
      <c r="B1870" t="inlineStr">
        <is>
          <t>Headaches and tired eyes</t>
        </is>
      </c>
      <c r="C1870" t="inlineStr">
        <is>
          <t>A month ago I was diagnosed with retinal dystrophy on my right eye and had photocoagulation done soon after. Since then I've had horrid headaches every day. I usually wake up with strong/moderate pain in my right temple and no painkillers can suppress it completely, it's always there. For a few times the pain began in my left temple, occasionally along with other unpleasant symptoms (stabbing pain when I lift eyebrows/radiating pain under and above my eye, as if under the bone/sometimes when I turn my head or look at the sun I feel stabbing pain in my eye all, as if someone poked it with a needle). 
The worst part is that it affects my vision too. My eyes get tired and blurry super quickly, 15 minutes on my phone feel like an all-nighter with Netflix, every time I have a "tide" of headache, it radiates in my eye and I feel some sort of pressure inside of it. Control tests at the ophtalmologist's have shown that the photocoagulation was successful, I went to two different specialists to confirm that and they both told me to visit a neurologist and stop worrying about my eyes (since retina has no nerve endings and if there are New dystrophies or tears it is painless). The neurologist prescribed me a course of piracetamum, but the pain hasn't gone or decreased at all. I have appointments to my neurologist and ophtalmologist next week, but I really need some reassurance because my last month has been an unending nigtmare of headache and fears for my vision, I can't concentrate on my daily routine and catch myself flinching every time I see floaters/something weird (no flashes/dark spots/rainbow auras so far thanks god). 
1) Could my neurologist misdiagnose me? Maybe I have migraines? I had a couple episodes of intracranial hypertension when I was a teenager (even spent a month in a hospital) but the last time I had headaches so severe was years ago and they never affected my eyes. 
2) I began using artificial years without preservatives to prevent dry eyes after working on the computer. Hasn't helped much with my problem, but they do make my eyes feel a little more comfortable
3) I've been wearing contact lenses for years and always with the same parameters (my eyes OS -9.75/OD-7.0, my lenses are OS - 7.5/OD -5,5). Maybe I need stronger lenses and my eyes get tired because of the imbalance? (weird, because I always felt comfortable with these parameters before the photocoagulation) 
4) Could it just be an anxiety that provokes my eyestrain? Last month has been an emotional mess for me because I'm terrified of losing my eyesight. Maybe the stress I had after the photocoagulation has caused the headaches and eye pains? 
Sorry for the long story, if someone has a piece of advice or a word of reassurance, I'd be very grateful to hear it. Much love from Russia &amp;lt;3</t>
        </is>
      </c>
      <c r="D1870" t="n">
        <v>1</v>
      </c>
      <c r="E1870" t="n">
        <v>3</v>
      </c>
      <c r="F1870">
        <f>HYPERLINK("https://www.reddit.com/r/eyetriage/comments/hqhjo5/headaches_and_tired_eyes/")</f>
        <v/>
      </c>
      <c r="G1870" t="inlineStr">
        <is>
          <t>2020-07-13 08:42:32</t>
        </is>
      </c>
      <c r="H1870" t="inlineStr"/>
    </row>
    <row r="1871">
      <c r="A1871" t="inlineStr">
        <is>
          <t>hqpv40</t>
        </is>
      </c>
      <c r="B1871" t="inlineStr">
        <is>
          <t>Blurred vision</t>
        </is>
      </c>
      <c r="C1871" t="inlineStr">
        <is>
          <t xml:space="preserve">
Hello. I have health anxiety and OCD. Recently I have been flushing out my eyes way too much because I keep thinking I’m getting something in them. I have been checked three times this week and they say my eyes are fine... but today and yesterday they seem a bit foggy I guess? A little like getting out of the pool... could this just be from days and days of flushing out my eyes?</t>
        </is>
      </c>
      <c r="D1871" t="n">
        <v>1</v>
      </c>
      <c r="E1871" t="n">
        <v>0</v>
      </c>
      <c r="F1871">
        <f>HYPERLINK("https://www.reddit.com/r/eyetriage/comments/hqpv40/blurred_vision/")</f>
        <v/>
      </c>
      <c r="G1871" t="inlineStr">
        <is>
          <t>2020-07-13 15:59:58</t>
        </is>
      </c>
      <c r="H1871" t="inlineStr"/>
    </row>
    <row r="1872">
      <c r="A1872" t="inlineStr">
        <is>
          <t>hqqs1y</t>
        </is>
      </c>
      <c r="B1872" t="inlineStr">
        <is>
          <t>Grey bump on iris, recurrent, alternates between left and right eye</t>
        </is>
      </c>
      <c r="C1872" t="inlineStr">
        <is>
          <t>Hi,
I keep having this issue where I'll suddenly notice my eye feels irritated. Then it starts feeling like there is something sharp in my eye. If I look in the mirror, I can see a greyish-whitish speck that sort of looks like snot there. Sometimes it goes away on its own, but comes back. It alternates eyes, but never occurs in both eyes at the same time.
I went to Urgent care about a month ago for this problem (it was a Sunday and the pain/irritation was driving me crazy). They did a fluorescein stain and observed some uptake of the dye. They called it a corneal abrasion "at roughly the 6'o clock position", and also noted the greyish white speck of material, which they removed after a few tries with a moistened swab. They sent me home with Tobramycin.
Yesterday, I started noticing the familiar feeling and sure enough, there is a greyish whitish speck, but on my left eye instead, and also at \~6'o clock position. I have scheduled an appointment with my GP but I guess my question is:
Why does this keep happening, and why does it occur in nearly the same place on alternating eyes? Best guesses would be great, but I fully intend to follow up with medical care for the issue. It's more of a curiosity thing at this point while I wait for an appointment.</t>
        </is>
      </c>
      <c r="D1872" t="n">
        <v>1</v>
      </c>
      <c r="E1872" t="n">
        <v>3</v>
      </c>
      <c r="F1872">
        <f>HYPERLINK("https://www.reddit.com/r/eyetriage/comments/hqqs1y/grey_bump_on_iris_recurrent_alternates_between/")</f>
        <v/>
      </c>
      <c r="G1872" t="inlineStr">
        <is>
          <t>2020-07-13 16:54:38</t>
        </is>
      </c>
      <c r="H1872" t="inlineStr"/>
    </row>
    <row r="1873">
      <c r="A1873" t="inlineStr">
        <is>
          <t>hqw5p8</t>
        </is>
      </c>
      <c r="B1873" t="inlineStr">
        <is>
          <t>AZOOR, your symptoms and signs?</t>
        </is>
      </c>
      <c r="C1873" t="inlineStr">
        <is>
          <t>Sorry I’m advance, I’m formatting this on my phone. If you haven’t seen my posts before, I’m stuck in limbo with eye issues. I was born 3 months prematurely and spent a rather long time in the NICU. I have had very poor vision all my life with it getting worse over time, but typically correctable. The prominent eye issues have always been present but I thought they were normal. Otherwise, I’m a healthy, 19 year old female. I have a rather healthy eye, anatomically. Aside from ROP, and a large optic nerve pit(?) (I don’t know if that’s what they call it) that we didn’t find out about until a few months ago. My symptoms are: constantly adjusting vision (out of focus camera), black floaters and sparkle like floaters in the central and peripheral field of vision that I always see, grainy vision with loss of visual acuity, nightblindness, loss of depth perception, severe photophobia. I also have a small blind spot in my left eye, in my peripheral. I suffered two significant concussions (the second time really affected my vision but I thought it was normal, I don’t know why I did think that).
I tried visual therapy treatment for months with no sign of improvement at all. Treatment so far is dilating my eyes, which only clears up some of the visual acuity problem, I still don’t recover much of my vision. My prescription with contacts is +5.75 OS and +6.00 OD. I’ve been going to specialists around my state because the city I live in doesn’t have the resources to help me further. I thought this could be because of my anxiety and depression, and some is probably contributed from that. I religiously go to therapy and I meditate and do yoga a lot, I’m rather very calm most of my day. Stress does not make it worse, and meditation does not make it better. 
I know no one can give me a diagnosis without a thorough eye exam and probably some tests. Any idea what this could be? I’m seeing a specialist next week before I see the neuro-optho. 
TL;DR: I’m suffering constant eye issues with no rest and I don’t know what else it could be. Any ideas or pointers?</t>
        </is>
      </c>
      <c r="D1873" t="n">
        <v>1</v>
      </c>
      <c r="E1873" t="n">
        <v>0</v>
      </c>
      <c r="F1873">
        <f>HYPERLINK("https://www.reddit.com/r/eyetriage/comments/hqw5p8/azoor_your_symptoms_and_signs/")</f>
        <v/>
      </c>
      <c r="G1873" t="inlineStr">
        <is>
          <t>2020-07-13 23:07:13</t>
        </is>
      </c>
      <c r="H1873" t="inlineStr"/>
    </row>
    <row r="1874">
      <c r="A1874" t="inlineStr">
        <is>
          <t>hr7qw7</t>
        </is>
      </c>
      <c r="B1874" t="inlineStr">
        <is>
          <t>Can ptosis be fixed? Is surgery an option even if it’s minor?</t>
        </is>
      </c>
      <c r="C1874" t="inlineStr">
        <is>
          <t>The right side of my face has always been slightly weaker than the left (not sure why) and as a result, my upper right eyelid is more covered by my eyebrow than my left eyelid. My right eyelids in general have less range of motion.
It always has made me somewhat self-conscious because no matter how much weight I lose, the right side of my face looks puffy / heavier - almost entirely due to how crowded the right eye gets by my brow and how much more the bottom lid comes up (especially when I smile).
How do I know if I can qualify for some form of treatment or surgery? Is there a guide / rule of thumb / can someone post examples? Should I post pictures? Or should I schedule some kind of evaluation or something with an ophthalmologist?</t>
        </is>
      </c>
      <c r="D1874" t="n">
        <v>1</v>
      </c>
      <c r="E1874" t="n">
        <v>2</v>
      </c>
      <c r="F1874">
        <f>HYPERLINK("https://www.reddit.com/r/eyetriage/comments/hr7qw7/can_ptosis_be_fixed_is_surgery_an_option_even_if/")</f>
        <v/>
      </c>
      <c r="G1874" t="inlineStr">
        <is>
          <t>2020-07-14 12:09:07</t>
        </is>
      </c>
      <c r="H1874" t="inlineStr"/>
    </row>
    <row r="1875">
      <c r="A1875" t="inlineStr">
        <is>
          <t>hro5ii</t>
        </is>
      </c>
      <c r="B1875" t="inlineStr">
        <is>
          <t>Growth in Corner of Eye?</t>
        </is>
      </c>
      <c r="C1875" t="inlineStr">
        <is>
          <t>My 59-year-old mother has developed, what we think, is a growth in the lacrimal caruncle area of the eye. Trying to get her scheduled with the eye doctor amidst the COVID craziness but wanted to see if the community had any idea what this might be. She doesn't report any pain or discomfort, just a bit of dryness in the morning. She has dry eye syndrome and had punctal plugs installed about 17 years ago. Did some research and some articles pointed to a possible tear duct blockage while others say it could be a form of lymphoma. Hopefully not the latter.
Image: https://imgur.com/ojRlxbO
TIA!</t>
        </is>
      </c>
      <c r="D1875" t="n">
        <v>1</v>
      </c>
      <c r="E1875" t="n">
        <v>0</v>
      </c>
      <c r="F1875">
        <f>HYPERLINK("https://www.reddit.com/r/eyetriage/comments/hro5ii/growth_in_corner_of_eye/")</f>
        <v/>
      </c>
      <c r="G1875" t="inlineStr">
        <is>
          <t>2020-07-15 07:05:01</t>
        </is>
      </c>
      <c r="H1875" t="inlineStr"/>
    </row>
    <row r="1876">
      <c r="A1876" t="inlineStr">
        <is>
          <t>hrq2ud</t>
        </is>
      </c>
      <c r="B1876" t="inlineStr">
        <is>
          <t>Can contact lenses be a cause for chronic dry eyes?</t>
        </is>
      </c>
      <c r="C1876" t="inlineStr">
        <is>
          <t>I stopped wearing contact lenses 3 years ago. Right now I have super dry eyes that started this year. Is it possible for contact lenses to have caused me this problem after 2 years not wearing them?</t>
        </is>
      </c>
      <c r="D1876" t="n">
        <v>2</v>
      </c>
      <c r="E1876" t="n">
        <v>15</v>
      </c>
      <c r="F1876">
        <f>HYPERLINK("https://www.reddit.com/r/eyetriage/comments/hrq2ud/can_contact_lenses_be_a_cause_for_chronic_dry_eyes/")</f>
        <v/>
      </c>
      <c r="G1876" t="inlineStr">
        <is>
          <t>2020-07-15 08:52:54</t>
        </is>
      </c>
      <c r="H1876" t="inlineStr"/>
    </row>
    <row r="1877">
      <c r="A1877" t="inlineStr">
        <is>
          <t>hrsars</t>
        </is>
      </c>
      <c r="B1877" t="inlineStr">
        <is>
          <t>Asymmetric CD Ratio</t>
        </is>
      </c>
      <c r="C1877" t="inlineStr">
        <is>
          <t>I am a 17 year old female and I have always had eye pressure in the low to mid 20s. My Central Cornes thickness is about 585. Today I got my CD ratio and the doctor said it was asymmetrical (0.3L) (0.1R). Could the asymmetry be normal? It’s really been concerning me...</t>
        </is>
      </c>
      <c r="D1877" t="n">
        <v>1</v>
      </c>
      <c r="E1877" t="n">
        <v>5</v>
      </c>
      <c r="F1877">
        <f>HYPERLINK("https://www.reddit.com/r/eyetriage/comments/hrsars/asymmetric_cd_ratio/")</f>
        <v/>
      </c>
      <c r="G1877" t="inlineStr">
        <is>
          <t>2020-07-15 10:50:04</t>
        </is>
      </c>
      <c r="H1877" t="inlineStr"/>
    </row>
    <row r="1878">
      <c r="A1878" t="inlineStr">
        <is>
          <t>hru63m</t>
        </is>
      </c>
      <c r="B1878" t="inlineStr">
        <is>
          <t>Got a new glasses prescription after noticing my old one caused eyestrain. Can I use this for watching tv &amp;amp; when to wear?</t>
        </is>
      </c>
      <c r="C1878" t="inlineStr">
        <is>
          <t>Hi, my old glasses allowed me to see clearly although noticed it giving me eyestrain which I posted about earlier on here too.
I decided to make another visit to the opthalmologist yesterday where he prescribed me another glasses that can allow me to work on pc and phone comfortably
The prescription: https://imgur.com/a/EvKU6Sb
I dont really understand the prescription, but seems like its for both near and far + also treating my astigmatism?
Is this glasses good for watching tv in my small bedroom as without glasses I notice eyestrain quicker and bit blur text. Also can I wear it all day without consequences?</t>
        </is>
      </c>
      <c r="D1878" t="n">
        <v>1</v>
      </c>
      <c r="E1878" t="n">
        <v>1</v>
      </c>
      <c r="F1878">
        <f>HYPERLINK("https://www.reddit.com/r/eyetriage/comments/hru63m/got_a_new_glasses_prescription_after_noticing_my/")</f>
        <v/>
      </c>
      <c r="G1878" t="inlineStr">
        <is>
          <t>2020-07-15 12:25:18</t>
        </is>
      </c>
      <c r="H1878" t="inlineStr"/>
    </row>
    <row r="1879">
      <c r="A1879" t="inlineStr">
        <is>
          <t>hs07iv</t>
        </is>
      </c>
      <c r="B1879" t="inlineStr">
        <is>
          <t>Complications with internal stye?</t>
        </is>
      </c>
      <c r="C1879" t="inlineStr">
        <is>
          <t>Hello I've had some concerns with a stye I've had on the inside of my bottom left eyelid for over a month now, and as of the last few days I've started to feel light headed and my lymph nodes on my neck and face on the same side as the stye have been very swollen. I've been taking what I thought was proper care in terms of compresses and not touching it, etc. The stye itself has gone down significantly and I have good hygiene patterns as well, but I am fairly concerned about the implications of the redness of my lymph nodes, and there is a criminally low level of information on this sort of thing online that I feel is trustworthy. Due to COVID and my lack of insurance I unfortunately don't have many options in terms of going to a doctor to have blood tests done, so this is the only option I really have in terms of maybe finding some answers. Thank you in advance, hoping this is maybe just me stressing out.</t>
        </is>
      </c>
      <c r="D1879" t="n">
        <v>1</v>
      </c>
      <c r="E1879" t="n">
        <v>0</v>
      </c>
      <c r="F1879">
        <f>HYPERLINK("https://www.reddit.com/r/eyetriage/comments/hs07iv/complications_with_internal_stye/")</f>
        <v/>
      </c>
      <c r="G1879" t="inlineStr">
        <is>
          <t>2020-07-15 18:05:19</t>
        </is>
      </c>
      <c r="H1879" t="inlineStr"/>
    </row>
    <row r="1880">
      <c r="A1880" t="inlineStr">
        <is>
          <t>hs8pc6</t>
        </is>
      </c>
      <c r="B1880" t="inlineStr">
        <is>
          <t>Upper Eyelid puffiness</t>
        </is>
      </c>
      <c r="C1880" t="inlineStr">
        <is>
          <t>Hi there,
I need some help about my left upper eyelid being puffy. It’s been like this a year now (recently became a bit bigger and noticeable).
I have been diagnosed with blepharitis with typical symptoms of light sensitivity and eyes being red.
Since last year, I’ve gotten this eyelid puffiness on my left eye, I’ve realised it has became more sensitive to light than my right eye with very minor blurry sight. Also is prone to be slightly red. My right eye doesn’t have any problems, and doesn’t become red.
I’ve waited for 2-3 months, when this occurred, to see if it’ll go away on its own but it hasn’t, until recently the puffiness has became more visible. 3 weeks in I’ve continuously have used a warm compressor to massage my eyes for about 20 minutes. The only difference that made was that my eyesight became a bit clearer and my eyes feels fresh.
What should I do now?</t>
        </is>
      </c>
      <c r="D1880" t="n">
        <v>1</v>
      </c>
      <c r="E1880" t="n">
        <v>6</v>
      </c>
      <c r="F1880">
        <f>HYPERLINK("https://www.reddit.com/r/eyetriage/comments/hs8pc6/upper_eyelid_puffiness/")</f>
        <v/>
      </c>
      <c r="G1880" t="inlineStr">
        <is>
          <t>2020-07-16 05:26:27</t>
        </is>
      </c>
      <c r="H1880" t="inlineStr"/>
    </row>
    <row r="1881">
      <c r="A1881" t="inlineStr">
        <is>
          <t>hse69s</t>
        </is>
      </c>
      <c r="B1881" t="inlineStr">
        <is>
          <t>Debridement Recovery Time?</t>
        </is>
      </c>
      <c r="C1881" t="inlineStr">
        <is>
          <t>What is the general debridement recovery time period, in your experience?</t>
        </is>
      </c>
      <c r="D1881" t="n">
        <v>1</v>
      </c>
      <c r="E1881" t="n">
        <v>4</v>
      </c>
      <c r="F1881">
        <f>HYPERLINK("https://www.reddit.com/r/eyetriage/comments/hse69s/debridement_recovery_time/")</f>
        <v/>
      </c>
      <c r="G1881" t="inlineStr">
        <is>
          <t>2020-07-16 10:36:34</t>
        </is>
      </c>
      <c r="H1881" t="inlineStr"/>
    </row>
    <row r="1882">
      <c r="A1882" t="inlineStr">
        <is>
          <t>hsopuf</t>
        </is>
      </c>
      <c r="B1882" t="inlineStr">
        <is>
          <t>What's wrong with my eyes?</t>
        </is>
      </c>
      <c r="C1882" t="inlineStr">
        <is>
          <t>Hey reddit community, 6 ft 3 man, 26, 205 pounds here hoping someone can help me out.
For the past 3 or 4 years, i've had red, inflamed eyelids and area under my eyes, with what looks like white bumps under the surface.  My eyes feel scratchy and sometimes as if they are under pressure/ dry.  My eyes also feel very warm and my eyelids clump together sometimes.  My eye area also has a greasy appearance  I had my vision checked, i've got perfect vision and I have had no prior health concerns; otherwise i'm in good health.  I've seen a doctor at the after-hours clinic a few times and have received treatment as if this were an allergic reaction.  I've been prescribed a few types of eyedrops to treat allergy eyes, and also a steroid cream to be applied topically to the affected area.  None of these treatments have helped.
This started out with my eyelids a few years ago and gradually spread to under the eyes too.  My eyes seem extra sensitive to the sun so I squint a lot. I'm hoping that some one can help out; i'm tired of dealing with the discomfort.  Your opinion means a lot to me, thanks for reading my post.
\- Joseph</t>
        </is>
      </c>
      <c r="D1882" t="n">
        <v>1</v>
      </c>
      <c r="E1882" t="n">
        <v>7</v>
      </c>
      <c r="F1882">
        <f>HYPERLINK("https://www.reddit.com/r/eyetriage/comments/hsopuf/whats_wrong_with_my_eyes/")</f>
        <v/>
      </c>
      <c r="G1882" t="inlineStr">
        <is>
          <t>2020-07-16 20:47:20</t>
        </is>
      </c>
      <c r="H1882" t="inlineStr"/>
    </row>
    <row r="1883">
      <c r="A1883" t="inlineStr">
        <is>
          <t>ht24d5</t>
        </is>
      </c>
      <c r="B1883" t="inlineStr">
        <is>
          <t>Anyone have experience with Thealoz Duo Augentropfen drops?</t>
        </is>
      </c>
      <c r="C1883" t="inlineStr">
        <is>
          <t>It gets good reviews on Amazon. Someone recommended but I’d never heard of it. 
[Thealoz Duo](https://www.amazon.com/dp/B00PWLHP1Y/ref=cm_sw_r_cp_tai_mPFeFbWWFBBAD)</t>
        </is>
      </c>
      <c r="D1883" t="n">
        <v>1</v>
      </c>
      <c r="E1883" t="n">
        <v>4</v>
      </c>
      <c r="F1883">
        <f>HYPERLINK("https://www.reddit.com/r/eyetriage/comments/ht24d5/anyone_have_experience_with_thealoz_duo/")</f>
        <v/>
      </c>
      <c r="G1883" t="inlineStr">
        <is>
          <t>2020-07-17 12:27:33</t>
        </is>
      </c>
      <c r="H1883" t="inlineStr"/>
    </row>
    <row r="1884">
      <c r="A1884" t="inlineStr">
        <is>
          <t>ht36s2</t>
        </is>
      </c>
      <c r="B1884" t="inlineStr">
        <is>
          <t>Optic nerve + conjunctival melanosis question</t>
        </is>
      </c>
      <c r="C1884" t="inlineStr">
        <is>
          <t>Hi! 
What does it mean when in an anterior exam chart it says, under conjunctiva, bulbar and OD: conjunctival melanosis (focal/temporally) 
Also, what does it mean if the “optic nerve appeared sharp pink and flat” in both eyes? 
Thank you!</t>
        </is>
      </c>
      <c r="D1884" t="n">
        <v>1</v>
      </c>
      <c r="E1884" t="n">
        <v>1</v>
      </c>
      <c r="F1884">
        <f>HYPERLINK("https://www.reddit.com/r/eyetriage/comments/ht36s2/optic_nerve_conjunctival_melanosis_question/")</f>
        <v/>
      </c>
      <c r="G1884" t="inlineStr">
        <is>
          <t>2020-07-17 13:25:20</t>
        </is>
      </c>
      <c r="H1884" t="inlineStr"/>
    </row>
    <row r="1885">
      <c r="A1885" t="inlineStr">
        <is>
          <t>ht58u7</t>
        </is>
      </c>
      <c r="B1885" t="inlineStr">
        <is>
          <t>Eyes feel like they're fighting for dominance?</t>
        </is>
      </c>
      <c r="C1885" t="inlineStr">
        <is>
          <t>Very weird title, I know. 
22F, wear glasses for slight hyperopia, no other notable eye or health issues.
I first started noticing when I would drive, especially when stopped at a red light or in traffic behind another car, that my vision would seem to shake or wiggle back and forth. Most likely because I *notice* it now, I have noticed it happening more often when I look at static objects.
The closest thing I can compare it to is when you close one eye and then the other and the object in front of you seems to move back and forth, like when you test for your "dominant" eye. It's always brief, with rapid "wiggling" for a couple seconds, and it doesn't come along with any pain or weird sensation.  I've never been able to see my eyes while it happens to tell whether they are physically moving/changing at all...unhelpful, I know.
I'm due for my next eye exam in October, but time will tell whether that goes as planned given the pandemic and all. I'm assuming this is just benign weirdness, but reassurance would be appreciated!</t>
        </is>
      </c>
      <c r="D1885" t="n">
        <v>1</v>
      </c>
      <c r="E1885" t="n">
        <v>4</v>
      </c>
      <c r="F1885">
        <f>HYPERLINK("https://www.reddit.com/r/eyetriage/comments/ht58u7/eyes_feel_like_theyre_fighting_for_dominance/")</f>
        <v/>
      </c>
      <c r="G1885" t="inlineStr">
        <is>
          <t>2020-07-17 15:20:31</t>
        </is>
      </c>
      <c r="H1885" t="inlineStr"/>
    </row>
    <row r="1886">
      <c r="A1886" t="inlineStr">
        <is>
          <t>ht7oql</t>
        </is>
      </c>
      <c r="B1886" t="inlineStr">
        <is>
          <t>Could this be a detached retina?</t>
        </is>
      </c>
      <c r="C1886" t="inlineStr">
        <is>
          <t>Light floaties, visual snow, and Photopsia but these past two days any light source feels like it burns even when I close my eyes and move head it's lasts around a minute. It's uncomfortable and distorted even looking at the computer screen. Everything is way way too bright</t>
        </is>
      </c>
      <c r="D1886" t="n">
        <v>1</v>
      </c>
      <c r="E1886" t="n">
        <v>7</v>
      </c>
      <c r="F1886">
        <f>HYPERLINK("https://www.reddit.com/r/eyetriage/comments/ht7oql/could_this_be_a_detached_retina/")</f>
        <v/>
      </c>
      <c r="G1886" t="inlineStr">
        <is>
          <t>2020-07-17 17:53:21</t>
        </is>
      </c>
      <c r="H1886" t="inlineStr"/>
    </row>
    <row r="1887">
      <c r="A1887" t="inlineStr">
        <is>
          <t>htbosn</t>
        </is>
      </c>
      <c r="B1887" t="inlineStr">
        <is>
          <t>would eye exercise/ eye patch work in my case of droopy eyelid?</t>
        </is>
      </c>
      <c r="C1887" t="inlineStr">
        <is>
          <t>If I remember correctly, I had this problem after I got a stye 10 years ago when I was very young ( so its not a aging thing). Its nothing serious, its just more of cosmetic concern to me.
I searched around on google and found a solution that suggests to use eye patch to block the bigger eye, to force the body to use the smaller eye more often. From my understanding, the eyelid "dropped" probably due to weakened muscle or stretched muscle from the stye I had. The problem is I have no idea if its actually caused by the stye or not, and if the muscle is just weakened or stretched, and I dont know if the solutions I found would work for stretched levator muscle. I guess a simply way would be to check photos of myself before I had the stye, which I dont have ... Normally, I would go see a ophthalmologist, but at times like this, its difficult
&amp;amp;#x200B;
https://preview.redd.it/kyumaj2y1kb51.jpg?width=1914&amp;amp;format=pjpg&amp;amp;auto=webp&amp;amp;s=d378a2a334982e973d527629dbeb28235fe433b5
the first photo shows my right dominant eye appear to be smaller ( droopy eyelid)
&amp;amp;#x200B;
https://preview.redd.it/aoxwt0dy1kb51.jpg?width=2066&amp;amp;format=pjpg&amp;amp;auto=webp&amp;amp;s=8d4fe020f5ed8f353d929c479bb60d6f73f4063b
second photo shows I fixed it by lifting the right side muscle.</t>
        </is>
      </c>
      <c r="D1887" t="n">
        <v>1</v>
      </c>
      <c r="E1887" t="n">
        <v>7</v>
      </c>
      <c r="F1887">
        <f>HYPERLINK("https://www.reddit.com/r/eyetriage/comments/htbosn/would_eye_exercise_eye_patch_work_in_my_case_of/")</f>
        <v/>
      </c>
      <c r="G1887" t="inlineStr">
        <is>
          <t>2020-07-17 22:55:38</t>
        </is>
      </c>
      <c r="H1887" t="inlineStr"/>
    </row>
    <row r="1888">
      <c r="A1888" t="inlineStr">
        <is>
          <t>htbvs6</t>
        </is>
      </c>
      <c r="B1888" t="inlineStr">
        <is>
          <t>Trouble Catching and Hitting Baseball</t>
        </is>
      </c>
      <c r="C1888" t="inlineStr">
        <is>
          <t>Hello,
This past season I had one of the worst seasons of my career and struggled to hit and catch the baseball consistently. I seem to be able to see the ball just fine as it flies through the air so I am curious what the problem is. Could there be something that is causing me to see a different "percieved location" of the baseball rather than its actual location which is causing me to miss? Assuming there is something wrong with my eyes what could cause this problem of me struggling to hit and field the ball properly? My visual acuity is fine and I don't have blurred vision. Everything looks fine I am just struggling to hit and catch. Thanks for the help.</t>
        </is>
      </c>
      <c r="D1888" t="n">
        <v>1</v>
      </c>
      <c r="E1888" t="n">
        <v>11</v>
      </c>
      <c r="F1888">
        <f>HYPERLINK("https://www.reddit.com/r/eyetriage/comments/htbvs6/trouble_catching_and_hitting_baseball/")</f>
        <v/>
      </c>
      <c r="G1888" t="inlineStr">
        <is>
          <t>2020-07-17 23:13:05</t>
        </is>
      </c>
      <c r="H1888" t="inlineStr"/>
    </row>
    <row r="1889">
      <c r="A1889" t="inlineStr">
        <is>
          <t>hthdra</t>
        </is>
      </c>
      <c r="B1889" t="inlineStr">
        <is>
          <t>Been seeing double/triple/blurry for yrs please help</t>
        </is>
      </c>
      <c r="C1889" t="inlineStr">
        <is>
          <t>I can't find the rules on mobile so I don't even know if this is allowed. I'm not looking for a diagnosis but some ideas of what I can suggest to the doctor when I go in for my sixth or seventh opinion.
I'm not sure how long it's been but at least three or four years since I went to get new glasses. Vision was fine before that and has never been the same since. I got a normal prescription as far as I'm aware and we redid it three times to no effect. I see a blurry double or sometimes even triple of things, like a ghost above the real thing. This is worst at night when looking at lights where it turns into a huge loop above the actual light. Sometimes the double is clear enough that I can read actual words that are doubled. My vision is slightly blurry all the time, and it's gotten worse lately. I've been to multiple doctors and had tests done and no one can help me, everyone says it's all completely normal. The only thing that helps is shining a bright light beside or behind my head, and the issue is worse with white text on a dark background as far as reading goes but occurs either way. It's gotten worse in my right eye suddenly and I have insurance again so I'm going to try again. Please, please someone help and give me something I can suggest to the doctor. Living like this gives me headaches and makes me dissociate horribly, makes it hard to do art or view nature or do any of the things I like to do. Please help me.</t>
        </is>
      </c>
      <c r="D1889" t="n">
        <v>1</v>
      </c>
      <c r="E1889" t="n">
        <v>27</v>
      </c>
      <c r="F1889">
        <f>HYPERLINK("https://www.reddit.com/r/eyetriage/comments/hthdra/been_seeing_doubletripleblurry_for_yrs_please_help/")</f>
        <v/>
      </c>
      <c r="G1889" t="inlineStr">
        <is>
          <t>2020-07-18 07:22:15</t>
        </is>
      </c>
      <c r="H1889" t="inlineStr"/>
    </row>
    <row r="1890">
      <c r="A1890" t="inlineStr">
        <is>
          <t>htiu0w</t>
        </is>
      </c>
      <c r="B1890" t="inlineStr">
        <is>
          <t>Persistent feeling of something under my eye but no redness, swelling, discharge</t>
        </is>
      </c>
      <c r="C1890" t="inlineStr">
        <is>
          <t>My right eye has felt like there is an eyelash stuck under it for days. There's no redness, swelling, tears, or discharge. My eye looks perfectly healthy and normal but I can't blink or open my eyes without discomfort. Today I've just been keeping the eye closed. I did have something fly into my eye while biking last Sunday but I got it out quickly and it didn't bother me immensely right away. I'll admit that I've been guilty of rubbing my eye and looking around in there to see if there's any visible problems so that probably has exacerbated the problem. 
At this exact moment, the soonest I can see a professional is weeks away since I'm out of work and don't have insurance. Is there any harmless reasons it could feel this way? Everything I see online doesn't fit the bill since there's no other issues.</t>
        </is>
      </c>
      <c r="D1890" t="n">
        <v>1</v>
      </c>
      <c r="E1890" t="n">
        <v>1</v>
      </c>
      <c r="F1890">
        <f>HYPERLINK("https://www.reddit.com/r/eyetriage/comments/htiu0w/persistent_feeling_of_something_under_my_eye_but/")</f>
        <v/>
      </c>
      <c r="G1890" t="inlineStr">
        <is>
          <t>2020-07-18 08:53:52</t>
        </is>
      </c>
      <c r="H1890" t="inlineStr"/>
    </row>
    <row r="1891">
      <c r="A1891" t="inlineStr">
        <is>
          <t>htjsan</t>
        </is>
      </c>
      <c r="B1891" t="inlineStr">
        <is>
          <t>I’m at work and I don’t have my contact rewetting drops with me and one of my contacts is dry. What can I do to wet it?</t>
        </is>
      </c>
      <c r="C1891" t="inlineStr">
        <is>
          <t>Background: 
Wear monthly contacts (the only ones available for my insane prescription)
I think it’s been about a month since I’ve been wearing them consistently. I opened these at the beginning of quarantine but wore them twice and once stay-at-home orders were lifted I began wearing them regularly. 
Anyway what can I do to rewet my contact? This is gonna sound stupid but I’m emotionally too strong to “just cry”
I put a drop of water in my eye but that did no good. 
If anyone can help I’d appreciate it. Thanks!</t>
        </is>
      </c>
      <c r="D1891" t="n">
        <v>2</v>
      </c>
      <c r="E1891" t="n">
        <v>4</v>
      </c>
      <c r="F1891">
        <f>HYPERLINK("https://www.reddit.com/r/eyetriage/comments/htjsan/im_at_work_and_i_dont_have_my_contact_rewetting/")</f>
        <v/>
      </c>
      <c r="G1891" t="inlineStr">
        <is>
          <t>2020-07-18 09:50:09</t>
        </is>
      </c>
      <c r="H1891" t="inlineStr"/>
    </row>
    <row r="1892">
      <c r="A1892" t="inlineStr">
        <is>
          <t>huey2s</t>
        </is>
      </c>
      <c r="B1892" t="inlineStr">
        <is>
          <t>Glasses give me really bad migraines.</t>
        </is>
      </c>
      <c r="C1892" t="inlineStr">
        <is>
          <t>I can only stand to wear them for minutes until it becomes unbearable and then a progressive migraine sets in.  What can I do?</t>
        </is>
      </c>
      <c r="D1892" t="n">
        <v>3</v>
      </c>
      <c r="E1892" t="n">
        <v>2</v>
      </c>
      <c r="F1892">
        <f>HYPERLINK("https://www.reddit.com/r/eyetriage/comments/huey2s/glasses_give_me_really_bad_migraines/")</f>
        <v/>
      </c>
      <c r="G1892" t="inlineStr">
        <is>
          <t>2020-07-19 21:32:20</t>
        </is>
      </c>
      <c r="H1892" t="inlineStr"/>
    </row>
    <row r="1893">
      <c r="A1893" t="inlineStr">
        <is>
          <t>hulgki</t>
        </is>
      </c>
      <c r="B1893" t="inlineStr">
        <is>
          <t>Weird blur/artifact in vision that started at focal point and grew wider until gone</t>
        </is>
      </c>
      <c r="C1893" t="inlineStr">
        <is>
          <t>This is very difficult to describe, but I will do my best.
Yesterday I was on my phone, reading Reddit. I noticed what felt like a glare or reflection at the focal point of my vision that I was not able to refocus on. After a few minutes trying, i noticed at the focal point was a circular "glitch" of blur, partially translucent with many colors. Mildy kaleidoscope-like but only at the area where I focus.
At this point I went to the mirror to see if there was something in my eye or any discoloration. I tested pupil dilation by turning on the light and both eyes responded what appeared to be normally. If I covered up either eye, i could still see the weird spot, but not as easily.
After a few minutes the spot started to grow. The best shape I can describe it is a bold 'C'. I could now see focal point again due to the hole in the middle, but the peripherals had the glitchy blur.
At this point I was kind of freaking out, so I took my blood pressure and pulse. BP was elevated slightly at 120/89, unusual for normal but based on my anxiety at this point likely normal.
I switched back to Keto diet a few weeks ago, so I knew electrolytes could be out of balance, so I took a magnesium supplement and drank some sodium and potassium as well and laid down.
Within an hour, it was mostly gone. 18hrs later, my left vision still feels a little "off" when I think about it, but doesn't affect much. The eye feels a little bit strained but I also just woke up. Still appears normal in mirror and when I ask someone to look at it.</t>
        </is>
      </c>
      <c r="D1893" t="n">
        <v>3</v>
      </c>
      <c r="E1893" t="n">
        <v>7</v>
      </c>
      <c r="F1893">
        <f>HYPERLINK("https://www.reddit.com/r/eyetriage/comments/hulgki/weird_blurartifact_in_vision_that_started_at/")</f>
        <v/>
      </c>
      <c r="G1893" t="inlineStr">
        <is>
          <t>2020-07-20 06:42:54</t>
        </is>
      </c>
      <c r="H1893" t="inlineStr"/>
    </row>
    <row r="1894">
      <c r="A1894" t="inlineStr">
        <is>
          <t>hulmmm</t>
        </is>
      </c>
      <c r="B1894" t="inlineStr">
        <is>
          <t>Does epicleritis need a reason?</t>
        </is>
      </c>
      <c r="C1894" t="inlineStr">
        <is>
          <t>So I 25F went to the doctor for my eye problem I've had for a long time last friday, it turned out to be episcleritis. For atleast the last 6 months Ive been getting it in one or both eyes a couple times a month. My doctor asked if I have any intestine diseases, which I dont but My family does have a lot of rheumatism going on. I do have some morning stiffness in my fingers but I've figured it is normal since it ges away also my wrists sometimes hurt when I cant figure a logical reason. Do you think that is enough to bother to check out?
EDIT: I got referred to an ophtalmologist, they called me and told me it was not something they can do anything about (other than pain relief) and to contact them if I get changes in my vision.</t>
        </is>
      </c>
      <c r="D1894" t="n">
        <v>1</v>
      </c>
      <c r="E1894" t="n">
        <v>9</v>
      </c>
      <c r="F1894">
        <f>HYPERLINK("https://www.reddit.com/r/eyetriage/comments/hulmmm/does_epicleritis_need_a_reason/")</f>
        <v/>
      </c>
      <c r="G1894" t="inlineStr">
        <is>
          <t>2020-07-20 06:53:34</t>
        </is>
      </c>
      <c r="H1894" t="inlineStr"/>
    </row>
    <row r="1895">
      <c r="A1895" t="inlineStr">
        <is>
          <t>hun0do</t>
        </is>
      </c>
      <c r="B1895" t="inlineStr">
        <is>
          <t>Transient double vision, cause for concern?</t>
        </is>
      </c>
      <c r="C1895" t="inlineStr">
        <is>
          <t>Preamble: yes I'll be discussing this with my ophthalmologist as soon as possible.
I've had a weird "issue" for maybe 4 years now. Maybe 1-2 times a year, I suddenly get double vision without any apparent cause. Closing one eye "fixes" the issue. And after a minute or two it sorts itself out and things go back to normal. It's a bit similar to being really drunk, only without the drinking.
I've been evaluated many times by ophthalmologists over the last couple of years because of a (tiny) persistent scotoma in one eye, and everything so far has checked out. But for some reason I usually forget to mention the double vision. The one time I did mention it, they ignored it. I suspect they already think I'm wasting their time with the scotoma. 
Mid 30s, male. Generally healthy, except for frequent migraine auras and being slightly overweight. 
Any feedback would be most welcome, thanks!</t>
        </is>
      </c>
      <c r="D1895" t="n">
        <v>2</v>
      </c>
      <c r="E1895" t="n">
        <v>6</v>
      </c>
      <c r="F1895">
        <f>HYPERLINK("https://www.reddit.com/r/eyetriage/comments/hun0do/transient_double_vision_cause_for_concern/")</f>
        <v/>
      </c>
      <c r="G1895" t="inlineStr">
        <is>
          <t>2020-07-20 08:14:55</t>
        </is>
      </c>
      <c r="H1895" t="inlineStr"/>
    </row>
    <row r="1896">
      <c r="A1896" t="inlineStr">
        <is>
          <t>hupx1p</t>
        </is>
      </c>
      <c r="B1896" t="inlineStr">
        <is>
          <t>Can anxiety mess with vision?</t>
        </is>
      </c>
      <c r="C1896" t="inlineStr">
        <is>
          <t>Hey, i'm having problems with health anxiety. I have a huge fear of going blind and i'm scared honestly. To sum up, i have chronic red eyes but i always had pretty good vision.
Today, i feel very very anxious. I don't know how to explain this, my vision isn't more blurry. I feel like i can't process what i see. I don't know if this is happening because i'm anxious. It's also like i'm trying harder to focus on texts, images etc. It is weird, i can't truly tell if my vision is normal or not. Anyways, thanks.</t>
        </is>
      </c>
      <c r="D1896" t="n">
        <v>3</v>
      </c>
      <c r="E1896" t="n">
        <v>19</v>
      </c>
      <c r="F1896">
        <f>HYPERLINK("https://www.reddit.com/r/eyetriage/comments/hupx1p/can_anxiety_mess_with_vision/")</f>
        <v/>
      </c>
      <c r="G1896" t="inlineStr">
        <is>
          <t>2020-07-20 10:49:34</t>
        </is>
      </c>
      <c r="H1896" t="inlineStr"/>
    </row>
    <row r="1897">
      <c r="A1897" t="inlineStr">
        <is>
          <t>huv82l</t>
        </is>
      </c>
      <c r="B1897" t="inlineStr">
        <is>
          <t>superior limbic keratoconjunctivitis specialist?</t>
        </is>
      </c>
      <c r="C1897" t="inlineStr">
        <is>
          <t>I've been having upper eye pain for a few years, and after some googling, I think I may have something called superior limbic keratoconjunctivitis.
I've been to a few opthalmologists before who keep saying my eye pain is from blepharitis or meibomian gland dysfunction but none of the treatments have helped (doxycycline for 3 months, hot compresses, plugs, etc.) I even went to get the oil glands professionally squeezed out.   Nothing has helped and I honestly don't think this is the cause...
Does anyone know of an ophthalmologist that specializes in superior limbic keratoconjunctivitis in WA state/Pacific Northwest region?  
This daily pain is ruining my quality of life ...</t>
        </is>
      </c>
      <c r="D1897" t="n">
        <v>1</v>
      </c>
      <c r="E1897" t="n">
        <v>8</v>
      </c>
      <c r="F1897">
        <f>HYPERLINK("https://www.reddit.com/r/eyetriage/comments/huv82l/superior_limbic_keratoconjunctivitis_specialist/")</f>
        <v/>
      </c>
      <c r="G1897" t="inlineStr">
        <is>
          <t>2020-07-20 15:23:48</t>
        </is>
      </c>
      <c r="H1897" t="inlineStr"/>
    </row>
    <row r="1898">
      <c r="A1898" t="inlineStr">
        <is>
          <t>huvua5</t>
        </is>
      </c>
      <c r="B1898" t="inlineStr">
        <is>
          <t>Thin Cornea</t>
        </is>
      </c>
      <c r="C1898" t="inlineStr">
        <is>
          <t>Cornea with 504 µm (right eye) and 499 µm (left eye), with pressure at 18mmHg (both eyes) in the Goldmann tonometer. Would anyone know the exact IOP? 
&amp;amp;#x200B;
Thank You.
#</t>
        </is>
      </c>
      <c r="D1898" t="n">
        <v>1</v>
      </c>
      <c r="E1898" t="n">
        <v>8</v>
      </c>
      <c r="F1898">
        <f>HYPERLINK("https://www.reddit.com/r/eyetriage/comments/huvua5/thin_cornea/")</f>
        <v/>
      </c>
      <c r="G1898" t="inlineStr">
        <is>
          <t>2020-07-20 15:58:27</t>
        </is>
      </c>
      <c r="H1898" t="inlineStr"/>
    </row>
    <row r="1899">
      <c r="A1899" t="inlineStr">
        <is>
          <t>hv100t</t>
        </is>
      </c>
      <c r="B1899" t="inlineStr">
        <is>
          <t>Possible Glaucoma? Smoking marijuana helps drastically.</t>
        </is>
      </c>
      <c r="C1899" t="inlineStr">
        <is>
          <t>I’m going to keep this short and sweet.
30 year old male. Over the past year I have noticed my left lower eyelid has slowly, but progressively gotten “puffier”. I attributed this to aging. Over the past few weeks I have been experiencing pain in my left eye, an increase of puffiness or swelling of my lower eyelid, an increase of “floaters”, increased light sensitivity, and a feeling that my vision was “off” I figured some form of glaucoma could be a possibility so I smoked some weed and for the first time since my lower lid swelling started, it basically disappeared. The eye feels much more comfortable. I have booked an optometrist appointment but it is almost 2 weeks away. Should I treat this as a medical emergency? Aside from smoking weed all day until my appointment, is there anything else I can do? I’ve read that acetaminophen can reduce IOP by a clinically significant level. I might try this as well. Any input is appreciated. Thank you</t>
        </is>
      </c>
      <c r="D1899" t="n">
        <v>0</v>
      </c>
      <c r="E1899" t="n">
        <v>14</v>
      </c>
      <c r="F1899">
        <f>HYPERLINK("https://www.reddit.com/r/eyetriage/comments/hv100t/possible_glaucoma_smoking_marijuana_helps/")</f>
        <v/>
      </c>
      <c r="G1899" t="inlineStr">
        <is>
          <t>2020-07-20 21:39:27</t>
        </is>
      </c>
      <c r="H1899" t="inlineStr"/>
    </row>
    <row r="1900">
      <c r="A1900" t="inlineStr">
        <is>
          <t>hv1m1q</t>
        </is>
      </c>
      <c r="B1900" t="inlineStr">
        <is>
          <t>Repetitive, moving, and identical photopsia post PVD. How common?</t>
        </is>
      </c>
      <c r="C1900" t="inlineStr">
        <is>
          <t>I was diagnosed with PVD in my left eye back in 2018 when I had a sudden increase in floaters. I'm seeing the same photopsia consistently every time it occurs randomly. What I see is a small, white circle that moves **very fast** in a counterclockwise direction and lasts about a **second**. It's only in my left eye. This is definitely not a floater.
This always happens in the morning when I wake up. It's more noticeable when I have my eyes closed. I've started to see it maybe once during the day time now. Since the start of the year, I've seen my retina specialist twice and my ophthalmologist once. My eyes are otherwise healthy. My left eye also has a retina scar that I've known about since my 20s (55M). The drawing I made is not on the scale as what I see is much smaller but it's a general idea.
&amp;amp;#x200B;
How common is this a repetitive photopsia with PVD?
https://preview.redd.it/4ssq524ya5c51.jpg?width=960&amp;amp;format=pjpg&amp;amp;auto=webp&amp;amp;s=bf40b006dc677786899084f34f822e6df761e190</t>
        </is>
      </c>
      <c r="D1900" t="n">
        <v>3</v>
      </c>
      <c r="E1900" t="n">
        <v>5</v>
      </c>
      <c r="F1900">
        <f>HYPERLINK("https://www.reddit.com/r/eyetriage/comments/hv1m1q/repetitive_moving_and_identical_photopsia_post/")</f>
        <v/>
      </c>
      <c r="G1900" t="inlineStr">
        <is>
          <t>2020-07-20 22:26:09</t>
        </is>
      </c>
      <c r="H1900" t="inlineStr"/>
    </row>
    <row r="1901">
      <c r="A1901" t="inlineStr">
        <is>
          <t>hv750t</t>
        </is>
      </c>
      <c r="B1901" t="inlineStr">
        <is>
          <t>Psychotropic drugs and their effects on open-angle glaucoma</t>
        </is>
      </c>
      <c r="C1901" t="inlineStr">
        <is>
          <t xml:space="preserve"> Hello, I have open angle glaucoma and I use the following drugs:
\- Desvenlafaxine 50mg
\- Divalproex Sodium 250mg
\- Risperidone 0,5mg
\- Alprazolam 0,5 - 1 mg
Do they increase, even slightly, IOP?
&amp;amp;#x200B;
Thank You.</t>
        </is>
      </c>
      <c r="D1901" t="n">
        <v>1</v>
      </c>
      <c r="E1901" t="n">
        <v>0</v>
      </c>
      <c r="F1901">
        <f>HYPERLINK("https://www.reddit.com/r/eyetriage/comments/hv750t/psychotropic_drugs_and_their_effects_on_openangle/")</f>
        <v/>
      </c>
      <c r="G1901" t="inlineStr">
        <is>
          <t>2020-07-21 06:15:29</t>
        </is>
      </c>
      <c r="H1901" t="inlineStr"/>
    </row>
    <row r="1902">
      <c r="A1902" t="inlineStr">
        <is>
          <t>hv81kg</t>
        </is>
      </c>
      <c r="B1902" t="inlineStr">
        <is>
          <t>Is my PVD causing my severe eye pain?</t>
        </is>
      </c>
      <c r="C1902" t="inlineStr">
        <is>
          <t>44F, -10.50, PVD symptoms in left eye started Saturday, PVD confirmed on Monday by my OD. I have lattice, so she’s rechecking me in two weeks to ensure no tears or detachment occur. Since it began, my eyeball is killing me and there is referred pain underneath my eye in the cheekbone area. At times radiates up my forehead on affected side. Pins and needles off and on over my cheekbone as well. Pain seems to be movement induced. I’ve read PVD is painless, so what else could it be? Thanks in advance.</t>
        </is>
      </c>
      <c r="D1902" t="n">
        <v>1</v>
      </c>
      <c r="E1902" t="n">
        <v>22</v>
      </c>
      <c r="F1902">
        <f>HYPERLINK("https://www.reddit.com/r/eyetriage/comments/hv81kg/is_my_pvd_causing_my_severe_eye_pain/")</f>
        <v/>
      </c>
      <c r="G1902" t="inlineStr">
        <is>
          <t>2020-07-21 07:14:10</t>
        </is>
      </c>
      <c r="H1902" t="inlineStr"/>
    </row>
    <row r="1903">
      <c r="A1903" t="inlineStr">
        <is>
          <t>hv84lc</t>
        </is>
      </c>
      <c r="B1903" t="inlineStr">
        <is>
          <t>One eye smaller than the other?</t>
        </is>
      </c>
      <c r="C1903" t="inlineStr">
        <is>
          <t>Hi all! Was going through some pictures, and I noticed that in a lot of them my left eye is noticeably smaller than the right one. I've never noticed this in the mirror, and no one has ever commented in it, but I'm now I'm wondering what the deal is. It looks like my left lower eyelid (on the right side in this picture) is a bit higher up than the other eye?
This has been the case in many pictures dating back at least 10 years. 
I get a checkup every year, and my vision is fine. But still this, what could this be? Is this just the way I look? 😅 
https://preview.redd.it/h4388eo2y7c51.jpg?width=1224&amp;amp;format=pjpg&amp;amp;auto=webp&amp;amp;s=ed990b55fd6c37dde5a6a56ee068b5f115998a16</t>
        </is>
      </c>
      <c r="D1903" t="n">
        <v>1</v>
      </c>
      <c r="E1903" t="n">
        <v>6</v>
      </c>
      <c r="F1903">
        <f>HYPERLINK("https://www.reddit.com/r/eyetriage/comments/hv84lc/one_eye_smaller_than_the_other/")</f>
        <v/>
      </c>
      <c r="G1903" t="inlineStr">
        <is>
          <t>2020-07-21 07:19:33</t>
        </is>
      </c>
      <c r="H1903" t="inlineStr"/>
    </row>
    <row r="1904">
      <c r="A1904" t="inlineStr">
        <is>
          <t>hvcugs</t>
        </is>
      </c>
      <c r="B1904" t="inlineStr">
        <is>
          <t>Can I request to be sedated for chalazion surgery?</t>
        </is>
      </c>
      <c r="C1904" t="inlineStr">
        <is>
          <t>I have 7 chalazions and 8 styes in both of my eyes, I had surgery once to remove a chalazion and it was extremely painful and traumatic and they weren't able to get it all out because I kept moving. Is it possible for me to request to be fully sedated for the surgery to remove all of them at once? 
They are all basically rocks at this point since I've had them for so long (oldest one is 2 years old) and I have done everything I can to get them out to no avail.</t>
        </is>
      </c>
      <c r="D1904" t="n">
        <v>2</v>
      </c>
      <c r="E1904" t="n">
        <v>10</v>
      </c>
      <c r="F1904">
        <f>HYPERLINK("https://www.reddit.com/r/eyetriage/comments/hvcugs/can_i_request_to_be_sedated_for_chalazion_surgery/")</f>
        <v/>
      </c>
      <c r="G1904" t="inlineStr">
        <is>
          <t>2020-07-21 11:27:58</t>
        </is>
      </c>
      <c r="H1904" t="inlineStr"/>
    </row>
    <row r="1905">
      <c r="A1905" t="inlineStr">
        <is>
          <t>hvdttx</t>
        </is>
      </c>
      <c r="B1905" t="inlineStr">
        <is>
          <t>Zeaxanthin</t>
        </is>
      </c>
      <c r="C1905" t="inlineStr">
        <is>
          <t>I have a defective catract lens in one eye, my other eye has declined rather fast after this. I'm going to get it fixed soon but in the mean time I was recommend by a freind to try Zeaxanthin and vitimin A. I get thst vitimin are good for overall health but will they actually help or is it just an expensive placibo? 
Background
 I don't have diabetes (rapid vision decline) I'm otherwise above avarge health ( runner)  and I'm in my 30 so  cataract surgery was from the  gas due to eye trauma ( torn retina). 
Ta.</t>
        </is>
      </c>
      <c r="D1905" t="n">
        <v>1</v>
      </c>
      <c r="E1905" t="n">
        <v>16</v>
      </c>
      <c r="F1905">
        <f>HYPERLINK("https://www.reddit.com/r/eyetriage/comments/hvdttx/zeaxanthin/")</f>
        <v/>
      </c>
      <c r="G1905" t="inlineStr">
        <is>
          <t>2020-07-21 12:19:17</t>
        </is>
      </c>
      <c r="H1905" t="inlineStr"/>
    </row>
    <row r="1906">
      <c r="A1906" t="inlineStr">
        <is>
          <t>hvp3jn</t>
        </is>
      </c>
      <c r="B1906" t="inlineStr">
        <is>
          <t>Sudden astigmatism</t>
        </is>
      </c>
      <c r="C1906" t="inlineStr">
        <is>
          <t>So, the story goes like this.
One time, i had good vision(20/20 right eye, 17 or so left) and about 7 months ago i moved in a rent with almost no natural light and stayed 12h a day or more in front of a screen(a lot of them being on small phone screen) and realized that i had blurry vision from time to time and dry eyes.
After 3 months or so, i went to an optician as my blurry vision wasn't going away anymore, at least not completely, and i had double vision no matter what.
There, they diagnosed me with astigmatism (no keratoconus) of 1.5 right eye and 2.5 left, and pretty bad on vision test(right eye didn't see last 3 rows or so, left eye, barely seen top half rows).
What's the chances that my eyes will heal(or at least not make me so dizzy) from warm compresses (still dry af eyes, artificial tears work for max 1-1.5h).
Also, my eyes tire very easily, feeling as if i'm sleepy all day, but it's cause i have to keep my eyes closed so they relax a bit.</t>
        </is>
      </c>
      <c r="D1906" t="n">
        <v>1</v>
      </c>
      <c r="E1906" t="n">
        <v>6</v>
      </c>
      <c r="F1906">
        <f>HYPERLINK("https://www.reddit.com/r/eyetriage/comments/hvp3jn/sudden_astigmatism/")</f>
        <v/>
      </c>
      <c r="G1906" t="inlineStr">
        <is>
          <t>2020-07-22 00:07:10</t>
        </is>
      </c>
      <c r="H1906" t="inlineStr"/>
    </row>
    <row r="1907">
      <c r="A1907" t="inlineStr">
        <is>
          <t>hvp4of</t>
        </is>
      </c>
      <c r="B1907" t="inlineStr">
        <is>
          <t>Central vision is blurry after cataract surgery and retinal detachment surgery</t>
        </is>
      </c>
      <c r="C1907" t="inlineStr">
        <is>
          <t>Hello there. 
I had retinal detachment surgery November last year after getting the curtain symptom. My right eye went through PPV with silicone oil and scleral buckling, and my left went through lasers. Because of the pandemic, the oil removal was pushed to just recently, late June, and I got a cataract along with it. So after the oil removal and the cataract surgery, my eye has been healing but it's about 4 weeks in and I told my ophthalmologist that the central vision isn't clearing up but the peripherals are sharp. So he can't have my eyes refracted yet for a new  glasses prescription. 
The retina is completely flat he tells me. He asked if my right eye was a lazy eye before or if it had a tendency to be one, I said it didn't and that my right eye was the stronger one before the detachment. He told me to go through an OCT scan to check on my macula. And he also gave me lutein supplements. 
What could be the worst and best case scenarios that have happened to my right eye? What could be the most likely scenario? Should I be worried that my central vision won't be as crisp, I'm already very thankful that my vision was restored in my right eye.
Thank you so much for commenting or for any PMs regarding this. I really appreciate it.
20 y/o, F
-4D/-6D, OD/OS - predetachment
IOL 10.5D Monofocal OD
Current eyedrops: Pred Forte, Combigan
Sensitive to steroids (eye pressure quickly rockets, I've had it go up to around 40 after retinal detachment surgery with the Pred)</t>
        </is>
      </c>
      <c r="D1907" t="n">
        <v>1</v>
      </c>
      <c r="E1907" t="n">
        <v>2</v>
      </c>
      <c r="F1907">
        <f>HYPERLINK("https://www.reddit.com/r/eyetriage/comments/hvp4of/central_vision_is_blurry_after_cataract_surgery/")</f>
        <v/>
      </c>
      <c r="G1907" t="inlineStr">
        <is>
          <t>2020-07-22 00:09:47</t>
        </is>
      </c>
      <c r="H1907" t="inlineStr"/>
    </row>
    <row r="1908">
      <c r="A1908" t="inlineStr">
        <is>
          <t>hvwgh1</t>
        </is>
      </c>
      <c r="B1908" t="inlineStr">
        <is>
          <t>Phlyctenular keratitis</t>
        </is>
      </c>
      <c r="C1908" t="inlineStr">
        <is>
          <t>Hi!
I was recently diagnosed with **phlyctenular keratitis.** Unfortunately my ophthalmologist hasn't been helpful in explaining what phlyctenular keratitis is. I was hoping someone here with medical training can tell me what it is. Please let me know if there is a genetic component to phlyctenular keratitis, and how phlyctenular keratitis is diagnosed, and what causes it. Also, if anyone has it, I would love to here from you on how you manage phlyctenular keratitis. 
Thank you!</t>
        </is>
      </c>
      <c r="D1908" t="n">
        <v>2</v>
      </c>
      <c r="E1908" t="n">
        <v>4</v>
      </c>
      <c r="F1908">
        <f>HYPERLINK("https://www.reddit.com/r/eyetriage/comments/hvwgh1/phlyctenular_keratitis/")</f>
        <v/>
      </c>
      <c r="G1908" t="inlineStr">
        <is>
          <t>2020-07-22 09:04:57</t>
        </is>
      </c>
      <c r="H1908" t="inlineStr"/>
    </row>
    <row r="1909">
      <c r="A1909" t="inlineStr">
        <is>
          <t>hw6x1h</t>
        </is>
      </c>
      <c r="B1909" t="inlineStr">
        <is>
          <t>Blurred spot in Left-centre vision of left eye.</t>
        </is>
      </c>
      <c r="C1909" t="inlineStr">
        <is>
          <t>Hello, I am 25 years old and for about 3-4 weeks now I’ve had a small distorted spot in my vision. Looks like it’s bending colour/light ever so slightly. It used to leave a purple hued impression when I blinked or closed my eyes but only does so occasionally now. It seems to have become slightly smaller as well. I have floaters but I have had multiple floaters since I was a child and have not noticed a considerable increase in them. I went to see an ophthalmologist but he couldn’t find anything wrong. I have a second assessment with a different ophthalmologist in a few weeks but I am curious if anyone has had similar experiences. I was informed it may simply be swelling of some kind. Any similar experiences or opinions on what this may be? Thank you.</t>
        </is>
      </c>
      <c r="D1909" t="n">
        <v>1</v>
      </c>
      <c r="E1909" t="n">
        <v>1</v>
      </c>
      <c r="F1909">
        <f>HYPERLINK("https://www.reddit.com/r/eyetriage/comments/hw6x1h/blurred_spot_in_leftcentre_vision_of_left_eye/")</f>
        <v/>
      </c>
      <c r="G1909" t="inlineStr">
        <is>
          <t>2020-07-22 18:46:31</t>
        </is>
      </c>
      <c r="H1909" t="inlineStr"/>
    </row>
    <row r="1910">
      <c r="A1910" t="inlineStr">
        <is>
          <t>hwcn3f</t>
        </is>
      </c>
      <c r="B1910" t="inlineStr">
        <is>
          <t>Seeing black outlines of blood vessels while waking up.</t>
        </is>
      </c>
      <c r="C1910" t="inlineStr">
        <is>
          <t>Hello, this is my first post here.
I’m currently facing this weird issue the past few months ago (3 months ago I Guess) where by my eye’s been messing with me for quite some time.
Earlier 2020 before the lockdown begins I have no eye issues I’m doing fine and my lifestyle had sort of changed since the lockdown.
I’ve been using my laptop daily for 6 hours, studying courses and e-commerce as well as studying some optician stuffs (I graduated from opticianry last 3 years back before I did my national service for 2 years) and since then things starts to crumble down and hit me hard.
At first I thought I’m experiencing computer vision syndrome due to flashes and dark spots after Long usage of digital devices, I’m also using my phone often as I’m just started out my esport career which I end up have to retire early and quit till I fix The Eye issue.
I then realised something isn’t right I’m afraid it could be macular degeneration or retina tear so I went to have my eyes check at a GP and rest at home. The doctor shined some light into my eyes and she can’t see any abnormal issues with  both my eyes so she referred me to a eye hospital for further checkup which is on 2021 next year.
So far so good my eyes’s feeling better, flashes and spots has went down to almost none and I’m able to do my Everyday activities normally until another issue starts to hit both my eyes and worried me again.
Recently as my eyes are recovering, I use to see these weird blood vessels on my vision that will disappear immediately when I wake up and I thought it’s just temporary until today it happened again but this time it’s black coloured but it’ll disappear immediately after I opened my eyes.
The blood vessels will happen when I sleep on my side but when I keep my head’s straight and elevated for a few second then open my eyes again my eyes will open up like normal, nothing’s wrong.
But what’s causing these weird Purkinje tree thing on my eyes? It’s not just 1 eye but both eyes each time I wake up.
Yes I do feel kinda freak out and kinda afraid to fall asleep because I don’t want to wake up blind one day.</t>
        </is>
      </c>
      <c r="D1910" t="n">
        <v>0</v>
      </c>
      <c r="E1910" t="n">
        <v>9</v>
      </c>
      <c r="F1910">
        <f>HYPERLINK("https://www.reddit.com/r/eyetriage/comments/hwcn3f/seeing_black_outlines_of_blood_vessels_while/")</f>
        <v/>
      </c>
      <c r="G1910" t="inlineStr">
        <is>
          <t>2020-07-23 02:24:26</t>
        </is>
      </c>
      <c r="H1910" t="inlineStr"/>
    </row>
    <row r="1911">
      <c r="A1911" t="inlineStr">
        <is>
          <t>hwgov0</t>
        </is>
      </c>
      <c r="B1911" t="inlineStr">
        <is>
          <t>Clear orange-y bubble on eyelid (NOT a stye or cyst)</t>
        </is>
      </c>
      <c r="C1911" t="inlineStr">
        <is>
          <t>Throughout the years, some tiny clear bubbles (full of clear liquid) appeared occassionaly on my eyelids' margins, close to the waterline. They are very small, not painful and not irritating to the eye (just hella annoying and worrying to me). If I leave them alone, they might grow a bit more and then pop on their own after a few hours (they don't last more than a day), leaving no pain or trace behind them. However, as I can't be that patient, I always scratch them gently with a wet (or not) paper towel, as I don't want to infect the place by touching it with my bare hands or anything else. And they are gone after that (the skin may be a little red for a while, due to the friction, but still, not pain or anything else, just clear liquid bursting out on its own for a while. Does anyone know what these things are or have them as well?
PS: Hot compresses don't really help, on the contrary, during the time I put them daily on my eyelids the skin around the eyes became dry and the bubbles appeared more frequently.</t>
        </is>
      </c>
      <c r="D1911" t="n">
        <v>2</v>
      </c>
      <c r="E1911" t="n">
        <v>2</v>
      </c>
      <c r="F1911">
        <f>HYPERLINK("https://www.reddit.com/r/eyetriage/comments/hwgov0/clear_orangey_bubble_on_eyelid_not_a_stye_or_cyst/")</f>
        <v/>
      </c>
      <c r="G1911" t="inlineStr">
        <is>
          <t>2020-07-23 07:33:46</t>
        </is>
      </c>
      <c r="H1911" t="inlineStr"/>
    </row>
    <row r="1912">
      <c r="A1912" t="inlineStr">
        <is>
          <t>hwlytd</t>
        </is>
      </c>
      <c r="B1912" t="inlineStr">
        <is>
          <t>24M. 7 appts, no solution for 6 months now. My ophthalmologist and optometrists don't know. Physical exertion moment caused constant eye irritation and major focusing problems. Pics included</t>
        </is>
      </c>
      <c r="C1912" t="inlineStr">
        <is>
          <t>Hey all,
24M, 5'7, 140lbs, have nearsightedness (-4) and astigmatism, from the US.
Saw my primary care twice (for bloodwork), ophthalmologist 3x, and two optometrists twice each. I'm not sure what to do anymore.
[Here's a link to the pics.](https://imgur.com/a/Fb32kD0) In the first pic, those tiny little inflamed hair-like lines is what went away only from the cycloplegic drops and felt normal/better. The larger red veins are when my eyes immediately strain from computer/driving.
&amp;amp;#x200B;
**TLDR; physical exertion caused eye inflammation/irritation on out side white parts of eyes since the past 6 months, eye inflames a lot more with computer use and driving with an ache and is inflamed in general like when I wake up, cycloplegic refraction drops made eyes feel lot better temporarily, but doctors unsure what's going on, I am confused. Like my eyes lost focusing ability?**
**onset**:
Back in January 2020, in my last physical therapy appt for my knee, I barely ate the day before and day of, and my body was completely fatigued for this session. Was doing some intense exercise my PT gave me, and I could feel my eyes straining(?) intensely. The same night, my eyes felt like they got "triggered" and it's been a disaster since then.
**issue**:
Since then, the out sides of my eyes have been constantly inflamed and irritated. I'm a compsci guy, and I can no longer sit at my desk or at a chair and use my computer from a normal 2-3 ft apart distance. I can only use my computer if it's less than 2 ft away, otherwise my eyes become strained/inflamed within 5min if at normal distance at my chair/desk. Same with driving (eyes strain so quickly I barely drive now).
**What doctors said:**
\-Got my eyes checked, optometrists and ophthalmologist said dry eye syndrome/disease, but my eyes only get dry when using a computer or driving, or even randomly when they get inflamed. 
\- I am on a full dry eye regiment for 5 months now, all blood work came back normal (sjorden's, ANA, TSH, rheumatoid factor).  TSH tested twice this year and both times normal/healthy range. Ophthalmologist said unsure of what's going on since dry eyes doesn't look like it's the cause, says it could be vascular or something else systematic. 
\- ophthalmologist said I don't have uveitis. eye pressure was healthy every time checked. Little higher when eye inflamed (I think it was 17 and 18 at the worst), 16 otherwise. 
**medicines:**
\- been on an intense dry eye routine since february (eye mask and gel at night, daily PF single use drops, omega 3 daily, ample water, no air flowing at my face/head, eyelid scrub).
\- My ophthalmologist gave me Tobramycin-dexameth-opth back in June, and now he gave my doxycycline mono. Issue with the doxy is bc my extreme heat intolerance, he said the doxy causes sun sensitivity so I have been hesitant to start it. Not sure why I need an antibiotic if I don't have an eye infection either.
&amp;amp;#x200B;
**other symptoms**:
Besides the eye irritation from the january onset, starting in april I started having other weird stuff going on.
\- sometimes I feel the eye pain going along the top sides of my head and down to the sides of the base of my neck as if it's a muscle strain feeling in my neck?
\- Developed sudden and extreme heat intolerance to the point where going outside for even 2min in the georgia summer sun makes my nerves (upper body mainly) feel like it's on fire.
\- fatigued. Sleeping a ton. Like 10-12hrs a day.
\- body overheats randomly for several minutes at a time multiple times a day. *I found out icing my body helps a lot. So I'd take an ice pack and put it over my eyes/temple region and my eyes would feel insanely relieved from this abrupt overheating and inflammation/irritation on my eyes.*
*- \*\*\** From back in January during the onset up to now, my carotid pulse randomly "surges(?)" where it is pounding, sometimes to the point where I feel nauseous. Yet if I go to the park to play some frisbee or a sport outdoors, my eyes are fine and even if my heart is pounding from running, no major issue, but the moment I sit in my car and get ready to drive, my eyes immediately start to dry up and inflame/irritate.
\- heat hives? Unless I run or if it's humid out (ie I sweat instantly), then my body overheats, get heat rashes on my body until I can sweat it out.
**weird part:**
\-Got a cycloplegic refraction done because my opthamologist suggested it, and my eyes never felt so normal before all this started (excluding the close up blurriness with glasses). The irritation and swelling was gone while the drops were still in effect, but as the drops went away, my eye inflammation returned.
\- from april onwards, whenever my body "surges" (over heat, pulse surge, etc) and my eyes get suddenly inflamed, my bottom lips immediately chap and peel within seconds. Then that feeling goes away once the "surging" goes away.
&amp;amp;#x200B;
No idea what to do. I can't even code or do programming or drive much because of my damn eyes. Bombed some interviews because my eyes. I plan to contact emory's eye dept bc it's known for having a good medical field and all the local private care docs I've seen seem to only know of dry eyes, glaucoma, and cataracts...</t>
        </is>
      </c>
      <c r="D1912" t="n">
        <v>1</v>
      </c>
      <c r="E1912" t="n">
        <v>4</v>
      </c>
      <c r="F1912">
        <f>HYPERLINK("https://www.reddit.com/r/eyetriage/comments/hwlytd/24m_7_appts_no_solution_for_6_months_now_my/")</f>
        <v/>
      </c>
      <c r="G1912" t="inlineStr">
        <is>
          <t>2020-07-23 12:13:02</t>
        </is>
      </c>
      <c r="H1912" t="inlineStr"/>
    </row>
    <row r="1913">
      <c r="A1913" t="inlineStr">
        <is>
          <t>hwpqeq</t>
        </is>
      </c>
      <c r="B1913" t="inlineStr">
        <is>
          <t>I had a surgery to fix droopy eyelids that were probably causing watery eyes. Since the surgery my eyes have been getting more watery than before the surgery</t>
        </is>
      </c>
      <c r="C1913" t="inlineStr">
        <is>
          <t>How long does eyelid surgery watering take to go away?</t>
        </is>
      </c>
      <c r="D1913" t="n">
        <v>3</v>
      </c>
      <c r="E1913" t="n">
        <v>10</v>
      </c>
      <c r="F1913">
        <f>HYPERLINK("https://www.reddit.com/r/eyetriage/comments/hwpqeq/i_had_a_surgery_to_fix_droopy_eyelids_that_were/")</f>
        <v/>
      </c>
      <c r="G1913" t="inlineStr">
        <is>
          <t>2020-07-23 15:36:36</t>
        </is>
      </c>
      <c r="H1913" t="inlineStr"/>
    </row>
    <row r="1914">
      <c r="A1914" t="inlineStr">
        <is>
          <t>hwrlwc</t>
        </is>
      </c>
      <c r="B1914" t="inlineStr">
        <is>
          <t>How long do PVD symptoms last after vitreous detachment has occured?</t>
        </is>
      </c>
      <c r="C1914" t="inlineStr">
        <is>
          <t>Asking on behalf of a relative who was diagnosed with PVD back in January.
He saw a number of different specialists, and was eventually told that the vitreous had detached and that his eyes were healthy/not to worry.
he's still having the usual symptoms, including what they describe as shimmery vision and seeing their pulse too. (These symptoms have been going on since 2017 at least, so I'm told)   
So I just wanted to ask a couple of questions hopefully to reassure him.
He had a few OCT scans that apparently showed the detachment had happened - is the OCT a reliable way of confirming that the vitreous has detached 100%?
If not is there any other test he could get to confirm it?
Also, is there's a time frame for how long the symptoms continue after the detachment has occurred?
We're both concerned it may not be normal for symptoms like this to be ongoing, but also I'm wondering if it might just be "the new normal" for them since the eye is more fluid than gel as with PVD and could perhaps be more susceptible to "vibrations" (he has a very strong pulse that can easily be felt)
Is there a chance the vitreous is still attached somewhere in the eye and that they could have complications going forward at some point?
At what point with PVD can you say you're "safe" if symptoms are still continuing but detachment as supposedly occured?
Is this something that requires further investigation, or is it something they just need to get used to?
Any advice would be greatly appreciated.
Thanks.</t>
        </is>
      </c>
      <c r="D1914" t="n">
        <v>1</v>
      </c>
      <c r="E1914" t="n">
        <v>0</v>
      </c>
      <c r="F1914">
        <f>HYPERLINK("https://www.reddit.com/r/eyetriage/comments/hwrlwc/how_long_do_pvd_symptoms_last_after_vitreous/")</f>
        <v/>
      </c>
      <c r="G1914" t="inlineStr">
        <is>
          <t>2020-07-23 17:27:12</t>
        </is>
      </c>
      <c r="H1914" t="inlineStr"/>
    </row>
    <row r="1915">
      <c r="A1915" t="inlineStr">
        <is>
          <t>hwu79l</t>
        </is>
      </c>
      <c r="B1915" t="inlineStr">
        <is>
          <t>I've been on Lotemax everyday for 2 years due to a Shingles outbreak.</t>
        </is>
      </c>
      <c r="C1915" t="inlineStr">
        <is>
          <t>Hi all,
Two years ago I had shingles in my right eye at the age of 22 which lasted about a week, I went on Valtrex and took a series of eye drops to control inflammation and pressure (Durexol, Prednisolane, Combigan, Lotemax).
Since then, I have been on Lotemax as I have leftover inflammation that doesn't seem to go away. I used to be on it 3 times a day, then down to two, and now down to one. Things seem to be fine at one drop a day, my pressure levels are in check. We are trying to go down to one drop every other day but every-time I try to do this, the redness and inflammation comes back. The redness is spread across the right eye over but left of the iris is where it is more notable. I'd usually take Lumify to get red of the redness and go back on Lotemax once a day when this happens.
My eye doctor said that sometimes people stay on Lotemax for years and said at worst case you would develop a cataracts or glaucoma, both of which can be dealt with.
Is there anything else I can do to try to control inflammation here or any tips? I'm getting a second opinion from a different eye doctor here to see what they have to say. It's frustrating that it's been two years and I'm still dealing with it. If I take Lotemax everyday for 5-10 years and my pressures do not increase, what are the chances something bad occurs from it?</t>
        </is>
      </c>
      <c r="D1915" t="n">
        <v>1</v>
      </c>
      <c r="E1915" t="n">
        <v>3</v>
      </c>
      <c r="F1915">
        <f>HYPERLINK("https://www.reddit.com/r/eyetriage/comments/hwu79l/ive_been_on_lotemax_everyday_for_2_years_due_to_a/")</f>
        <v/>
      </c>
      <c r="G1915" t="inlineStr">
        <is>
          <t>2020-07-23 20:16:30</t>
        </is>
      </c>
      <c r="H1915" t="inlineStr"/>
    </row>
    <row r="1916">
      <c r="A1916" t="inlineStr">
        <is>
          <t>hwzrak</t>
        </is>
      </c>
      <c r="B1916" t="inlineStr">
        <is>
          <t>Dry eye only in 1 eye...</t>
        </is>
      </c>
      <c r="C1916" t="inlineStr">
        <is>
          <t>Hello I have been suffering from 1 eye dryness for 8 months now. I also have a constant pain on the downside of my eye. My GP tested that eye with a coloring fluid and saw that the tear doesnt spread well. My other eye is fine. Stopped using the prescribed eue drops bc it must doesnt make that much difference. Its weird to me only one eye is affected. Can an opthmalogist help me? Im just 17 years old and caucasian male. Is it possible something in my eye is blocked? Something notable:when im biking the wind gets in my eyes and they both got dry, sadly only my fine eye will produce extra tears to keep my eye lubricated, the dry eye will just stay dry... Can my cornea get damaged?</t>
        </is>
      </c>
      <c r="D1916" t="n">
        <v>1</v>
      </c>
      <c r="E1916" t="n">
        <v>1</v>
      </c>
      <c r="F1916">
        <f>HYPERLINK("https://www.reddit.com/r/eyetriage/comments/hwzrak/dry_eye_only_in_1_eye/")</f>
        <v/>
      </c>
      <c r="G1916" t="inlineStr">
        <is>
          <t>2020-07-24 04:01:36</t>
        </is>
      </c>
      <c r="H1916" t="inlineStr"/>
    </row>
    <row r="1917">
      <c r="A1917" t="inlineStr">
        <is>
          <t>hx3nju</t>
        </is>
      </c>
      <c r="B1917" t="inlineStr">
        <is>
          <t>Rainbow dot</t>
        </is>
      </c>
      <c r="C1917" t="inlineStr">
        <is>
          <t>I've tested my eyes once a year since 2017. But no one knows what could cause this one small bright rainbow colored dot near my central vision. It comes and goes. It's very noticeable when in bright environment. But if i keep my eyes open few seconds, it disappears and after i blink or close my eyes for a few secs and open them again, little rainbow dot is flickering there again. Eye related or could it be neurological?</t>
        </is>
      </c>
      <c r="D1917" t="n">
        <v>1</v>
      </c>
      <c r="E1917" t="n">
        <v>4</v>
      </c>
      <c r="F1917">
        <f>HYPERLINK("https://www.reddit.com/r/eyetriage/comments/hx3nju/rainbow_dot/")</f>
        <v/>
      </c>
      <c r="G1917" t="inlineStr">
        <is>
          <t>2020-07-24 08:20:59</t>
        </is>
      </c>
      <c r="H1917" t="inlineStr"/>
    </row>
    <row r="1918">
      <c r="A1918" t="inlineStr">
        <is>
          <t>hx61b6</t>
        </is>
      </c>
      <c r="B1918" t="inlineStr">
        <is>
          <t>No Vision After Cataract Surgery</t>
        </is>
      </c>
      <c r="C1918" t="inlineStr">
        <is>
          <t>Hi, I'm 21 and I have had really dense cataracts since January of 2020 and due to covid, I only got surgery recently. My right eye started out as a cataract, slowly got worse, and then became just a gray cloud no light or shadows can go through so no vision at all on my right eye for 5-6 months. The surgery was a success however there is no vision, just the gray cloud. My OPH shined a bright light into my right eye and I saw it in a flash of a weird pattern (very hard to explain but almost like a partial lion print but just in certain areas when the light flashes) \[example\]([https://i.pinimg.com/originals/44/34/ff/4434ff998f71052429f2327e94e671da.jpg](https://i.pinimg.com/originals/44/34/ff/4434ff998f71052429f2327e94e671da.jpg))
He stated during my check up today that something may have happened to my retina as my lens is in place and is fine but the back part of my eye is abnormal. He referred me to a retina specialist next week to see what this is. I am honestly preparing for worst case scenario but if anyone is able to give me some insight on what to prepare for, what this means or have heard of something similar, I would appreciate any help!
(My cataract on my left eye was done first and is recovering perfectly)</t>
        </is>
      </c>
      <c r="D1918" t="n">
        <v>2</v>
      </c>
      <c r="E1918" t="n">
        <v>9</v>
      </c>
      <c r="F1918">
        <f>HYPERLINK("https://www.reddit.com/r/eyetriage/comments/hx61b6/no_vision_after_cataract_surgery/")</f>
        <v/>
      </c>
      <c r="G1918" t="inlineStr">
        <is>
          <t>2020-07-24 10:29:21</t>
        </is>
      </c>
      <c r="H1918" t="inlineStr"/>
    </row>
    <row r="1919">
      <c r="A1919" t="inlineStr">
        <is>
          <t>hxea8j</t>
        </is>
      </c>
      <c r="B1919" t="inlineStr">
        <is>
          <t>I have double vision AFTER my blood sugars stabilized (long time diabetic), help</t>
        </is>
      </c>
      <c r="C1919" t="inlineStr">
        <is>
          <t xml:space="preserve"> Hello, I am a long time diabetic. For the past 20 years it has been poorly controlled. I've been wearing glasses for about 15 years for driving and most recently, readers for close up.  
For the past month, I've been diligent with taking my insulin, medication and following the correct diet. The last A1C test I had an 11.5%, and that was the end of May. Now I am averaging 148 for the last month. I'm happy and proud of myself. Yesterday, on my drive home from work, I noticed that I had double vision. Instead of 1 stop sign, I see two.. etc, etc. Up close, I see perfectly fine. Even better than before. But things in the distance are doubled. I have an appointment with my new optometrist Wednesday but I was hoping I could get an idea of what it could be before then. I'm pretty frightened about this. I have no other problems, just the double vision. I'm drinking plenty of water and eating a low fat, low sugar diet. Thank you in advance.</t>
        </is>
      </c>
      <c r="D1919" t="n">
        <v>1</v>
      </c>
      <c r="E1919" t="n">
        <v>7</v>
      </c>
      <c r="F1919">
        <f>HYPERLINK("https://www.reddit.com/r/eyetriage/comments/hxea8j/i_have_double_vision_after_my_blood_sugars/")</f>
        <v/>
      </c>
      <c r="G1919" t="inlineStr">
        <is>
          <t>2020-07-24 18:32:38</t>
        </is>
      </c>
      <c r="H1919" t="inlineStr"/>
    </row>
    <row r="1920">
      <c r="A1920" t="inlineStr">
        <is>
          <t>hxjfhi</t>
        </is>
      </c>
      <c r="B1920" t="inlineStr">
        <is>
          <t>Never ending asthenopia. Do I need an Orthoptics visit?</t>
        </is>
      </c>
      <c r="C1920" t="inlineStr">
        <is>
          <t>Since March 2020, I've been having never ending eye strain and headaches, the symptoms of which have become increasingly unbearable (began with muscle tension around the face and temples, now develops into straight headache 30 minutes after any near work).
I've seen four different ophtalmologists by now, including a specialist who checked me for nearly everything possible, and nothing abnormal was found aside from slight dryness for which I was given preservative-free eye drops (that I use regularly).
The only important change that I was given is a 10° axis change on the right eye, which has made my vision clearer but hasn't resolved any of my symptoms. My only hope, reading online, seems to be an orthoptics test as I haven't been tested for convergence or accomodation problems in these past months. Would that be of any help? I have read online that diabetes could potentially cause similar problems but as of November my blood sugar levels were completely normal and have never been abnormal in the past. Also, I have noticed last night that I seem to have some double vision when looking at lights, but this doesn't seem to happen during the day.
Important info: I am astigmatic and have worn -0,50  180° (left eye); -1,00 180° (right eye) for around 7 years. Was given a new prescription -0,75 180° (left eye); -1,25 180° (right eye) in January and in May I was given -1,25 170° in my right eye (left eye remained the same). I have no prism in my glasses. Had amblyopia corrected when I was very young. I am not using any medication for other health problems so that can be excluded.
TL;DR: Have been suffering from eye strain and headaches for months and ophtalmologists have found nothing especially wrong with me. An orthoptics vision seems to be my only hope.</t>
        </is>
      </c>
      <c r="D1920" t="n">
        <v>1</v>
      </c>
      <c r="E1920" t="n">
        <v>10</v>
      </c>
      <c r="F1920">
        <f>HYPERLINK("https://www.reddit.com/r/eyetriage/comments/hxjfhi/never_ending_asthenopia_do_i_need_an_orthoptics/")</f>
        <v/>
      </c>
      <c r="G1920" t="inlineStr">
        <is>
          <t>2020-07-25 01:32:14</t>
        </is>
      </c>
      <c r="H1920" t="inlineStr"/>
    </row>
    <row r="1921">
      <c r="A1921" t="inlineStr">
        <is>
          <t>hxkofa</t>
        </is>
      </c>
      <c r="B1921" t="inlineStr">
        <is>
          <t>How long after stye/chalazion heals can I wear contacts again?</t>
        </is>
      </c>
      <c r="C1921" t="inlineStr">
        <is>
          <t>Hi, last thursday I (25F) believe I had a stye on my bottom right eyelid. I believe it went down quite a bit on friday, but on the inside of my eyelid, there was something that looked like a pimple with pus.
 I ended up getting antibiotic eyedrops (ofloxacin) just in case and continued it until monday where I saw my optometrist. 
She told me it wasn't a stye and was actually a cyst(?). She told me to stop the antibiotic eyedrops immediately and just use warm compresses and massages. She said if it doesn't drain, then an eye surgeon will have to remove it. I did exactly that but noticed whenever I did warm compresses and massages, it would get bigger again (after visibly getting smaller) so I just stopped doing that to see what would happen.
 Fortunately, it is now friday night and it flattened and there's none of the pus looking thing anymore.  It just looks like my inner eyelid with a sliiiiightly raised bump. Is it safe to wear contacts again? Or should I wait a couple more days? 
Sorry for the formatting, on mobile and didn't have much time to write it. Any help would be much appreciated. Thank you.
Edit: typos</t>
        </is>
      </c>
      <c r="D1921" t="n">
        <v>1</v>
      </c>
      <c r="E1921" t="n">
        <v>19</v>
      </c>
      <c r="F1921">
        <f>HYPERLINK("https://www.reddit.com/r/eyetriage/comments/hxkofa/how_long_after_styechalazion_heals_can_i_wear/")</f>
        <v/>
      </c>
      <c r="G1921" t="inlineStr">
        <is>
          <t>2020-07-25 03:37:53</t>
        </is>
      </c>
      <c r="H1921" t="inlineStr"/>
    </row>
    <row r="1922">
      <c r="A1922" t="inlineStr">
        <is>
          <t>hxm0ao</t>
        </is>
      </c>
      <c r="B1922" t="inlineStr">
        <is>
          <t>I left Eye Drops in a warm place for 2 hours, should I use them know?</t>
        </is>
      </c>
      <c r="C1922" t="inlineStr">
        <is>
          <t>We left for the holidays with my family and the drops where in the car.They were in the box, unopened, and in another bag. The sunlight didn't see them, but the temperature was high anyway and the box was warm anyway. Could they have been spoiled because they were exposed in high temperature?
And should I buy new ones?
Also, I meant "now" in the title.
Also, if they are spoiled are they becoming dangerous for my eyes or they just won't work at all without causing any eye problems?</t>
        </is>
      </c>
      <c r="D1922" t="n">
        <v>1</v>
      </c>
      <c r="E1922" t="n">
        <v>5</v>
      </c>
      <c r="F1922">
        <f>HYPERLINK("https://www.reddit.com/r/eyetriage/comments/hxm0ao/i_left_eye_drops_in_a_warm_place_for_2_hours/")</f>
        <v/>
      </c>
      <c r="G1922" t="inlineStr">
        <is>
          <t>2020-07-25 05:34:55</t>
        </is>
      </c>
      <c r="H1922" t="inlineStr"/>
    </row>
    <row r="1923">
      <c r="A1923" t="inlineStr">
        <is>
          <t>hxqc5b</t>
        </is>
      </c>
      <c r="B1923" t="inlineStr">
        <is>
          <t>Is this prescription change in just 6 months normal for a 14 year old?</t>
        </is>
      </c>
      <c r="C1923" t="inlineStr">
        <is>
          <t>Is this prescription change normal for just 6 months? Should I be worried about my daughter’s vision?
She’s 14 years old and she’s about -6.75 or -7 (I can’t remember exactly and I can’t find the prescription. I know it was around this though) in her right eye and -7.25 or -7.5 (What I said before) in her left eye. Her contacts prescription are -6.5 for both eyes.
Her last appointment in December showed that she was -6.25 in her right eye and -6.5 in her left eye. For cylindrical last year it said -0.50 for both eyes, and for axis it said 180 for the right eye and 10 for the left. I’m not sure what it is for her new prescription.
I’ve come on here to hopefully quell my fears. Her grandparents do have pretty bad vision, though my or her dad’s vision isn’t as bad (I barely wear glasses, I think my prescription was like -1). Her siblings also have glasses but their vision isn’t nearly as bad. She’s the youngest but her older siblings prescriptions are around -3 and -2
I’m worried about how quickly her prescription is rising. Is this something I should be worried about? Or am I overreacting? I’ve always been a bit of an anxious person.</t>
        </is>
      </c>
      <c r="D1923" t="n">
        <v>1</v>
      </c>
      <c r="E1923" t="n">
        <v>2</v>
      </c>
      <c r="F1923">
        <f>HYPERLINK("https://www.reddit.com/r/eyetriage/comments/hxqc5b/is_this_prescription_change_in_just_6_months/")</f>
        <v/>
      </c>
      <c r="G1923" t="inlineStr">
        <is>
          <t>2020-07-25 10:16:59</t>
        </is>
      </c>
      <c r="H1923" t="inlineStr"/>
    </row>
    <row r="1924">
      <c r="A1924" t="inlineStr">
        <is>
          <t>hxrcp3</t>
        </is>
      </c>
      <c r="B1924" t="inlineStr">
        <is>
          <t>How easily can an eye doctor diagnose optical neuritis?</t>
        </is>
      </c>
      <c r="C1924" t="inlineStr">
        <is>
          <t>Last year I had some eye issues, major sensitivity to light at times as well as occasional eye pain where it even hurt laying down on a pillow, a quick shot of dizziness when I would try to focus on reading words on a screen. However when I went to my appointment they did some checking and the only thing they came up with is that I could probably use glasses with a modest prescription.
Now a year later I am turning into a hypochondriac because I am reading about multiple sclerosis and worried that I might have it. I do do this from time to time where I worry too much and it turns out to be nothing and I understand that a lot of MS symptoms are symptoms of other things but I am just worried because I read that optic neuritis is one of the main symptoms of MS.
What are your thoughts?</t>
        </is>
      </c>
      <c r="D1924" t="n">
        <v>1</v>
      </c>
      <c r="E1924" t="n">
        <v>4</v>
      </c>
      <c r="F1924">
        <f>HYPERLINK("https://www.reddit.com/r/eyetriage/comments/hxrcp3/how_easily_can_an_eye_doctor_diagnose_optical/")</f>
        <v/>
      </c>
      <c r="G1924" t="inlineStr">
        <is>
          <t>2020-07-25 11:15:37</t>
        </is>
      </c>
      <c r="H1924" t="inlineStr"/>
    </row>
    <row r="1925">
      <c r="A1925" t="inlineStr">
        <is>
          <t>hxu4y0</t>
        </is>
      </c>
      <c r="B1925" t="inlineStr">
        <is>
          <t>Eye infection vs bad reaction to OTC eye drops</t>
        </is>
      </c>
      <c r="C1925" t="inlineStr">
        <is>
          <t>Hello. Just to start off with I have severe myopia (-13.00 in both eyes). I have worn glasses for 20 some years now and have worn contacts primarily for the past 14 years (daily disposables). I have not had any issues with my eyes until this past month.  I routinely get my eyes checked and do my best to take care of them, and have been told they are surprisingly very healthy considering my prescription. 
However last month at my routine appointment I found out that I “graduated” from my current contact lens brand that I was very happy with, and was forced to try a new brand (still one day disposables) as my prescription changed. Well this new brand of contact lenses has tore in my eyes twice now in the past 3 weeks. The first time this occurred was at the end of the day removing the lens from my right eye. I was subsequently diagnosed with a mild corneal abrasion which healed well. The second time this happened was this past Tuesday while I was putting the lens into my left eye during the morning. I had to go to my optometrist that same day so they could remove the broken piece for me. I was fortunate enough to not have a corneal abrasion this time around. And yes I have already filled out a complaint form to the company of this new brand but have not yet heard back from them. 
So I called my optometrist again on Friday (yesterday) as I developed pain and irritation in my left eye on Thursday afternoon, 2 days after he had to remove a broken piece of my contact from my left eye. I put some eye drops (Refresh tears) in Thursday night before I went to bed as I thought this could be due to dry eyes and woke up on Friday morning with some mild redness in the left eye and it was still quite irritated, to where it hurt to even blink. 
I was unfortunately not able to get in for an exam on Friday as I had to work all day. He prescribed me some antibiotic and steroid eye drops which I have been using as prescribed since last night and my left eye is now doing much better. However my right eye is now bothering me. I put in a eye drop (refresh tears) this morning in my right eye as again I thought the mild discomfort was again due to dryness, but it is now bothering me much more than the left eye. I have not used any of the refresh tear drops in my left eye since Thursday night. 
I am now starting to wonder if all of this discomfort is possibly related to these refresh tears eye drops which I started using on Tuesday after my visit to the optometrist, and I don’t plan to use these ever again.  Should I continue using the antibiotic/steroid drops in my left eye ? Should I start using them in my right eye as well? Are there any other eye drops for dry eyes I can try instead ? Of note my right eye is not red and I have not experienced any discharge from either of the eyes. 
I would love to explain all of this to my optometrist but unfortunately they are closed for the weekend.  
Thank you for taking the time to read this I greatly appreciate it.</t>
        </is>
      </c>
      <c r="D1925" t="n">
        <v>1</v>
      </c>
      <c r="E1925" t="n">
        <v>0</v>
      </c>
      <c r="F1925">
        <f>HYPERLINK("https://www.reddit.com/r/eyetriage/comments/hxu4y0/eye_infection_vs_bad_reaction_to_otc_eye_drops/")</f>
        <v/>
      </c>
      <c r="G1925" t="inlineStr">
        <is>
          <t>2020-07-25 13:59:31</t>
        </is>
      </c>
      <c r="H1925" t="inlineStr"/>
    </row>
    <row r="1926">
      <c r="A1926" t="inlineStr">
        <is>
          <t>hxyrey</t>
        </is>
      </c>
      <c r="B1926" t="inlineStr">
        <is>
          <t>Scleral Buckle Sutures</t>
        </is>
      </c>
      <c r="C1926" t="inlineStr">
        <is>
          <t>I had a segment scleral buckle almost three weeks ago for a peripheral retina detachment. I noticed that the eye is becoming irritated and feels uncomfortable when I blink. I looked closely in the mirror and saw that two sutures in the bottom right part of my eye are now standing straight up with the ends of the knots pointed up. Is this normal or should I see the opthalmologist soon? I'm afraid it might mean that something is wrong with the buckle.</t>
        </is>
      </c>
      <c r="D1926" t="n">
        <v>1</v>
      </c>
      <c r="E1926" t="n">
        <v>1</v>
      </c>
      <c r="F1926">
        <f>HYPERLINK("https://www.reddit.com/r/eyetriage/comments/hxyrey/scleral_buckle_sutures/")</f>
        <v/>
      </c>
      <c r="G1926" t="inlineStr">
        <is>
          <t>2020-07-25 19:07:57</t>
        </is>
      </c>
      <c r="H1926" t="inlineStr"/>
    </row>
    <row r="1927">
      <c r="A1927" t="inlineStr">
        <is>
          <t>hxzu20</t>
        </is>
      </c>
      <c r="B1927" t="inlineStr">
        <is>
          <t>Eye exam, L eye is “off” but everything looked good. Next steps needed or no?</t>
        </is>
      </c>
      <c r="C1927" t="inlineStr">
        <is>
          <t>Will try to be brief. Had an eye exam for the first time in my adult life because my left eye has been bothering me. It hurts at times and I feel like a strain to see, yet I see clearly out of it. My night vision in my left eye doesn’t exist at all. I see colors the same in both eyes if that matters. 
Eye exam came back good, she said maybe the rods (I think) in my L eye are just slower to adjusting to darkness than the right? She recommended part time glasses to help with the strain, basically saying my L eye is being a little “lazy”. The only eye trauma I ever had was hitting my L eye with a plastic fork as a kid but she said there wasn’t even a scar, so that’s good. 
So, where do I go from here? It’s just normal to be blind in one eye in darkness? I’m glad there’s no tumor or cataract or anything but disappointed a little too because it’s hard to navigate in dim and darkness with one eye basically blacked out.</t>
        </is>
      </c>
      <c r="D1927" t="n">
        <v>1</v>
      </c>
      <c r="E1927" t="n">
        <v>5</v>
      </c>
      <c r="F1927">
        <f>HYPERLINK("https://www.reddit.com/r/eyetriage/comments/hxzu20/eye_exam_l_eye_is_off_but_everything_looked_good/")</f>
        <v/>
      </c>
      <c r="G1927" t="inlineStr">
        <is>
          <t>2020-07-25 20:28:36</t>
        </is>
      </c>
      <c r="H1927" t="inlineStr"/>
    </row>
    <row r="1928">
      <c r="A1928" t="inlineStr">
        <is>
          <t>hy0klk</t>
        </is>
      </c>
      <c r="B1928" t="inlineStr">
        <is>
          <t>Starbursts, Glare and Halos. Astigmatism?</t>
        </is>
      </c>
      <c r="C1928" t="inlineStr">
        <is>
          <t>Sorry, this is a random post. When I look at light sources at night I see quite significant starbursts around them along with minor glare and minor halos. I looked it up online and it said it wasn't normal and might be astigmatism. I went to the optometrist recently though and they found nothing wrong, 20/20 vision.
P.S. If it helps, i have Visual Snow</t>
        </is>
      </c>
      <c r="D1928" t="n">
        <v>1</v>
      </c>
      <c r="E1928" t="n">
        <v>2</v>
      </c>
      <c r="F1928">
        <f>HYPERLINK("https://www.reddit.com/r/eyetriage/comments/hy0klk/starbursts_glare_and_halos_astigmatism/")</f>
        <v/>
      </c>
      <c r="G1928" t="inlineStr">
        <is>
          <t>2020-07-25 21:23:39</t>
        </is>
      </c>
      <c r="H1928" t="inlineStr"/>
    </row>
    <row r="1929">
      <c r="A1929" t="inlineStr">
        <is>
          <t>hy8gqv</t>
        </is>
      </c>
      <c r="B1929" t="inlineStr">
        <is>
          <t>Is there anything else I can do about scratchy bloodshot eyes in the morning?</t>
        </is>
      </c>
      <c r="C1929" t="inlineStr">
        <is>
          <t>Saw my optometrist who can't really figure out why I'm experiencing this, but he suggested Refresh PM gel. Even tried taping my eyelids shut incase I'm opening them when I sleep, but nothing. Doesn't feel any different with the gel, if anything it is worse. No allergies that I am aware of.</t>
        </is>
      </c>
      <c r="D1929" t="n">
        <v>1</v>
      </c>
      <c r="E1929" t="n">
        <v>5</v>
      </c>
      <c r="F1929">
        <f>HYPERLINK("https://www.reddit.com/r/eyetriage/comments/hy8gqv/is_there_anything_else_i_can_do_about_scratchy/")</f>
        <v/>
      </c>
      <c r="G1929" t="inlineStr">
        <is>
          <t>2020-07-26 08:07:01</t>
        </is>
      </c>
      <c r="H1929" t="inlineStr"/>
    </row>
    <row r="1930">
      <c r="A1930" t="inlineStr">
        <is>
          <t>hy9k8y</t>
        </is>
      </c>
      <c r="B1930" t="inlineStr">
        <is>
          <t>Could punctal plugs have made my dry eye worse?</t>
        </is>
      </c>
      <c r="C1930" t="inlineStr">
        <is>
          <t>I had contact lens induced dry eye issues for probably 6 months, mainly in my LEFT eye. My contacts would burn and It hurt after I took my contacts out for like a week but once I would stop wearing them the dryness seemed to subside. I would go back to contacts and bam, same story. Rinse and repeat. I got the plugs in early June and haven’t worn my lenses since then. I’m just trying to give my eyes a break. Ever since I got the plugs my eyes just feel worse...and my right eye has been red in the corner ever since I got them. I thought they were getting better for a time but for the past 3 weeks my RIGHT eye which really never gave me problems before the plugs is extremely itchy (they both are but the right one is unbearable), blurry, and burn. For the past month when I wake up in the morning I’ve had the inner corner of that eye crusted closed. I use preservative free tears many, many times a day to no avail. The inner corner of the right only is blood shot, but the plugs  look the same to me when I pull down my eyelids (as in it doesnt look like it’s half out). Warm compresses don’t really help much to reduce any of this and only work to get the goo and crust out of my eyes. 
I have been able to feel the plugs  when I look inward ever since I got them and the first few days were painful and my inner eyes were red but this feels different. 
Again, my right eye was really a nonissue until the plugs and honestly both eyes never felt this crappy and dependant on drops. What could be the issue? The eye doctor seemed kind of dismissive of me.</t>
        </is>
      </c>
      <c r="D1930" t="n">
        <v>1</v>
      </c>
      <c r="E1930" t="n">
        <v>1</v>
      </c>
      <c r="F1930">
        <f>HYPERLINK("https://www.reddit.com/r/eyetriage/comments/hy9k8y/could_punctal_plugs_have_made_my_dry_eye_worse/")</f>
        <v/>
      </c>
      <c r="G1930" t="inlineStr">
        <is>
          <t>2020-07-26 09:12:59</t>
        </is>
      </c>
      <c r="H1930" t="inlineStr"/>
    </row>
    <row r="1931">
      <c r="A1931" t="inlineStr">
        <is>
          <t>hykm25</t>
        </is>
      </c>
      <c r="B1931" t="inlineStr">
        <is>
          <t>Double vision acute in 5 year old</t>
        </is>
      </c>
      <c r="C1931" t="inlineStr">
        <is>
          <t>Hey,
I posted before about my 5 year olds double vision and crossed eye. We’ve had a great sedated MRI, looks normal, we’ve had many eye exams. He has movement issues in both eyes, that are really isolated to one muscle group. When his eye is fatigued, his eye crosses and he sees double. It’s worse when he focuses on things far away. 
I’m looking for any ideas on what it could be that I could look up. It’s likely not nerve related. MRI looked great. He presents well much of the time.  His eye sight is good. He’s not overcompensating for one eye. He tends to favor his right eye. 
Anyway, we basically were told it’s not neurological. He was tested for covid, which was negotiate. So we are back to the pediatric eye specialist. 
Any things I can google from here?</t>
        </is>
      </c>
      <c r="D1931" t="n">
        <v>1</v>
      </c>
      <c r="E1931" t="n">
        <v>6</v>
      </c>
      <c r="F1931">
        <f>HYPERLINK("https://www.reddit.com/r/eyetriage/comments/hykm25/double_vision_acute_in_5_year_old/")</f>
        <v/>
      </c>
      <c r="G1931" t="inlineStr">
        <is>
          <t>2020-07-26 20:19:12</t>
        </is>
      </c>
      <c r="H1931" t="inlineStr"/>
    </row>
    <row r="1932">
      <c r="A1932" t="inlineStr">
        <is>
          <t>hykrom</t>
        </is>
      </c>
      <c r="B1932" t="inlineStr">
        <is>
          <t>Lagophthalmos evaporative dryness ideas?</t>
        </is>
      </c>
      <c r="C1932" t="inlineStr">
        <is>
          <t>About 20 months ago, I woke up with Bell’s Palsy affecting the left side of my face.  I’m one of the unlucky that never recovered.  I had temporary sutures closing my left eyelids, after 6 months they stretched themselves undone.  
I then got a 1.8gm gold weight implanted.  Aesthetically, it causes severe left eyelid droop, and I still cannot completely close that eye.  
I’ve seen 3 ophthalmologists, all within the same small-town hospital system.  Their only suggestions to deal with the severe evaporative dry eye are artificial tears and ointment at night.  The artificial tears (and I’ve tried many kinds) do nothing, they are gone in minutes.  
The ointment (Lacrilube seems the best), I’m applying 3-4 times a day, so of course I have extremely blurred vision in that eye.  The ointment does help some, it’s the only way I’m making it through.  But I cannot use that eye for vision, I constantly have oil running down my face, and if I’m anywhere near a vent or fan (in Texas summer), I suffer for a few days after with painful irritation.
Is there anything else for my situation?  I’m willing to see more specialists, I just don’t want to keep being told there’s nothing else.  There are some days I want to get the eye removed when I imagine the rest of my life like this.  I’m in my 30s, completely healthy aside from this.  If anyone has an idea, I’d be extremely grateful.</t>
        </is>
      </c>
      <c r="D1932" t="n">
        <v>1</v>
      </c>
      <c r="E1932" t="n">
        <v>3</v>
      </c>
      <c r="F1932">
        <f>HYPERLINK("https://www.reddit.com/r/eyetriage/comments/hykrom/lagophthalmos_evaporative_dryness_ideas/")</f>
        <v/>
      </c>
      <c r="G1932" t="inlineStr">
        <is>
          <t>2020-07-26 20:30:20</t>
        </is>
      </c>
      <c r="H1932" t="inlineStr"/>
    </row>
    <row r="1933">
      <c r="A1933" t="inlineStr">
        <is>
          <t>hyls22</t>
        </is>
      </c>
      <c r="B1933" t="inlineStr">
        <is>
          <t>Am I getting flashes?</t>
        </is>
      </c>
      <c r="C1933" t="inlineStr">
        <is>
          <t>Hey! This past week I've been getting what I think are flashes. What I mean to say is that I've searched for what I'm experiencing but I haven't seen an exact match.
When it first started, around Monday, very rarely, after blinking, I'd see a thing that looked like a white stain dissipating from what it looked like to be the left side of my right eye's vision(Just a gauging, it seems to be close to the middle of my area of vision, but leaning to the right.
As the days went by, it's Sunday night, and I'm still getting them every now and then. Except that now it looks like a thing white line that, once again, quickly dissipates.
What makes it weird is that it happens AFTER I blink and relatively infrequently, but it happened all throughout the entire week. It's rare enough that every time I experience it it catches me off guard, and every attempt at experiencing again fails, for it doesn't matter how much I blink afterwards... I won't see it again until much later when I'm not expecting it.
So are this flashes or is it something else? Should I be worried? I'm 30 years old, if that matters.</t>
        </is>
      </c>
      <c r="D1933" t="n">
        <v>1</v>
      </c>
      <c r="E1933" t="n">
        <v>1</v>
      </c>
      <c r="F1933">
        <f>HYPERLINK("https://www.reddit.com/r/eyetriage/comments/hyls22/am_i_getting_flashes/")</f>
        <v/>
      </c>
      <c r="G1933" t="inlineStr">
        <is>
          <t>2020-07-26 21:46:34</t>
        </is>
      </c>
      <c r="H1933" t="inlineStr"/>
    </row>
    <row r="1934">
      <c r="A1934" t="inlineStr">
        <is>
          <t>hytuwy</t>
        </is>
      </c>
      <c r="B1934" t="inlineStr">
        <is>
          <t>Eye floaters and glare</t>
        </is>
      </c>
      <c r="C1934" t="inlineStr">
        <is>
          <t xml:space="preserve">
Hey! So one day a month ago I started seeing eye floaters after I was rubbing both my eyes really hard cause i was just annoyed of it being so itchy at the time (both eyes) and I started to see floaters a lot of them actually and now I regret that day so bad I wish I could turn back time. I am now experiencing glare when I’m not looking at lights but when I do at night I see halos and the glare I see from lights last longer and I still see glare 24/7 along with the same amount of floaters. Idk if anyone had the same issue but I’m just really scared and have bad anxiety. I was hoping if anyone could relate or let me know if they had the same problems. Both eyes have the same issue but my field of vision isn’t blurry or disoriented I’m sure I would be able see clearly if the floaters or glare wasn’t a problem.</t>
        </is>
      </c>
      <c r="D1934" t="n">
        <v>1</v>
      </c>
      <c r="E1934" t="n">
        <v>1</v>
      </c>
      <c r="F1934">
        <f>HYPERLINK("https://www.reddit.com/r/eyetriage/comments/hytuwy/eye_floaters_and_glare/")</f>
        <v/>
      </c>
      <c r="G1934" t="inlineStr">
        <is>
          <t>2020-07-27 08:01:14</t>
        </is>
      </c>
      <c r="H1934" t="inlineStr"/>
    </row>
    <row r="1935">
      <c r="A1935" t="inlineStr">
        <is>
          <t>hz2zxn</t>
        </is>
      </c>
      <c r="B1935" t="inlineStr">
        <is>
          <t>Can he be wrong</t>
        </is>
      </c>
      <c r="C1935" t="inlineStr">
        <is>
          <t>I was recently to a optician. Who was confident enough on the phone. He could improve my eyesight. But when he read my medical history. He said it’s to late he could maybe improve my eyesight a little bit. But he said It would be wast of money. Although I’m grateful that he was honest can he be wrong. Also I have strabismus. Few other things I’m not sure how to write.</t>
        </is>
      </c>
      <c r="D1935" t="n">
        <v>1</v>
      </c>
      <c r="E1935" t="n">
        <v>3</v>
      </c>
      <c r="F1935">
        <f>HYPERLINK("https://www.reddit.com/r/eyetriage/comments/hz2zxn/can_he_be_wrong/")</f>
        <v/>
      </c>
      <c r="G1935" t="inlineStr">
        <is>
          <t>2020-07-27 16:02:40</t>
        </is>
      </c>
      <c r="H1935" t="inlineStr"/>
    </row>
    <row r="1936">
      <c r="A1936" t="inlineStr">
        <is>
          <t>hzcgl7</t>
        </is>
      </c>
      <c r="B1936" t="inlineStr">
        <is>
          <t>How bad is my myopia?</t>
        </is>
      </c>
      <c r="C1936" t="inlineStr">
        <is>
          <t>Hello, it's my first time posting here. Either way, I have high myopia(7,75rx with 16 years old) and became really anxious reading associated risks with high myopia. Now, my question is: How bad is it? And can I be at ease with my eyes?</t>
        </is>
      </c>
      <c r="D1936" t="n">
        <v>1</v>
      </c>
      <c r="E1936" t="n">
        <v>3</v>
      </c>
      <c r="F1936">
        <f>HYPERLINK("https://www.reddit.com/r/eyetriage/comments/hzcgl7/how_bad_is_my_myopia/")</f>
        <v/>
      </c>
      <c r="G1936" t="inlineStr">
        <is>
          <t>2020-07-28 03:44:08</t>
        </is>
      </c>
      <c r="H1936" t="inlineStr"/>
    </row>
    <row r="1937">
      <c r="A1937" t="inlineStr">
        <is>
          <t>hzmhaz</t>
        </is>
      </c>
      <c r="B1937" t="inlineStr">
        <is>
          <t>Near Sight Double Vision.</t>
        </is>
      </c>
      <c r="C1937" t="inlineStr">
        <is>
          <t>English is not my first language.
Is it normal to have double vision when looking at close objects?
It doesn't happen when looking to things far away.
If im looking at my phone I have to conciously focus to not have a double image, and if I stop I get blurry and double vision.
I wear glasses and have diagnosed astigmatism.
Thanks for any advice you can give me.</t>
        </is>
      </c>
      <c r="D1937" t="n">
        <v>1</v>
      </c>
      <c r="E1937" t="n">
        <v>2</v>
      </c>
      <c r="F1937">
        <f>HYPERLINK("https://www.reddit.com/r/eyetriage/comments/hzmhaz/near_sight_double_vision/")</f>
        <v/>
      </c>
      <c r="G1937" t="inlineStr">
        <is>
          <t>2020-07-28 13:35:38</t>
        </is>
      </c>
      <c r="H1937" t="inlineStr"/>
    </row>
    <row r="1938">
      <c r="A1938" t="inlineStr">
        <is>
          <t>hzqsot</t>
        </is>
      </c>
      <c r="B1938" t="inlineStr">
        <is>
          <t>Blepharitis or something else?</t>
        </is>
      </c>
      <c r="C1938" t="inlineStr">
        <is>
          <t>Hi, earlier last week Friday, I posted a question about wearing contact lens after a chalazion and stye. The chalazion naturally went away and I was wondering if I could wear my contacts. I was told that I could but I still have some symptoms that I'm not sure about and am unsure if it's my chronic blepharitis (i also have bad dustmite allergies) or if it's some sort of bacterial infection like pink eye? 
I don't really have any symptoms except for dry eyes, and waking up with some yellow-green crust (mostly in the inner corners)... Though iirc, this is a normal thing for me? I'm still a little apprehensive about wearing contacts and just wondering if anyone could tell me if it's something else and if I could still wear my contacts. Besides those symptoms, throughout the day my eyes are mostly fine/normal... 
Sorry for all of the questions!</t>
        </is>
      </c>
      <c r="D1938" t="n">
        <v>1</v>
      </c>
      <c r="E1938" t="n">
        <v>0</v>
      </c>
      <c r="F1938">
        <f>HYPERLINK("https://www.reddit.com/r/eyetriage/comments/hzqsot/blepharitis_or_something_else/")</f>
        <v/>
      </c>
      <c r="G1938" t="inlineStr">
        <is>
          <t>2020-07-28 17:44:47</t>
        </is>
      </c>
      <c r="H1938" t="inlineStr"/>
    </row>
    <row r="1939">
      <c r="A1939" t="inlineStr">
        <is>
          <t>hzrx5z</t>
        </is>
      </c>
      <c r="B1939" t="inlineStr">
        <is>
          <t>Dying for answers... Please help.</t>
        </is>
      </c>
      <c r="C1939" t="inlineStr">
        <is>
          <t>20 year old male for context. Brain and neck MRI showed mega cisterna magna with no other findings. Severe neck stiffness, double vision, cognitive decline and sudden onset of eye floaters are my symptoms. Also crackling noise when I turn my head.
Suspecting intracranial hypertension. Would a standard eye exam be able to detect papilledema? Do they have to dilate the eyes for them to see it
Thanks in advance having a bit of a nervous breakdown so could use some feedback.</t>
        </is>
      </c>
      <c r="D1939" t="n">
        <v>1</v>
      </c>
      <c r="E1939" t="n">
        <v>6</v>
      </c>
      <c r="F1939">
        <f>HYPERLINK("https://www.reddit.com/r/eyetriage/comments/hzrx5z/dying_for_answers_please_help/")</f>
        <v/>
      </c>
      <c r="G1939" t="inlineStr">
        <is>
          <t>2020-07-28 18:57:40</t>
        </is>
      </c>
      <c r="H1939" t="inlineStr"/>
    </row>
    <row r="1940">
      <c r="A1940" t="inlineStr">
        <is>
          <t>i0176n</t>
        </is>
      </c>
      <c r="B1940" t="inlineStr">
        <is>
          <t>Post laser retinopexy</t>
        </is>
      </c>
      <c r="C1940" t="inlineStr">
        <is>
          <t>Hi, I'm 16 and recently had laser retinopexy on my left eye as a result of some retinal holes, I've had the procedure done on my right eye a few months ago. I just have two questions:
-How long after should I refrain from going climbing which is a hobby of mine.
-Ive always noticed transparent shapes floating in my vision when I look at something bright from a young age but they are mostly unnoticeable unless looking at my bright computer monitor, considering I've had an ophthalmologist look at my eye multiple times I would assume these are nothing to worry about but after the procedure I've become a bit concious of every little thing in my vision especially when looking at bright things. I know you are meant to look out for signs of retinal detachment, how obvious are these signs/floaters that are symptomatic of retinal detachment.
Thanks</t>
        </is>
      </c>
      <c r="D1940" t="n">
        <v>1</v>
      </c>
      <c r="E1940" t="n">
        <v>5</v>
      </c>
      <c r="F1940">
        <f>HYPERLINK("https://www.reddit.com/r/eyetriage/comments/i0176n/post_laser_retinopexy/")</f>
        <v/>
      </c>
      <c r="G1940" t="inlineStr">
        <is>
          <t>2020-07-29 07:01:18</t>
        </is>
      </c>
      <c r="H1940" t="inlineStr"/>
    </row>
    <row r="1941">
      <c r="A1941" t="inlineStr">
        <is>
          <t>i03c6k</t>
        </is>
      </c>
      <c r="B1941" t="inlineStr">
        <is>
          <t>Lasik/PRK</t>
        </is>
      </c>
      <c r="C1941" t="inlineStr">
        <is>
          <t>I've always been told I'm not eligible for lasik because my eyes are too bad. I called an eye surgery provider and they said I'm not eligible for lasik, but I am for PRK. They said this after looking at my latest eye exam and file, but they haven't actually seen me in person. How do they make this assessment without seeing me in person, and if they are similar surgeries, how can I be eligible for one and not the other? I called a different place and they said they would need to give me their own exam, and sending my file isn't enough. I just don't want the first place to be pushing me through if the procedure is a bad idea for me</t>
        </is>
      </c>
      <c r="D1941" t="n">
        <v>1</v>
      </c>
      <c r="E1941" t="n">
        <v>6</v>
      </c>
      <c r="F1941">
        <f>HYPERLINK("https://www.reddit.com/r/eyetriage/comments/i03c6k/lasikprk/")</f>
        <v/>
      </c>
      <c r="G1941" t="inlineStr">
        <is>
          <t>2020-07-29 09:11:23</t>
        </is>
      </c>
      <c r="H1941" t="inlineStr"/>
    </row>
    <row r="1942">
      <c r="A1942" t="inlineStr">
        <is>
          <t>i06g26</t>
        </is>
      </c>
      <c r="B1942" t="inlineStr">
        <is>
          <t>20% Success Rate for Retinal Detachment Surgery</t>
        </is>
      </c>
      <c r="C1942" t="inlineStr">
        <is>
          <t>I've had an incredibly dense cataract since January of 2020 and due to a really bad optomertrist and another bad referral to a cataract surgeon, it delayed treating my cataract for months. Alongside this, COVID shut down happened which delayed it another 2-3 months. During this time, I believe my retina may have detached around April/May and I had worries about going blind in that eye. No one believed me and said I had nothing to worry about, even when I visited the ER with my concerns the doctors were like nah you're cool, just wait for cataract surgery.
I was extremely stressed at the time because my vision had gone from sight &amp;gt; floaters &amp;amp; blur &amp;gt; light and shadow &amp;gt; gray cast no light or shadow in a a matter of 3 months. Hospital said it was fine, just wait till July to receive surgery as this was back in April. 
I had cataract surgery on July 23 on my right eye and after I no vision as I thought to be honest. I had my retina specialist appointment today and he said I had a retina detachment on my right eye that has intense scarring. He stated that there is a 20-30% chance of fixing it with surgery and rushed me to book the appointment a month from now. I am lucky in a way to receive the surgery (covered by OHIP) and at a quick pace due to the fact it takes half a year to a year for surgery for some patients.
I'm pretty at peace right now because I've gone without my right eye for half a year and my left eye is perfect vision and has no damage after cataract surgery. My doctor said there is hope but it's a small chance and to be honest, I am remaining neutral. I guess it's because I know what it's like to go blind in both eyes for a period of time and really makes you humble about life and sight. 
However, if anyone has any insight on my particular situation, been in something similar or knows of someone experiencing this please let me know your thoughts!</t>
        </is>
      </c>
      <c r="D1942" t="n">
        <v>1</v>
      </c>
      <c r="E1942" t="n">
        <v>7</v>
      </c>
      <c r="F1942">
        <f>HYPERLINK("https://www.reddit.com/r/eyetriage/comments/i06g26/20_success_rate_for_retinal_detachment_surgery/")</f>
        <v/>
      </c>
      <c r="G1942" t="inlineStr">
        <is>
          <t>2020-07-29 12:02:42</t>
        </is>
      </c>
      <c r="H1942" t="inlineStr"/>
    </row>
    <row r="1943">
      <c r="A1943" t="inlineStr">
        <is>
          <t>i08rwq</t>
        </is>
      </c>
      <c r="B1943" t="inlineStr">
        <is>
          <t>Will taking oral steroids increase risk for post floaterectomy cataracts?</t>
        </is>
      </c>
      <c r="C1943" t="inlineStr">
        <is>
          <t>I was prescribed a 13 day prednisone taper today for a sudden hearing loss in my right ear. It wants me to take 60mg for three days, then taper down by 10mg each day until 0. I’m considering future treatment for eye floaters, and I’m worried by taking this medication I’ll increase my chances for a cataract post floaterectomy. Please don’t lecture me about the guarantee of a cataract, I’m deep into research - which by the way, is scant for measuring a correlation between a simple floaterectomy and cataracts - and actually talking to human surgeons who say the risk for floaterectomy cataract is low at 10-20%. Assuming that’s true, would taking these steroids increase that percentage if I had the surgery in three months or so?  My ear has improved greatly since onset two systems ago so I could conceivably not take the meds. 
Thanks.</t>
        </is>
      </c>
      <c r="D1943" t="n">
        <v>1</v>
      </c>
      <c r="E1943" t="n">
        <v>65</v>
      </c>
      <c r="F1943">
        <f>HYPERLINK("https://www.reddit.com/r/eyetriage/comments/i08rwq/will_taking_oral_steroids_increase_risk_for_post/")</f>
        <v/>
      </c>
      <c r="G1943" t="inlineStr">
        <is>
          <t>2020-07-29 14:07:27</t>
        </is>
      </c>
      <c r="H1943" t="inlineStr"/>
    </row>
    <row r="1944">
      <c r="A1944" t="inlineStr">
        <is>
          <t>i08y5x</t>
        </is>
      </c>
      <c r="B1944" t="inlineStr">
        <is>
          <t>Lasik vs PRK</t>
        </is>
      </c>
      <c r="C1944" t="inlineStr">
        <is>
          <t>Just to say, I'm going to an eye doctor on Monday, just wanted to know a little what to expect. 
I don't qualify for lasik because my eyes are too bad (what I've been told) what are the odds I qualify for PRK? I know they're in the same family of surgeries, but just curious as to what my chances are. Are most people who are disqualified from lasik also disqualified from PRK? Or is almost everyone eligible for PRK unless you have other serious eye issues?</t>
        </is>
      </c>
      <c r="D1944" t="n">
        <v>1</v>
      </c>
      <c r="E1944" t="n">
        <v>6</v>
      </c>
      <c r="F1944">
        <f>HYPERLINK("https://www.reddit.com/r/eyetriage/comments/i08y5x/lasik_vs_prk/")</f>
        <v/>
      </c>
      <c r="G1944" t="inlineStr">
        <is>
          <t>2020-07-29 14:17:10</t>
        </is>
      </c>
      <c r="H1944" t="inlineStr"/>
    </row>
    <row r="1945">
      <c r="A1945" t="inlineStr">
        <is>
          <t>i0kmxr</t>
        </is>
      </c>
      <c r="B1945" t="inlineStr">
        <is>
          <t>what is this called?</t>
        </is>
      </c>
      <c r="C1945" t="inlineStr">
        <is>
          <t xml:space="preserve"> 
Saw my ophthalmologist  recently for eye strain i have been having ,
and  he explained it to me like this ( he tried to explain it to me (someone  who has no knowledge about eyes so it may sound a little weird) like  this)
''
muscles are going into spasm to relax you need to eat [this](https://www.spacelifescience.com/multivitamin-multimineral-methylcobalamin-natural-extract-4585992.html) tablet daily for one month and come again
this will stop the neurological pain you are having due to nerve spasm
''
i want to read my more about my condition on google but cant figure out what to search , can someone elaborate more on this</t>
        </is>
      </c>
      <c r="D1945" t="n">
        <v>1</v>
      </c>
      <c r="E1945" t="n">
        <v>3</v>
      </c>
      <c r="F1945">
        <f>HYPERLINK("https://www.reddit.com/r/eyetriage/comments/i0kmxr/what_is_this_called/")</f>
        <v/>
      </c>
      <c r="G1945" t="inlineStr">
        <is>
          <t>2020-07-30 04:47:15</t>
        </is>
      </c>
      <c r="H1945" t="inlineStr"/>
    </row>
    <row r="1946">
      <c r="A1946" t="inlineStr">
        <is>
          <t>i0nm57</t>
        </is>
      </c>
      <c r="B1946" t="inlineStr">
        <is>
          <t>New photopsia – should I be worried?</t>
        </is>
      </c>
      <c r="C1946" t="inlineStr">
        <is>
          <t>A few hours ago I started noticing flashes of light in my peripheral vision in my left eye. I’m a little worried because I am coming off phenelzine (a MAOI) and I have had rebound hypertension for the past week. My most recent BP was 138/100 (but over the past week my systolic has reached 160). Prior to this week my BP was never above 120/80. I’ve got no other symptoms, no floaters, no headache, etc. 
I’m a 30YOF, generally healthy (other than controlled hypothyroidism). 
I‘m currently in (psych) hospital for the medication change and when I approached the nurse about it she said she’s not worried and she’d put me on the list for the GP tomorrow (1am here). But, this hospital is shit and is all about the $ and honestly, I don’t really trust them. 
Should I be concerned and be pushing for something more than seeing the doctor tomorrow at what-ever-the-hell-they-feel-like-o’clock or is it likely nothing urgent given my age and general health?
Thanks</t>
        </is>
      </c>
      <c r="D1946" t="n">
        <v>1</v>
      </c>
      <c r="E1946" t="n">
        <v>0</v>
      </c>
      <c r="F1946">
        <f>HYPERLINK("https://www.reddit.com/r/eyetriage/comments/i0nm57/new_photopsia_should_i_be_worried/")</f>
        <v/>
      </c>
      <c r="G1946" t="inlineStr">
        <is>
          <t>2020-07-30 08:04:59</t>
        </is>
      </c>
      <c r="H1946" t="inlineStr"/>
    </row>
    <row r="1947">
      <c r="A1947" t="inlineStr">
        <is>
          <t>i0rajl</t>
        </is>
      </c>
      <c r="B1947" t="inlineStr">
        <is>
          <t>Looking for help. (Central Serous Retinopathy?)</t>
        </is>
      </c>
      <c r="C1947" t="inlineStr">
        <is>
          <t xml:space="preserve"> 
# Looking for help. (Central Serous Retinopathy?)
Hello all,
I am looking for help on behalf of my wife (29/f) who was recently diagnosed with Central Serous Retinopathy, however, the diagnosis was not very clear. I apologize in advance for the long read and will provide cliff notes at the bottom. All help will be appreciated.
**Background:**
First week in July my wife experienced a loss of vision to what she describes as roughly 15%-20% of her left eye in a circular shape on the left hand side. She describes it as blurriness, to a darker gray early in the mornings. Essentially a blind spot.
She went to a walk in, who referred her to emergency to check for any detachment etc (typical I think?) We went to emergency, who essentially said they are not able to find anything too alarming and referred her to an Opthamologist.
The Opthamologist reviewed her eye and gave a 'rough diagnosis' of Macular Telangiectasia due to what appeared to be scar tissue, and then referred her to a Retina Specialist for further assessment.
The Retina Specialist looked at her eyes briefly, dismissed the Macular Telangiectasia diagnosis due to the scarring not being where you would usually see it if it was MacTel. The Doctor said he believes it more likely to be Central Serous Retinopathy.
This is where the main confusion began. In the same meeting, the Doctor said with CSR patients will usually see a full recovery in 4-6 months, however, said her vision loss would be permanent as there is no current CSR activity, which means the vision loss is likely due to scarring.
He then referred us to a follow up appointment to have an ink scan (Fluorescein Angiography I think.) We had this completed and returned for a follow up appointment today to discuss the results.
The Doctor entered, quickly scanned through the results on the computer, said again there seems to be no CSR activity, however, there is a very slight discoloration which is a sign of scarring and that her vision loss would be permanent. At this point I was confused, so I asked him if this was CSR and the average vision loss is 4-6 months and usually occurs while it is active, why did she not experience any symptoms until under a month ago. He said this is normal and while it is active it is common to not notice any symptoms, but once it concluded, the scarring is what caused the vision loss, and this may re-occur or may not ever (?) My wife then mentioned again it is nearly 20% of her vision. He said it is not 20% of her vision but also seemed taken aback at the same time and booked her in for another follow up Field of Vision test...
The Doctor, while I'm sure is very busy just seemed in a rush to get us out and conclude that the loss would be permanent, but we are both left very confused and unable to make sense of this. Especially considering it seems to contradict everything about CSR I am able to find. We feel more confused after seeing multiple specialists than we were when she woke up with the vision loss which is also likely disheartening for my wife. And at this point, taking days off work driving around from city to city for these 'tests' where nobody seems to be able to give a clear answer is sort of draining on us.
Thank you again for reading through, any clarity that can be provided would be extremely helpful.
Cliffs:
\-Wife has vision loss 20% vision circular blur, left eye
\-Macular Telangiectasia misdiagnosis
\-Multiple specialist appointments
\-Diagnosed Central Serous Retinopathy
\-Diagnosis of CSR and permanent loss of vision does not make sense with lack of CSR activity in eye and timeline of events
\-Thank you</t>
        </is>
      </c>
      <c r="D1947" t="n">
        <v>1</v>
      </c>
      <c r="E1947" t="n">
        <v>2</v>
      </c>
      <c r="F1947">
        <f>HYPERLINK("https://www.reddit.com/r/eyetriage/comments/i0rajl/looking_for_help_central_serous_retinopathy/")</f>
        <v/>
      </c>
      <c r="G1947" t="inlineStr">
        <is>
          <t>2020-07-30 11:26:36</t>
        </is>
      </c>
      <c r="H1947" t="inlineStr"/>
    </row>
    <row r="1948">
      <c r="A1948" t="inlineStr">
        <is>
          <t>i0tfnq</t>
        </is>
      </c>
      <c r="B1948" t="inlineStr">
        <is>
          <t>Altitude change with a chalazion?</t>
        </is>
      </c>
      <c r="C1948" t="inlineStr">
        <is>
          <t>I have a chalazion inside my eyelid, but I want to go for a skydive tomorrow. Could the pressure changes make the chalazion worse, cause damage, or be painful?  
Thanks.</t>
        </is>
      </c>
      <c r="D1948" t="n">
        <v>1</v>
      </c>
      <c r="E1948" t="n">
        <v>2</v>
      </c>
      <c r="F1948">
        <f>HYPERLINK("https://www.reddit.com/r/eyetriage/comments/i0tfnq/altitude_change_with_a_chalazion/")</f>
        <v/>
      </c>
      <c r="G1948" t="inlineStr">
        <is>
          <t>2020-07-30 13:23:41</t>
        </is>
      </c>
      <c r="H1948" t="inlineStr"/>
    </row>
    <row r="1949">
      <c r="A1949" t="inlineStr">
        <is>
          <t>i0yudi</t>
        </is>
      </c>
      <c r="B1949" t="inlineStr">
        <is>
          <t>Too many chefs in the kitchen...how to decide between tattoo or pupilloplasty.</t>
        </is>
      </c>
      <c r="C1949" t="inlineStr">
        <is>
          <t>In two weeks I have an appointment for a corneal tattoo to solve some glare I’ve experienced from an iridectomy, post-ICL. I chose this ophthalmologist off the recommendation of a friend who is a vitreoretinal surgeon and he seems very experienced (established the refractive surgery division of a publicly funded university). 
I had corneal tattooing done once but it faded quickly. The doc said it’s because of the type of ink that was used and also the ink was not dense enough and India ink will last longer. The problem is, not many people have experience with corneal tattooing and I have no data points to see if the tattoos last long enough to help solve this type of glare. 
Journals are conflicted - some say the tattoos fade. Some say that it is dependent on the technique and give advice on how to properly stain the tissue. 
Alternatively, I can have a phakic iridoplasty/pupilloplasty done. I have 1 iridectomy and it’s medium sized. It isn’t “huge” but sure isn’t small either as it was made using a surgical vacuum not a laser. It’s at 11 o clock so probably why it’s so bothersome. 
This time, I wanted to do everything in my power to make sure this goes right, so if it fails, I can say at least I tried my best.
I consulted with multiple, highly skilled ophthalmologists including some of the big names. 1 offered to stitch it and said it can be done. 1 of them seemed like I had two heads when I was asking him to stitch it, as if I didn’t understand the risk it entailed. My friend and his friend that he referred me to (the guy doing the tattoo) seemed negative when I mentioned stitching it too because they said tattooing is easier and less risky, but that was before these journals came out saying the ink fades. 
One other factor to this story is that this is my good eye. My UCVA in this eye is 20/25, BCVA is 20/15. For my other eye, it’s highly distorted due to keratoconus so I only get like a blurry ~20/50 at best. 
Just wondering how I should decide. Right now I was thinking, maybe the new corneal tattoo will last me 10 years. By then, I’ll probably need my ICL exchanged or I’ll have a cataract by then and we can do a combined lensectomy and iris repair. Or I can chance it now and just do a phakic pupilloplasty (as it’s easier to do now since a majority of the ink has depigmented) but some doctors say it’s high-risk while some say it’s been done and isn’t something to be concerned about. 
If anyone has any tips or guidance I’d appreciate it. I’m going to bring this up during my consult as well but figured it doesn’t hurt to post here.</t>
        </is>
      </c>
      <c r="D1949" t="n">
        <v>1</v>
      </c>
      <c r="E1949" t="n">
        <v>13</v>
      </c>
      <c r="F1949">
        <f>HYPERLINK("https://www.reddit.com/r/eyetriage/comments/i0yudi/too_many_chefs_in_the_kitchenhow_to_decide/")</f>
        <v/>
      </c>
      <c r="G1949" t="inlineStr">
        <is>
          <t>2020-07-30 18:46:27</t>
        </is>
      </c>
      <c r="H1949" t="inlineStr"/>
    </row>
    <row r="1950">
      <c r="A1950" t="inlineStr">
        <is>
          <t>i13qrj</t>
        </is>
      </c>
      <c r="B1950" t="inlineStr">
        <is>
          <t>Visual disturbances in peripheral vision (left eye only)</t>
        </is>
      </c>
      <c r="C1950" t="inlineStr">
        <is>
          <t>Hi!
For the last two months I've been experiencing this constant phenomena in my left eye. It takes the form of a glittering/shimmering patch during the day and graduates into a pin wheel effect when the sun goes down. It likes to hide in the extreme peripheral of my vision, however sometimes the pin wheel effect travels about halfway between my center and peripheral. Brightness of the environment seems to affect the intensity of the sensation, as well as physical exertion. I can witness it fizzle out when I close my eyes in a dark room. Also, sometimes with the flickering, a black dot about the size of my pinky nail if I were to hold my arm out, appears in the top left of my vision and it flickers rapidly. It looks the exact same as when you press on your eye ball from the outside. I work in finance so I'm on the computer around 12 hrs a day for work, and another 4 hours for play. I use lubricating eye drops and use Gunnar glasses @ work.
Other related conditions relating to the affect eye ball:
\- I have astigmatism (left only)
\- A cataract, however my focal point is not affected by it, still 20/20
\- The whites of my eyes are crusty-brownish in both eyes, despite drowning them with eye drops.
\- The last time I went to the gym I exerted myself pretty heavily, giving myself double vision. When I tested my eyes out one by one, my right eye was fine but it was my left eye that was experiencing double vision. It felt as if it was unaligned with its normal gaze. Ie, if I were to look at a item, it would move a couple inches away from where my right eye saw it. Hard to explain I know. This happened previously before I started to experience the flickering. 
\- Sometimes I have double vision when looking straight down at something at a distance, ie when I stand on my balcony and look at something on the street. Happens on occasion.
I have experienced this flickering/shimmer before, the last time was back in 2018 when I had a massive onset of floaters. I got thoroughly checked out and all was fine.
Thanks</t>
        </is>
      </c>
      <c r="D1950" t="n">
        <v>1</v>
      </c>
      <c r="E1950" t="n">
        <v>12</v>
      </c>
      <c r="F1950">
        <f>HYPERLINK("https://www.reddit.com/r/eyetriage/comments/i13qrj/visual_disturbances_in_peripheral_vision_left_eye/")</f>
        <v/>
      </c>
      <c r="G1950" t="inlineStr">
        <is>
          <t>2020-07-31 01:08:53</t>
        </is>
      </c>
      <c r="H1950" t="inlineStr"/>
    </row>
    <row r="1951">
      <c r="A1951" t="inlineStr">
        <is>
          <t>i19q6i</t>
        </is>
      </c>
      <c r="B1951" t="inlineStr">
        <is>
          <t>PRK/LASEK Corneal microns removed per diopter of astigmatism</t>
        </is>
      </c>
      <c r="C1951" t="inlineStr">
        <is>
          <t>Hi guys, what would be the estimate total corneal microns to be removed by PRK/LASEK for each diopter of astigmatism? This is important for the fact that dry eyes is highly correlated with the amount of microns being removed.</t>
        </is>
      </c>
      <c r="D1951" t="n">
        <v>1</v>
      </c>
      <c r="E1951" t="n">
        <v>0</v>
      </c>
      <c r="F1951">
        <f>HYPERLINK("https://www.reddit.com/r/eyetriage/comments/i19q6i/prklasek_corneal_microns_removed_per_diopter_of/")</f>
        <v/>
      </c>
      <c r="G1951" t="inlineStr">
        <is>
          <t>2020-07-31 08:43:21</t>
        </is>
      </c>
      <c r="H1951" t="inlineStr"/>
    </row>
    <row r="1952">
      <c r="A1952" t="inlineStr">
        <is>
          <t>i19rcs</t>
        </is>
      </c>
      <c r="B1952" t="inlineStr">
        <is>
          <t>PRK/LASEK corneal microns to be removed per diopter of astigmatism?</t>
        </is>
      </c>
      <c r="C1952" t="inlineStr">
        <is>
          <t>Hi guys, what would be the estimate total corneal microns to be removed by PRK/LASEK for each diopter of astigmatism? This is important for the fact that dry eyes is highly correlated with the amount of microns being removed.</t>
        </is>
      </c>
      <c r="D1952" t="n">
        <v>1</v>
      </c>
      <c r="E1952" t="n">
        <v>0</v>
      </c>
      <c r="F1952">
        <f>HYPERLINK("https://www.reddit.com/r/eyetriage/comments/i19rcs/prklasek_corneal_microns_to_be_removed_per/")</f>
        <v/>
      </c>
      <c r="G1952" t="inlineStr">
        <is>
          <t>2020-07-31 08:45:10</t>
        </is>
      </c>
      <c r="H1952" t="inlineStr"/>
    </row>
    <row r="1953">
      <c r="A1953" t="inlineStr">
        <is>
          <t>i1dje8</t>
        </is>
      </c>
      <c r="B1953" t="inlineStr">
        <is>
          <t>Am I out of luck if I have a possible large floater near my central vision?</t>
        </is>
      </c>
      <c r="C1953" t="inlineStr">
        <is>
          <t>Thing seriously bugs me at times. I asked my optometrist if they could see it when I had my last exam and they said no. It looks like a messy darker splotch that always settles near the middle when I flick my eyes. Do I just deal with it forever?</t>
        </is>
      </c>
      <c r="D1953" t="n">
        <v>1</v>
      </c>
      <c r="E1953" t="n">
        <v>5</v>
      </c>
      <c r="F1953">
        <f>HYPERLINK("https://www.reddit.com/r/eyetriage/comments/i1dje8/am_i_out_of_luck_if_i_have_a_possible_large/")</f>
        <v/>
      </c>
      <c r="G1953" t="inlineStr">
        <is>
          <t>2020-07-31 12:10:46</t>
        </is>
      </c>
      <c r="H1953" t="inlineStr"/>
    </row>
    <row r="1954">
      <c r="A1954" t="inlineStr">
        <is>
          <t>i1ih13</t>
        </is>
      </c>
      <c r="B1954" t="inlineStr">
        <is>
          <t>Doctors are stumped; not sure where else to turn</t>
        </is>
      </c>
      <c r="C1954" t="inlineStr">
        <is>
          <t>TL; DR: (1) What causes chronic unilateral (OD) redness, inflammation, and a "sandpaper cornea" appearance (leading to decreased visual acuity) for over a year in the absence of an autoimmune disease, diabetes, an STD, an infection (whether viral or bacterial), or trauma to the eye? and (2) what are treatment options other than artificial tears, steroid drops (FML and Lotemax), Retaine, punctal plugs, oral doxycycline, topical antibiotics, taping my eye shut at night, Prokera, and a humidifier (already tried them all)?
INTRODUCTION: Over the past year I have seen several ophthalmologists and am currently under the care of a cornea specialist, but every doctor I have seen is stumped as to the cause of the symptoms I am experiencing (described below), so as a last ditch effort I am reaching out to the Reddit community to see if there is something that may have been overlooked. Thank you in advance for reading through this lengthy post and for any insight you can provide.
RELEVANT PAST MEDICAL HISTORY:
\--36-year-old female with no diabetes, no autoimmune conditions (based on blood tests), no ocular trauma, and no history of herpes or syphilis or any other STDs
\--Nearsighted with astigmatism (both eyes)
\--long-time contact lens wearer (over 20 years)
\--no eye trauma
\--only eye surgical history is chalazion removal from my right upper eyelid
\--dry eye (OD), blepharitis (OD), and possible MGD (OD)
\--In 2017 I had a bought of severe SPK, which was successfully treated after several months by discontinuing contact lens use, low-dose oral doxycycline, aggressive use of preservative-free artificial tears, and use of Retaine.
COURSE OF CURRENT PROBLEM: In late August 2019 I awoke one morning with acute redness in my right eye, but no photophobia, no floaters, no tearing, no pain, no discharge, and no loss of visual acuity. I discontinued contact lens wear, went to Urgent Care, and was diagnosed with **conjunctivitis** and put on topical antibiotics. Fast forward a couple of weeks and when the redness did not abate I went to see an ophthalmologist and was prescribed FML steroid drops and diagnosed with **episcleritis**. The doctor hypothesized I might have an autoimmune disease but subsequent blood tests have ruled out that possibility. 
I have since seen two other ophthalmologists and I am currently under the care of a cornea specialist. At one point I was switched from FML drops to Lotemax drops, and I have been taking oral doxcycline for approximately two months. The doxycycline has done a decent job of getting rid of most of the redness, but, unfortunately, my visual acuity has nosedived in my right eye. Fluorescein staining reveals a "sandpaper-like" quality to my cornea, especially the lower half. I've tried everything from preservative-free eye drops to steroid drops to doxycycline to taping my eye shut at night to getting a humidifier, but nothing seems to help and the doctors have not yet figured out what is causing the irregularities in my cornea.
Recently, when I wake up in the morning I have about 5 minutes of nearly perfect vision in my right eye, but it quickly deteriorates. My vision also improves for about 30 seconds after I put in lubricating drops, but then goes blurry again. My vision also improves when I use "pinhole glasses."
LATEST HYPOTHESIS: At my most recent appointment, my doctor mentioned that I may have "neurotrophic cornea," but this will have to be confirmed next week. I am currently using a Prokera lens and hope that it helps.
QUESTIONS:
1. Other than SPK and/or episcleritis and/or neurotrophic cornea, are there any differential diagnoses to consider? I asked about RCE, but my doctor said the damage to my cornea doesn't fit the pattern of RCE.
2. Assuming I have neurotrophic keratitis, is there any medication other than Oxervate? I have insurance but my understanding is that I will not get coverage unless I have Stage 2 or 3 NK (which I doubt, but will be confirmed by the doctor next week). Without insurance, my understanding is my out-of-pocket costs will be over $20,000.
3. Any other treatments I should talk to my doctor about? Any surgical interventions to ask my doctor about?</t>
        </is>
      </c>
      <c r="D1954" t="n">
        <v>1</v>
      </c>
      <c r="E1954" t="n">
        <v>19</v>
      </c>
      <c r="F1954">
        <f>HYPERLINK("https://www.reddit.com/r/eyetriage/comments/i1ih13/doctors_are_stumped_not_sure_where_else_to_turn/")</f>
        <v/>
      </c>
      <c r="G1954" t="inlineStr">
        <is>
          <t>2020-07-31 16:59:51</t>
        </is>
      </c>
      <c r="H1954" t="inlineStr"/>
    </row>
    <row r="1955">
      <c r="A1955" t="inlineStr">
        <is>
          <t>i1jbi5</t>
        </is>
      </c>
      <c r="B1955" t="inlineStr">
        <is>
          <t>Scotomas</t>
        </is>
      </c>
      <c r="C1955" t="inlineStr">
        <is>
          <t>Hey everyone- I know that I probably won’t get an answer or anything on here, as no where I have looked have I found one. I’ll start my story with where it all began. 3 years ago (when I was 17) I had bad health anxiety related to my eyes. I started hyper focusing on my visual snow (which I believe I have always had), and not long after that, my mother, grandmother and grandfather all got diagnosed with MD within the same week. That freaked me out, and for over 7/8 months I was constantly in some sort of anxiety focusing on my eyes and such. After a while it subsided, and I carried on. Well one day, while I’m class, I saw a tiny “comet” in my left eye, and it then “exploded”. After that, a small colour spot, almost looking like an avocado with a hollow inside appeared. I freaked, went to my optometrist a few days later, and was told nothing is wrong. After a few weeks the spot subsided, but I continued to get “temporary” spots, all of which are monocular (I should add that these spots either look like A dark purple coloured patch, or an after image). The initial one always comes back every few weeks-month or so, and stays for a while, but fluctuates in its prevalence. Because these spots never were permanent, and albeit annoying and I suppose a bit worrying, I got on with my life and overall did not think about them much. Fast forward to early March of this year, I had a bad flu or something. One day, I woke up and in my right eye, were 4 decently large scintilizing scotomas. They were in a “diamond” shape, one at each corner, directly around my central vision. I flipped again, saw my optometrist and was told nothing is wrong. These spots went away within a week. I knew, and still know that something is wrong. I ended up finding a group of people with something similar, or hell, even the exact same. Many people in the group mentioned how they have permanent spots, which I had not noticed up until that point. I then proceeded to search both eyes for blind spots, and found 2- one in each eye- at the paracentral mark- not in my central vision, but not as far as my natural blind spots. Again, flipped out, saw my optometrist and then saw an ophthalmologist. No one found anything with any scans, or dilated exams or anything. Despite these being here, with both big enough to block out my thumb nail at arms length away, nothing even came up on the visual field. Nothing was found, and nothing still is. I got desperate enough to pay for an MRI without contrast (being in Canada, it’s not cheap- maybe even a bit more than in the States). Again, nothing. These 2 true blind spots in my vision have remained, and overall, aren’t noticeable nor are they bothersome in day to day life. It’s more the knowledge they are there that bothers me. I don’t know if I will get any more permanent ones, or if this is it. Will I go blind, will I be mostly fine? Who knows. What I do know is I am dreadfully scared, no answers and none of the doctors are taking me seriously (nobody believes me, nor will they send me to a retinal specialist or a neuro-ophthalmologist). I am at wits end, and have trouble going on some days... I just am so scared of what may be wrong.
Further symptoms I have that may or may not be relevant:
-Pulsatile Tinnitus (left ear only)
-Regular Tinnitus (left ear only)
-Tachycardia (docs think it’s because I’m a bit overweight and severely out of shape)
-ridiculous amount of floaters for my age
-migraines (a handful of times a year)
-Geographic tongue (rarely)- essentially I lose patches of taste buds in my tongue for a week or 2 at a time, and then I go months and months without it happening again.
I’m just so scared. 
TLDR; weird unexplained monocular scotomas in each eye, and temporary “bright spots” as well. My visual acuity is great. Just these spots. Any thoughts on what this could be? Any further questioning is welcomed.</t>
        </is>
      </c>
      <c r="D1955" t="n">
        <v>1</v>
      </c>
      <c r="E1955" t="n">
        <v>9</v>
      </c>
      <c r="F1955">
        <f>HYPERLINK("https://www.reddit.com/r/eyetriage/comments/i1jbi5/scotomas/")</f>
        <v/>
      </c>
      <c r="G1955" t="inlineStr">
        <is>
          <t>2020-07-31 17:55:50</t>
        </is>
      </c>
      <c r="H1955" t="inlineStr"/>
    </row>
    <row r="1956">
      <c r="A1956" t="inlineStr">
        <is>
          <t>i1n513</t>
        </is>
      </c>
      <c r="B1956" t="inlineStr">
        <is>
          <t>Is it normal to see blood vessels in your vision?</t>
        </is>
      </c>
      <c r="C1956" t="inlineStr">
        <is>
          <t>Oftentimes my vision will pulsate to the rhythm of my heart beats, although it usually happens, and is exaggerated by, exercise. Sometimes when I am in the first couple minutes of running, I can see the outline of blood vessels. Usually this doesn't happen when I'm at rest and only occurs when I do something that abruptly gets my body moving, such as going from my desk to the restroom. I couldn't find much on this anywhere, should I be concerned?</t>
        </is>
      </c>
      <c r="D1956" t="n">
        <v>1</v>
      </c>
      <c r="E1956" t="n">
        <v>2</v>
      </c>
      <c r="F1956">
        <f>HYPERLINK("https://www.reddit.com/r/eyetriage/comments/i1n513/is_it_normal_to_see_blood_vessels_in_your_vision/")</f>
        <v/>
      </c>
      <c r="G1956" t="inlineStr">
        <is>
          <t>2020-07-31 22:39:58</t>
        </is>
      </c>
      <c r="H1956" t="inlineStr"/>
    </row>
    <row r="1957">
      <c r="A1957" t="inlineStr">
        <is>
          <t>i1podr</t>
        </is>
      </c>
      <c r="B1957" t="inlineStr">
        <is>
          <t>[Advice Wanted] Darkness in Peripheral</t>
        </is>
      </c>
      <c r="C1957" t="inlineStr">
        <is>
          <t>Hi Everyone,
I have had an issue in my vision which I first noticed about 4 years ago. In my top right peripheral there is a dark spot or shadow if you will. It's only noticeable when blinking or low light situations. Usually I can ignore it but it can cause a bit of stress/anxiety. Imagine a circular section that is your outer right quadrant of vision that is slower to adjust from dark to light causing an after image effect. This effect is much worse if I've been in a dark room and walk into a light one and blink but returns to normal after 30 seconds or so. 
When I was born both of my eyes were turned, my right eye was corrected via surgery as a baby but the left surgery failed and the eye return to turning outwards. My left eye has a shadow in the upper right quadrant as well and my local ophthalmologist ordered an MRI which came back clear. I've had several slit exams which came back with a lattice degeneration (unrelated I'm told) and all else is clear. I've also had a standard visual field test and a neurological visual field all of which have come back normal.
My last visit to my ophthalmologist (24 months ago) advised it could be a compansation scotoma cause by growing up with a turned eye. All in all I've seen 3 optometrists and 2 opthamologists in a 5 year period with no concrete answer as to whats going on. 
Have any of you fine people heard about this type of thing before and what recommendations would you have moving forward. 
Thanks everyone for taking the time to get to this point. Very much appreciated.</t>
        </is>
      </c>
      <c r="D1957" t="n">
        <v>1</v>
      </c>
      <c r="E1957" t="n">
        <v>5</v>
      </c>
      <c r="F1957">
        <f>HYPERLINK("https://www.reddit.com/r/eyetriage/comments/i1podr/advice_wanted_darkness_in_peripheral/")</f>
        <v/>
      </c>
      <c r="G1957" t="inlineStr">
        <is>
          <t>2020-08-01 02:47:11</t>
        </is>
      </c>
      <c r="H1957" t="inlineStr"/>
    </row>
    <row r="1958">
      <c r="A1958" t="inlineStr">
        <is>
          <t>i1v4c5</t>
        </is>
      </c>
      <c r="B1958" t="inlineStr">
        <is>
          <t>Eye Floater Question</t>
        </is>
      </c>
      <c r="C1958" t="inlineStr">
        <is>
          <t>26 years old, always had 1 or 2 noticeable floaters that are like a brown dot but never paid much attention to them. Recently when looking at the sky and flicking my eyes around I noticed a lot of clear, long threadlike floaters that almost resemble bacteria. In my left eye there are about 5 of them and my right eye probably 10 that vary in size, some of these look like they have clusters of little cells in the middle. My question is is it normal to have this many  floaters with otherwise 20/20 vision at a relatively young age?  What could be causing these see through like floaters and is there a chance they will go away over time? I have been obsessively looking at these floaters for the past few weeks, they don't seem like they are increasing but I cannot help focusing on them whenever I look at the sky or a bright surface.</t>
        </is>
      </c>
      <c r="D1958" t="n">
        <v>1</v>
      </c>
      <c r="E1958" t="n">
        <v>7</v>
      </c>
      <c r="F1958">
        <f>HYPERLINK("https://www.reddit.com/r/eyetriage/comments/i1v4c5/eye_floater_question/")</f>
        <v/>
      </c>
      <c r="G1958" t="inlineStr">
        <is>
          <t>2020-08-01 09:36:44</t>
        </is>
      </c>
      <c r="H1958" t="inlineStr"/>
    </row>
    <row r="1959">
      <c r="A1959" t="inlineStr">
        <is>
          <t>i1v7m0</t>
        </is>
      </c>
      <c r="B1959" t="inlineStr">
        <is>
          <t>hello. Can anyone tell me what is this brown thing on my eye? I cant really go to an ophthalmologist because its hard to go to the hospital nowadays due to COVID19. When I was in college about 6 years ago I noticed I had a brown spot on my eye but it was still small then. Now it's like this.</t>
        </is>
      </c>
      <c r="C1959" t="inlineStr">
        <is>
          <t>&amp;amp;#x200B;
[Please help me :\( ](https://preview.redd.it/s2dssqpc6fe51.jpg?width=1720&amp;amp;format=pjpg&amp;amp;auto=webp&amp;amp;s=ad6cbd29fca44d16a71e6ad1079203040060512b)</t>
        </is>
      </c>
      <c r="D1959" t="n">
        <v>1</v>
      </c>
      <c r="E1959" t="n">
        <v>1</v>
      </c>
      <c r="F1959">
        <f>HYPERLINK("https://www.reddit.com/r/eyetriage/comments/i1v7m0/hello_can_anyone_tell_me_what_is_this_brown_thing/")</f>
        <v/>
      </c>
      <c r="G1959" t="inlineStr">
        <is>
          <t>2020-08-01 09:42:27</t>
        </is>
      </c>
      <c r="H1959" t="inlineStr"/>
    </row>
    <row r="1960">
      <c r="A1960" t="inlineStr">
        <is>
          <t>i23ayh</t>
        </is>
      </c>
      <c r="B1960" t="inlineStr">
        <is>
          <t>Worried about Ocular Melanoma</t>
        </is>
      </c>
      <c r="C1960" t="inlineStr">
        <is>
          <t xml:space="preserve"> 
# Worried about having ocular melanoma!
📷
Hi! I hope I am posting this in the right place. I am very concerned about having ocular melanoma. About 5 to 6 months ago I saw a tiny gray speck in the white part of my right eye. At first I didn't really think that much of it. Around that same time, my right eye felt slightly bigger and heavier than my left eye. I tried to find anything similar to the speck on my left eye, but I didn't see anything on it at the time. I was trying to make an appointment to see an ophthalmologist soon. However, my grandmother died and then COVID-19 hit right after that, and doctors offices were closed for 6 to 8 weeks. I have not been checked by an ophthalmologist in almost 3 years now, unfortunately. Anyway, in June I made an appointment for this coming Monday, August 3.
Since I have first noticed the speck on my right eye, I have also noticed that sometimes my eye stings some. It comes and goes. I have also noticed that I see very small, brief flashes of light in my right eye. I usually see them while I am staring at a computer screen. My eyes often feel strained and tired because I look at a computer screen most of the day. I have also seen a few in my left eye, but they are not as frequent as in my right eye. I have read that seeing flashes of light can be a sign of a tumor pushing on the retina, or can even be a sign that the retina is detached. I guess the flashes are my biggest concern. Also, I have since noticed a small gray speck on my left eye. It is not as prominent as the one on my right eye, and it is in a slightly different location. However, it's still on the white part of the eye, and it looks similar to the one on the right.
Now I am constantly trying to notice my vision and how everything looks, particularly in my right eye. I am driving myself crazy doing this! I am near sighted and need glasses to see far off, such as when driving or watching TV. However, I can still see well out of both eyes, especially with my glasses on. I have not noticed a change in my ability to see out of my right eye. I can close my left eye and still see and read well out of my right, even things that are far off with my glasses on. I also have floaters in both eyes. In does seem like I have more in my right eye, though. But I am worried sick that this could be ocular melanoma. Has anyone experienced seeing tiny, brief, occasional flashes of light that turned out not to be a tumor or just a retinal detachment not caused by a tumor? I know that cancer is my greatest concern. My ophthalmology appointment is in two days. I am very nervous and scared of what they will find. My dad also has glaucoma, so having that in my family history is also an issue, but is not my biggest concern right now.
Does anyone have any insight on this? I just wanted to get thoughts and hear other people's experiences. Thank you for taking the time for reading about my concerns!</t>
        </is>
      </c>
      <c r="D1960" t="n">
        <v>1</v>
      </c>
      <c r="E1960" t="n">
        <v>5</v>
      </c>
      <c r="F1960">
        <f>HYPERLINK("https://www.reddit.com/r/eyetriage/comments/i23ayh/worried_about_ocular_melanoma/")</f>
        <v/>
      </c>
      <c r="G1960" t="inlineStr">
        <is>
          <t>2020-08-01 17:50:30</t>
        </is>
      </c>
      <c r="H1960" t="inlineStr"/>
    </row>
    <row r="1961">
      <c r="A1961" t="inlineStr">
        <is>
          <t>i2abdk</t>
        </is>
      </c>
      <c r="B1961" t="inlineStr">
        <is>
          <t>Im worried sick I have ocular eye cancer.</t>
        </is>
      </c>
      <c r="C1961" t="inlineStr">
        <is>
          <t>Im being referred with in 1 to 2 weeks to a specilaist, in my referral letter, "it says increasing floaters, possible tobacco dust and peripheral lattice degeneration and  pigmentary changes".
Pigmentary changes, does that mean I've got ocular cancer or something?
Im terrified</t>
        </is>
      </c>
      <c r="D1961" t="n">
        <v>1</v>
      </c>
      <c r="E1961" t="n">
        <v>12</v>
      </c>
      <c r="F1961">
        <f>HYPERLINK("https://www.reddit.com/r/eyetriage/comments/i2abdk/im_worried_sick_i_have_ocular_eye_cancer/")</f>
        <v/>
      </c>
      <c r="G1961" t="inlineStr">
        <is>
          <t>2020-08-02 04:04:03</t>
        </is>
      </c>
      <c r="H1961" t="inlineStr"/>
    </row>
    <row r="1962">
      <c r="A1962" t="inlineStr">
        <is>
          <t>i2b4hd</t>
        </is>
      </c>
      <c r="B1962" t="inlineStr">
        <is>
          <t>Is there a way to test your peripheral vision at home?</t>
        </is>
      </c>
      <c r="C1962" t="inlineStr">
        <is>
          <t>Hey, i feel like i have blurry spots in my peripheral vision but i'm not sure. I tried the finger test and i can see a little bit wider than 180 degrees but i feel like there are blurry spots. I can't see a doctor because of the virus but i would be happy if there is a way to know this. Thanks.</t>
        </is>
      </c>
      <c r="D1962" t="n">
        <v>1</v>
      </c>
      <c r="E1962" t="n">
        <v>0</v>
      </c>
      <c r="F1962">
        <f>HYPERLINK("https://www.reddit.com/r/eyetriage/comments/i2b4hd/is_there_a_way_to_test_your_peripheral_vision_at/")</f>
        <v/>
      </c>
      <c r="G1962" t="inlineStr">
        <is>
          <t>2020-08-02 05:16:45</t>
        </is>
      </c>
      <c r="H1962" t="inlineStr"/>
    </row>
    <row r="1963">
      <c r="A1963" t="inlineStr">
        <is>
          <t>i2br83</t>
        </is>
      </c>
      <c r="B1963" t="inlineStr">
        <is>
          <t>CRVO caused by lifting weights with valsalva maneuver at age of 25</t>
        </is>
      </c>
      <c r="C1963" t="inlineStr">
        <is>
          <t>I am 25 years old male 85kg 170cm.
I was diagnosed with CRVO 2 weeks ago. I asked for a second opinion and it was confirmed that i have it. I have Retinopathy with oedema on macula and pappila on my right eye
I was asked to do a complete blood test (factor of coagulation), 24h monitoring of my blood pressure, EKG, heart ultrasound, MR (magnetic resonance) of my head. All the results came normal.
The problem is i'm not aware of how long i have the condition and i noticed it few weeks ago, i could have it for a year, but it got worse recently.
I was offered to treat it with 5 Avastin shots and they don't guarantee i will gain my vision back.
I was injected 1 dose yesterday, no improvement.
I think i am one of those more severe cases and i'm totally fct up.
One of the scans i did of my eyes.  
[https://imgur.com/CHSZ4LO](https://imgur.com/CHSZ4LO)
Anyone else with severe CRVO diagnose can share experiences ?</t>
        </is>
      </c>
      <c r="D1963" t="n">
        <v>1</v>
      </c>
      <c r="E1963" t="n">
        <v>9</v>
      </c>
      <c r="F1963">
        <f>HYPERLINK("https://www.reddit.com/r/eyetriage/comments/i2br83/crvo_caused_by_lifting_weights_with_valsalva/")</f>
        <v/>
      </c>
      <c r="G1963" t="inlineStr">
        <is>
          <t>2020-08-02 06:06:36</t>
        </is>
      </c>
      <c r="H1963" t="inlineStr"/>
    </row>
    <row r="1964">
      <c r="A1964" t="inlineStr">
        <is>
          <t>i2cnqt</t>
        </is>
      </c>
      <c r="B1964" t="inlineStr">
        <is>
          <t>Worried about Ocular Melanoma</t>
        </is>
      </c>
      <c r="C1964" t="inlineStr">
        <is>
          <t xml:space="preserve">   
# Worried about Ocular Melanoma
📷Worried about having ocular melanoma!
📷
Hi! I hope I am posting this in the right place. I am very concerned about having ocular melanoma. About 5 to 6 months ago I saw a tiny gray speck in the white part of my right eye. At first I didn't really think that much of it. Around that same time, my right eye felt slightly bigger and heavier than my left eye. I tried to find anything similar to the speck on my left eye, but I didn't see anything on it at the time. I was trying to make an appointment to see an ophthalmologist soon. However, my grandmother died and then COVID-19 hit right after that, and doctors offices were closed for 6 to 8 weeks. I have not been checked by an ophthalmologist in almost 3 years now, unfortunately. Anyway, in June I made an appointment for this coming Monday, August 3.
Since I have first noticed the speck on my right eye, I have also noticed that sometimes my eye stings some. It comes and goes. I have also noticed that I see very small, brief flashes of light in my right eye. I usually see them while I am staring at a computer screen. My eyes often feel strained and tired because I look at a computer screen most of the day. I have also seen a few in my left eye, but they are not as frequent as in my right eye. I have read that seeing flashes of light can be a sign of a tumor pushing on the retina, or can even be a sign that the retina is detached. I guess the flashes are my biggest concern. Also, I have since noticed a small gray speck on my left eye. It is not as prominent as the one on my right eye, and it is in a slightly different location. However, it's still on the white part of the eye, and it looks similar to the one on the right.
Now I am constantly trying to notice my vision and how everything looks, particularly in my right eye. I am driving myself crazy doing this! I am near sighted and need glasses to see far off, such as when driving or watching TV. However, I can still see well out of both eyes, especially with my glasses on. I have not noticed a change in my ability to see out of my right eye. I can close my left eye and still see and read well out of my right, even things that are far off with my glasses on. I also have floaters in both eyes. In does seem like I have more in my right eye, though. But I am worried sick that this could be ocular melanoma. Has anyone experienced seeing tiny, brief, occasional flashes of light that turned out not to be a tumor or just a retinal detachment not caused by a tumor? I know that cancer is my greatest concern. My ophthalmology appointment is in two days. I am very nervous and scared of what they will find. My dad also has glaucoma, so having that in my family history is also an issue, but is not my biggest concern right now.
Does anyone have any insight on this? I just wanted to get thoughts and hear other people's experiences. Thank you for taking the time for reading about my concerns!</t>
        </is>
      </c>
      <c r="D1964" t="n">
        <v>1</v>
      </c>
      <c r="E1964" t="n">
        <v>3</v>
      </c>
      <c r="F1964">
        <f>HYPERLINK("https://www.reddit.com/r/eyetriage/comments/i2cnqt/worried_about_ocular_melanoma/")</f>
        <v/>
      </c>
      <c r="G1964" t="inlineStr">
        <is>
          <t>2020-08-02 07:11:07</t>
        </is>
      </c>
      <c r="H1964" t="inlineStr"/>
    </row>
    <row r="1965">
      <c r="A1965" t="inlineStr">
        <is>
          <t>i2kgvh</t>
        </is>
      </c>
      <c r="B1965" t="inlineStr">
        <is>
          <t>Do I really need prism glasses and also concerned about getting them</t>
        </is>
      </c>
      <c r="C1965" t="inlineStr">
        <is>
          <t>I currently wear glasses and suffer from astigmatism, however recently I have  been getting dizziness, feel like if my eye is pulsating, and notice when I go on my computer or mobile phones I see the screen and text slanted and also I do not suffer from double vision. My optometrist had told my that one of my eyes tends to shift away and recommended me to an ophthalmologist and to another specialist who did other measurements and said I did not require prisms or anything of that sort, this was about two years. I recently went back to my optometrist and she recommended a new prescription with no prisms in it. However I am still experiencing these issues. I took a second opinion and this optometrist said she noticed my eyes move a bit to the sides and she recommended prisms with anti fatigue lenses to reduce eye fatigue, and suggested vision therapy however that is out of my budget, she suggested to get the prism glasses.  I have visited my family doctor, had an MRI, which is normal.
I am concerned if the prism glasses can damage my eyes or affect my eye muscles and force me to take vision therapy or some sort. These are my prescriptions below.
Prescription 1
od sph -2 cyl -1.50 axis 180 prism 1bi
os sph -1.5 cyl -1.75 axis 180 prism 1 bi</t>
        </is>
      </c>
      <c r="D1965" t="n">
        <v>1</v>
      </c>
      <c r="E1965" t="n">
        <v>4</v>
      </c>
      <c r="F1965">
        <f>HYPERLINK("https://www.reddit.com/r/eyetriage/comments/i2kgvh/do_i_really_need_prism_glasses_and_also_concerned/")</f>
        <v/>
      </c>
      <c r="G1965" t="inlineStr">
        <is>
          <t>2020-08-02 14:47:44</t>
        </is>
      </c>
      <c r="H1965" t="inlineStr"/>
    </row>
    <row r="1966">
      <c r="A1966" t="inlineStr">
        <is>
          <t>i2pnuo</t>
        </is>
      </c>
      <c r="B1966" t="inlineStr">
        <is>
          <t>Is there a way to confirm a blurry/black spot?</t>
        </is>
      </c>
      <c r="C1966" t="inlineStr">
        <is>
          <t>Hey, i feel like there is a black spot in my peripheral vision but i can't make sure. Is there a kind of experiment or test i can do to make sure?</t>
        </is>
      </c>
      <c r="D1966" t="n">
        <v>1</v>
      </c>
      <c r="E1966" t="n">
        <v>3</v>
      </c>
      <c r="F1966">
        <f>HYPERLINK("https://www.reddit.com/r/eyetriage/comments/i2pnuo/is_there_a_way_to_confirm_a_blurryblack_spot/")</f>
        <v/>
      </c>
      <c r="G1966" t="inlineStr">
        <is>
          <t>2020-08-02 20:18:38</t>
        </is>
      </c>
      <c r="H1966" t="inlineStr"/>
    </row>
    <row r="1967">
      <c r="A1967" t="inlineStr">
        <is>
          <t>i2ymc1</t>
        </is>
      </c>
      <c r="B1967" t="inlineStr">
        <is>
          <t>Discolored vision from 3D glasses</t>
        </is>
      </c>
      <c r="C1967" t="inlineStr">
        <is>
          <t>I have amblyopia, where my left eye is 20/20 with glasses, but my right eye is (I think) 20/200. I discovered the treatment where you play Tetris with 3D glasses, and since I'm in CS, I was able to just clone Tetris off Github and set the colors myself. But occasionally after playing it with 3D glasses, my vision will be discolored for a few minutes. My left eye seeing things as more cyan isn't very noticeable, but my right eye sees things as redder than normal. Should I be concerned?</t>
        </is>
      </c>
      <c r="D1967" t="n">
        <v>1</v>
      </c>
      <c r="E1967" t="n">
        <v>7</v>
      </c>
      <c r="F1967">
        <f>HYPERLINK("https://www.reddit.com/r/eyetriage/comments/i2ymc1/discolored_vision_from_3d_glasses/")</f>
        <v/>
      </c>
      <c r="G1967" t="inlineStr">
        <is>
          <t>2020-08-03 08:05:06</t>
        </is>
      </c>
      <c r="H1967" t="inlineStr"/>
    </row>
    <row r="1968">
      <c r="A1968" t="inlineStr">
        <is>
          <t>i349u0</t>
        </is>
      </c>
      <c r="B1968" t="inlineStr">
        <is>
          <t>Does Recurrent Corneal Erosion get worse with time?</t>
        </is>
      </c>
      <c r="C1968" t="inlineStr">
        <is>
          <t>My doctor didn't tell me that I have it \*yet\* but I'm mooore than sure that I do because of the symptoms I had. One year ago I poked my right eye with my finger, it healed pretty quickly the next day. Everything was perfect until after 5 months I switched from glasses to contact lenses, I was not careful with them, I slept multiple times with them and one night I slept with them and woke up the next day with pain in my right eye, I went to the doctor and he said it's because the lens dried on the scratch and it was still healing, so he cleaned it and put a cream on my eye and covered it and it healed the next day. Now after that, there were a few days where I would wakeup and feel like my right eye kind of bothers me, this usually goes away after a few minutes and it happens mostly when I forget to turn off the lights before I sleep, but there were are also days when I wake up just normally and wouldn't feel anything. I kept ignoring the issue because I was very busy with college, and I never had an episode during the day. Now today, I woke up and had all the symptoms I had again with my past two experiences all of a sudden, I went to the doctor and they did the usual thing but this time she wanted me to use the night cream for a month, she still didn't talk to me about it (I have an appointment tomorrow) but I'm 100% it's RCE. 
Will the symptoms get worse with time? I read experiences of other people and my case seems better than many people but I wonder if it's because it has just started? will it bother me during the day and basically change my life? also, is it safe to keep wearing contact lenses instead of glasses while practising good contact lens hygiene? also, from what I read it seems like I will have to deal with it for life but is there anyone who got rid of it completely?</t>
        </is>
      </c>
      <c r="D1968" t="n">
        <v>1</v>
      </c>
      <c r="E1968" t="n">
        <v>8</v>
      </c>
      <c r="F1968">
        <f>HYPERLINK("https://www.reddit.com/r/eyetriage/comments/i349u0/does_recurrent_corneal_erosion_get_worse_with_time/")</f>
        <v/>
      </c>
      <c r="G1968" t="inlineStr">
        <is>
          <t>2020-08-03 12:57:56</t>
        </is>
      </c>
      <c r="H1968" t="inlineStr"/>
    </row>
    <row r="1969">
      <c r="A1969" t="inlineStr">
        <is>
          <t>i389ha</t>
        </is>
      </c>
      <c r="B1969" t="inlineStr">
        <is>
          <t>Dry eyes have killed my quality of life. Please help</t>
        </is>
      </c>
      <c r="C1969" t="inlineStr">
        <is>
          <t>I don't know what to do. I am miserable. I wore contacts for about 6 or 7 years. I often slept in the contacts because I stayed at freinds houses and didn't take my contacts storage with me. Very naive i know. I eventually gor very irritated eyes when wearing contacts so stupid me decided lasik sounded like a good idea, i would be free of the burden of wearing glasses and having uncomfortableness from contacts. I ended up getting lasik in December of 2015. I now realise i probably had dry eye before getting lasik, and the lasik might've made it even worse. I didn't start experiencing dry eye until 10 months after the procedure. The eye doc I originally went to for lasik gave me prednisolone, it seemed to work and my dryness lasted only a month. I also took restasis but only for a few weeks. Three years went by with no issues. Unfortunately in November of 2019 about 4 years after the surgery, my dry eye returned worse than the first time. It started when I was sitting at a movie theater watching a movie, I'm guessing the dark room and huge screen had an effect on my eyes. I was also about a week into a quarter life crisis, and stopped smoking marijuana and drinking about a week before that, all of which had me extremely stressed. I sometimes wonder if stress brought this on, but I also am quick to blame it on the lasik. Since then I have been to two eye docs with not much relief or positive results. I have taken lotemax sm, alrex, systane nighttime ointment, lotemax ointment, xiidra, avenova lid wipes, tea tree lid wipes, bacitracin on my eye lids at night, preservative free prednisolone, have been doing warm compresses, all of which have not helped. I am currently weening off of the prednisone and praying it helps even in the weening off process. The next thing the eye doc has me doing currently is taking restasis which i got 6 months worth of for free from a patient assistant program but honestly i cannot afford it after that as it is ridiculously expensive. I also am not convinced it will work because xiidra did not work. She also has me doing warm compresses, avenova, bacitracin, and otc celluvisc 4 times a day still. All of this has already cost me more than the lasik did and then some. Honestly at this point i am extremely stressed from this and am suicidal. I dont want to live like this anymore. I have been trying to keep hope that it will get better but it has been 6 months and I have lost hope. Is it possible that if i somehow remove this emotional baggage and stress it will get better? Is there any way that it can get better without having to take an eye drop everyday or am i going to have to live the rest of my life like this? I am only 26 years old. I really want a life where im not thinking about my eyes all day. I have been considering joining the military but want my eyes fixed first, plus i don't even know if they would take me with dry eye. I want a time machine right about now. Does anyone have any clue what I can do to get out of this mess or have any input as of what couldve caused this? It seems weird to me that it happened 4 years after the surgery at a time where i was in a low point mentally.
Edit: i forgot to mention i also have punctal plugs in, have used humidifiers at night, and have taken Nordic natural fish oil, and also eat salmon at least twice a week all with no results. Also the symptoms seem to be worse in the morning before i even open my eyes and at night. They are also extremely dry when my eyes are closed wheni sleep or even just "rest" them during the day. The eye doc doesn't think that it is MGD but thinks it's my eyes just not being able to produce enough tears. She also said that my eyes dont look inflamed. Also, sometimes when I blink I can literally hear my eye lids opening up like a clicking sound. When I close my eyes I and move them left and right each one eye also makes a clicking sound when looking inward towards my nose. I also got tested for sjogrens and got my thyroid checked both through blood tests and they both came back negative. I have considered getting scleral but they are incredibly expensive from whay I've heard and apparently only last 1-3 years.</t>
        </is>
      </c>
      <c r="D1969" t="n">
        <v>1</v>
      </c>
      <c r="E1969" t="n">
        <v>7</v>
      </c>
      <c r="F1969">
        <f>HYPERLINK("https://www.reddit.com/r/eyetriage/comments/i389ha/dry_eyes_have_killed_my_quality_of_life_please/")</f>
        <v/>
      </c>
      <c r="G1969" t="inlineStr">
        <is>
          <t>2020-08-03 16:34:19</t>
        </is>
      </c>
      <c r="H1969" t="inlineStr"/>
    </row>
    <row r="1970">
      <c r="A1970" t="inlineStr">
        <is>
          <t>i38a06</t>
        </is>
      </c>
      <c r="B1970" t="inlineStr">
        <is>
          <t>Seeing tiny points of light all around my vision</t>
        </is>
      </c>
      <c r="C1970" t="inlineStr">
        <is>
          <t xml:space="preserve"> Hello, im a 20 years old male with miopia, recently i've noticed that i'm seeing some sort of little lights popping in front of my eyes, almost invisible but they are obstruction my vision a little and is giving me some trouble while working (I'm a programmer) making difficult to read some text. Does anybody know what to do? i'm seeing this everywhere know, even on the walls.</t>
        </is>
      </c>
      <c r="D1970" t="n">
        <v>1</v>
      </c>
      <c r="E1970" t="n">
        <v>1</v>
      </c>
      <c r="F1970">
        <f>HYPERLINK("https://www.reddit.com/r/eyetriage/comments/i38a06/seeing_tiny_points_of_light_all_around_my_vision/")</f>
        <v/>
      </c>
      <c r="G1970" t="inlineStr">
        <is>
          <t>2020-08-03 16:35:13</t>
        </is>
      </c>
      <c r="H1970" t="inlineStr"/>
    </row>
    <row r="1971">
      <c r="A1971" t="inlineStr">
        <is>
          <t>i3d6he</t>
        </is>
      </c>
      <c r="B1971" t="inlineStr">
        <is>
          <t>Hello everyone I need some advice regarding glasses.</t>
        </is>
      </c>
      <c r="C1971" t="inlineStr">
        <is>
          <t>Hi everyone I’m a 26 year old guy with a mild to little severe eye twitch. Sometimes my eyes feel very dry, strained and irritated that triggers the twitch. I’ve recently learned how to switch the blinking back to unconscious when people at work start being very mean about it and also people in everyday life. But doing this can be quite exhausting. What I’m trying to get help with is knowing what kind of glasses I can get to HIDE my twitching best. I’d like to get something like the glasses that turn dark when you’re outside in the sunlight, but I’d like them to stay like that all the time and that will look good indoors. I recently saw a guy at work wearing that kind of glasses but they had a purple tint. Also I’d like them to have side shields so that no one can see my eyes blinking from the sides. You see over here in the city where I live it seems like people in general but women especially have this agenda against blinking more so men blinking and they use this as an excuse to give you all these sneers even if you aren’t twitching maybe to validate themselves I’m not sure why . Like I really do have the twitch but I’ve seen how they judge guys who don’t even have it and make them super self conscious about blinking. Like you can’t even blink when your eyes water right after yawning without having them give you a sneer, make fun of you of plain and simple give you the resting bitch face. Anyway since I look at my phone screen for long periods of time I think they should probably have an anti glare coating as well. So I’d really appreciate any recommendations.</t>
        </is>
      </c>
      <c r="D1971" t="n">
        <v>1</v>
      </c>
      <c r="E1971" t="n">
        <v>0</v>
      </c>
      <c r="F1971">
        <f>HYPERLINK("https://www.reddit.com/r/eyetriage/comments/i3d6he/hello_everyone_i_need_some_advice_regarding/")</f>
        <v/>
      </c>
      <c r="G1971" t="inlineStr">
        <is>
          <t>2020-08-03 22:01:27</t>
        </is>
      </c>
      <c r="H1971" t="inlineStr"/>
    </row>
    <row r="1972">
      <c r="A1972" t="inlineStr">
        <is>
          <t>i3hr9t</t>
        </is>
      </c>
      <c r="B1972" t="inlineStr">
        <is>
          <t>Focal Macular Thinning</t>
        </is>
      </c>
      <c r="C1972" t="inlineStr">
        <is>
          <t>I'm getting desperate, so I thought I'd turn to reddit. Sorry if this is the wrong subreddit to post in. The original one got removed from r/ophthalmology however I did get one response which I'm grateful for.
I'm not seeking medical advice in response to this post, I'm seeking where to go in search for it.
I've seen a couple of Ophthalmologists (one in a public hospital and another one private) but am told there's nothing to that can be done to treat my condition, but my question is where to from here? Who can I speak to with regards to making living with it easier.
Bit of background, I'm from Melbourne, Australia. I was involved in a motorcycle accident, broke my femur. This led to fat emboli syndrome, and amongst other things, 4-5 'cottonwool spots' in each eye, and although these have resolved, I now have 'focal macular thinning' (as shown on an OCT scan). Also, it is about 5months post accident.
It is difficult to explain to people who don't understand the injury the impact this is having on my vision and as it seems to not be common, there's no examples online.
The closest thing I've found is those 'spot the difference' images and when viewing them using a 'crossview' technique. Basically images are 'wavy/shimmer' where each eye is seeing something different.
https://www.reddit.com/r/CrossView/wiki/index
https://i.imgur.com/Jfira.jpg
Thanks for your help</t>
        </is>
      </c>
      <c r="D1972" t="n">
        <v>1</v>
      </c>
      <c r="E1972" t="n">
        <v>1</v>
      </c>
      <c r="F1972">
        <f>HYPERLINK("https://www.reddit.com/r/eyetriage/comments/i3hr9t/focal_macular_thinning/")</f>
        <v/>
      </c>
      <c r="G1972" t="inlineStr">
        <is>
          <t>2020-08-04 04:38:24</t>
        </is>
      </c>
      <c r="H1972" t="inlineStr"/>
    </row>
    <row r="1973">
      <c r="A1973" t="inlineStr">
        <is>
          <t>i3iwlh</t>
        </is>
      </c>
      <c r="B1973" t="inlineStr">
        <is>
          <t>I had chronic red eyes for years now and now i got this.</t>
        </is>
      </c>
      <c r="C1973" t="inlineStr">
        <is>
          <t>Hey, i know that reddit is not a place to seek diagnoses but we currently have a massive trouble with the virus and i can't see a doctor now.
    Age: 18
    Gender: Male
    Height: 6' or 1.85 meters
    Weight: 130 lbs or 59 kg
My eyes used to be red and bloodshot most of the time, people were always like: *"Dude, are you into drugs?"*. My vision is pretty much fine although my right eye is slightly more blurry than my left eye. I have floaters but i had them for years anyways. My night vision is fine, i tested my peripheral vision with my hand holding a pen and rotating it. I think it is 180+ degrees wide. But i feel like my peripheral vision is getting darker but i might be just too anxious and over analyizing my sight. 
&amp;amp;#x200B;
Recently (a month ago), my eyes turned into this:
&amp;amp;#x200B;
[My Right Eye](https://preview.redd.it/2kbe4ywygze51.jpg?width=838&amp;amp;format=pjpg&amp;amp;auto=webp&amp;amp;s=48024c42fa1a24b049461af2ad8fa7cf0ce4715e)
&amp;amp;#x200B;
[My Left Eye](https://preview.redd.it/dqsx9gj0hze51.jpg?width=1040&amp;amp;format=pjpg&amp;amp;auto=webp&amp;amp;s=5ba13a98c0810e664ae073303da538e1b7a1e97b)
I had to pull my skin to get a clear photo, that's why my eyes look closed. 
Now please take a look at my right eye. You will see white bump right under my iris. It bends the light, you can see it. I literally have no idea what is happening and i'm really starting to panic. 
My left eye is red but i didn't see any bump or stuff like that.
&amp;amp;#x200B;
&amp;amp;#x200B;
What am i experiencing? Any idea? Thanks.</t>
        </is>
      </c>
      <c r="D1973" t="n">
        <v>1</v>
      </c>
      <c r="E1973" t="n">
        <v>24</v>
      </c>
      <c r="F1973">
        <f>HYPERLINK("https://www.reddit.com/r/eyetriage/comments/i3iwlh/i_had_chronic_red_eyes_for_years_now_and_now_i/")</f>
        <v/>
      </c>
      <c r="G1973" t="inlineStr">
        <is>
          <t>2020-08-04 06:02:17</t>
        </is>
      </c>
      <c r="H1973" t="inlineStr"/>
    </row>
    <row r="1974">
      <c r="A1974" t="inlineStr">
        <is>
          <t>i3lm6e</t>
        </is>
      </c>
      <c r="B1974" t="inlineStr">
        <is>
          <t>Vogh koyanagy harada</t>
        </is>
      </c>
      <c r="C1974" t="inlineStr">
        <is>
          <t>Hello there,
someone here suffers from vkh?</t>
        </is>
      </c>
      <c r="D1974" t="n">
        <v>1</v>
      </c>
      <c r="E1974" t="n">
        <v>0</v>
      </c>
      <c r="F1974">
        <f>HYPERLINK("https://www.reddit.com/r/eyetriage/comments/i3lm6e/vogh_koyanagy_harada/")</f>
        <v/>
      </c>
      <c r="G1974" t="inlineStr">
        <is>
          <t>2020-08-04 08:42:36</t>
        </is>
      </c>
      <c r="H1974" t="inlineStr"/>
    </row>
    <row r="1975">
      <c r="A1975" t="inlineStr">
        <is>
          <t>i3qp1v</t>
        </is>
      </c>
      <c r="B1975" t="inlineStr">
        <is>
          <t>Conjunctival cyst, hot or cold compress?</t>
        </is>
      </c>
      <c r="C1975" t="inlineStr">
        <is>
          <t>About 3 weeks ago I was seen by my ophthalmologist who confirmed I have a conjunctival cyst. The biggest irritation is the feeling of a foreign body in my eye. I have been using artificial tears and cold compress on it daily. The feeling goes away for about 3 days, then comes back. Should I be using a warm or cold compress on it? Should I be worried it comes and goes? I know you can't really know how long something like this will take to go away but I'm standing up in a wedding this weekend and realizing contacts are probably a no go..</t>
        </is>
      </c>
      <c r="D1975" t="n">
        <v>1</v>
      </c>
      <c r="E1975" t="n">
        <v>1</v>
      </c>
      <c r="F1975">
        <f>HYPERLINK("https://www.reddit.com/r/eyetriage/comments/i3qp1v/conjunctival_cyst_hot_or_cold_compress/")</f>
        <v/>
      </c>
      <c r="G1975" t="inlineStr">
        <is>
          <t>2020-08-04 13:06:38</t>
        </is>
      </c>
      <c r="H1975" t="inlineStr"/>
    </row>
    <row r="1976">
      <c r="A1976" t="inlineStr">
        <is>
          <t>i3w21w</t>
        </is>
      </c>
      <c r="B1976" t="inlineStr">
        <is>
          <t>Any experiences with Oxervate (either as a prescribing doctor or as a patient who has used it)?</t>
        </is>
      </c>
      <c r="C1976" t="inlineStr">
        <is>
          <t>I have been diagnosed with neurotrophic keratitis (Stage 2) in my right eye and my doctor thinks I am a good candidate for Oxervate. I realize that Oxervate was only recently approved by the FDA and so there are very few studies regarding it, but I wanted to see if anyone here has had any experiences with Oxervate that they could share. Thanks in advance!</t>
        </is>
      </c>
      <c r="D1976" t="n">
        <v>1</v>
      </c>
      <c r="E1976" t="n">
        <v>0</v>
      </c>
      <c r="F1976">
        <f>HYPERLINK("https://www.reddit.com/r/eyetriage/comments/i3w21w/any_experiences_with_oxervate_either_as_a/")</f>
        <v/>
      </c>
      <c r="G1976" t="inlineStr">
        <is>
          <t>2020-08-04 18:19:52</t>
        </is>
      </c>
      <c r="H1976" t="inlineStr"/>
    </row>
    <row r="1977">
      <c r="A1977" t="inlineStr">
        <is>
          <t>i3x4mr</t>
        </is>
      </c>
      <c r="B1977" t="inlineStr">
        <is>
          <t>Cluster of transparent circles in central vision of non-dominant eye</t>
        </is>
      </c>
      <c r="C1977" t="inlineStr">
        <is>
          <t>Female. 56 years old. Healthy. For the past year or so, I've very occasionally noticed something like tiny static clear circles when l look at white areas. It's like visual snow that does not move and can only be seen on light surfaces. If I look at white text on a black background, the black is normal, but the white is filled with tiny circles of white with black edges. Normally, it would last 5-10 minutes and then go away. Then I noticed I could trigger it by looking down at a sharp angle, like if I was trying to see something on my upper chest.   
I've had scintillating scotomas for a decade, so I had originally assumed it was neurological. Today, however, I had one of the static-y episodes, and it lasted about 30 minutes so I had time to study it and it's only on the right side. Between that and being able to trigger it, seems more like an actual ocular issue.  I also noticed that it's actually a small circle in my central vision made up of small circles. (I can see this by looking at a larger white area like a wall). It's a circle that's about 5% of my vision, exactly in the center, and that circle has about a hundred transparent circles in it. When I look at the Amsler grid, no lines look wavy but wherever black touches white in the grid, I have a small checkerboard outline. This goes away if I close the right eye and only look with left. The overall effect is that my reading is blurrier when I have it, but if I'm looking around at nature or dark objects, I wouldn't know anything was wrong.   
I can't go to the doc unless it's very serious because my husband is high covid risk and we're stayed pretty well quarantined - grocery pick-up outdoors is the most we do. I just can't find anything about anything like this online. Sounds likely retinal since I've had shadowy floaters for years but it's weird that it can be triggered by looking down. Any ideas appreciated.</t>
        </is>
      </c>
      <c r="D1977" t="n">
        <v>1</v>
      </c>
      <c r="E1977" t="n">
        <v>1</v>
      </c>
      <c r="F1977">
        <f>HYPERLINK("https://www.reddit.com/r/eyetriage/comments/i3x4mr/cluster_of_transparent_circles_in_central_vision/")</f>
        <v/>
      </c>
      <c r="G1977" t="inlineStr">
        <is>
          <t>2020-08-04 19:32:22</t>
        </is>
      </c>
      <c r="H1977" t="inlineStr"/>
    </row>
    <row r="1978">
      <c r="A1978" t="inlineStr">
        <is>
          <t>i4388p</t>
        </is>
      </c>
      <c r="B1978" t="inlineStr">
        <is>
          <t>Ghosting/double vision and blurriness/haziness upon waking after a night's sleep.</t>
        </is>
      </c>
      <c r="C1978" t="inlineStr">
        <is>
          <t>When i wake up in the morning, i open my eyes and im looking at the ceiling, there's this lamp shade, if i hover quickly over the lamp, i see ghosting and double vision, my vision is really odd..
Minutes later, im fine again, vision is as good as it was, 
I havent had these symptoms long, mainly after a wearing my new prescription for a week or so 
My eyes do feel a bit dry, im suffering with a bit of anxiety too.
I tend to Google these sort of things, and when I see brain tumours, I had to ask, sorry for my naivety</t>
        </is>
      </c>
      <c r="D1978" t="n">
        <v>1</v>
      </c>
      <c r="E1978" t="n">
        <v>6</v>
      </c>
      <c r="F1978">
        <f>HYPERLINK("https://www.reddit.com/r/eyetriage/comments/i4388p/ghostingdouble_vision_and_blurrinesshaziness_upon/")</f>
        <v/>
      </c>
      <c r="G1978" t="inlineStr">
        <is>
          <t>2020-08-05 03:59:21</t>
        </is>
      </c>
      <c r="H1978" t="inlineStr"/>
    </row>
    <row r="1979">
      <c r="A1979" t="inlineStr">
        <is>
          <t>i43t8f</t>
        </is>
      </c>
      <c r="B1979" t="inlineStr">
        <is>
          <t>Doctor said my eyestrain is little high.</t>
        </is>
      </c>
      <c r="C1979" t="inlineStr">
        <is>
          <t xml:space="preserve"> Age: 24 
Gender: Male 
Height: 1.79 meters 
Weight: 86kg 
\-No known family history of glaucoma or other serious eye diseases.  
\-Quit smoking 5 months ago, never smoked again.
\-No contact/glasses
\- I've had my eyes examined for 5 times now and only first and the last doctor said my eyestrain is high.
So i went to a eye doctor to get my eye examined cuz i started seeing blurry. Doctor said the pressure is a little high than normal and said i need to visit after another 6 months. Due to anxiety i fear that my eyes are going bad. Can you please check my exam results? Is there anything wrong with my eyes? It 6 months too late or should i just take another appointment?
Eye exam: [https://imgur.com/a/L1I4fIn](https://imgur.com/a/L1I4fIn)</t>
        </is>
      </c>
      <c r="D1979" t="n">
        <v>1</v>
      </c>
      <c r="E1979" t="n">
        <v>4</v>
      </c>
      <c r="F1979">
        <f>HYPERLINK("https://www.reddit.com/r/eyetriage/comments/i43t8f/doctor_said_my_eyestrain_is_little_high/")</f>
        <v/>
      </c>
      <c r="G1979" t="inlineStr">
        <is>
          <t>2020-08-05 04:45:21</t>
        </is>
      </c>
      <c r="H1979" t="inlineStr"/>
    </row>
    <row r="1980">
      <c r="A1980" t="inlineStr">
        <is>
          <t>i489qz</t>
        </is>
      </c>
      <c r="B1980" t="inlineStr">
        <is>
          <t>Running and pigment dispersion syndrome</t>
        </is>
      </c>
      <c r="C1980" t="inlineStr">
        <is>
          <t>Hello!
I was diagnosed with the above last year, and have been under the hospital to look into it. It was decided that they would give me a YAG laser iridotomy. This happened and everything went smoothly.
Just had my 2 week review, and explained since I found out about this, I stopped running and doing high impactive exercise. The consultant said to me that a healthy lifestyle was far more important, and that I shouldn't put my life on hold due to something that might cause glaucoma. He explained that many people with the condition actually sometimes do not develop glaucoma in their life time. He said I would be fine to start running again, and keep up with my yearly eye exams to keep things in check. He also said the laser treatment should help with the issue as well.
So just wondered what the general consensus was on here? I am not a hard core runner, just a few 5ks a week in the woods. I have desperately missed it, and it has affected my mental health stopping it. Nothing better than running and feeling free! Well for me anyway! Was my consultant right in what he said? :) (this isn't me disbelieving him, I just wondered if this was the same across the board)
P. S so so amazed at what they can do with eyes these days. I'm so grateful!</t>
        </is>
      </c>
      <c r="D1980" t="n">
        <v>1</v>
      </c>
      <c r="E1980" t="n">
        <v>5</v>
      </c>
      <c r="F1980">
        <f>HYPERLINK("https://www.reddit.com/r/eyetriage/comments/i489qz/running_and_pigment_dispersion_syndrome/")</f>
        <v/>
      </c>
      <c r="G1980" t="inlineStr">
        <is>
          <t>2020-08-05 09:15:55</t>
        </is>
      </c>
      <c r="H1980" t="inlineStr"/>
    </row>
    <row r="1981">
      <c r="A1981" t="inlineStr">
        <is>
          <t>i4g7ny</t>
        </is>
      </c>
      <c r="B1981" t="inlineStr">
        <is>
          <t>Can an optometrist easily spot cancer within the eye?</t>
        </is>
      </c>
      <c r="C1981" t="inlineStr">
        <is>
          <t>is it easy for them to know what cancer looks like at back of the eye.
Is it rare?</t>
        </is>
      </c>
      <c r="D1981" t="n">
        <v>1</v>
      </c>
      <c r="E1981" t="n">
        <v>5</v>
      </c>
      <c r="F1981">
        <f>HYPERLINK("https://www.reddit.com/r/eyetriage/comments/i4g7ny/can_an_optometrist_easily_spot_cancer_within_the/")</f>
        <v/>
      </c>
      <c r="G1981" t="inlineStr">
        <is>
          <t>2020-08-05 16:17:22</t>
        </is>
      </c>
      <c r="H1981" t="inlineStr"/>
    </row>
    <row r="1982">
      <c r="A1982" t="inlineStr">
        <is>
          <t>i4gbt2</t>
        </is>
      </c>
      <c r="B1982" t="inlineStr">
        <is>
          <t>Mystery Eye Problems</t>
        </is>
      </c>
      <c r="C1982" t="inlineStr">
        <is>
          <t>Hello. I've been having some bad eye pressure for the past few months along with some pain. It's 99% of the time in my left eye. I've been to three Ophthalmologists and have even had a CAT scan done but nothing has been resolved. It comes and goes randomly, as does how bad it gets. The pressure sometimes is felt along my nose, other times behind my eye, other times around it, and other times along my eyebrow. It kinda feels like there's not enough room for my eye in my eye socket. Also, I can leave me left eye open for minutes at a time without having to blink (I haven't tested how long I can have it open) or getting that stinging feeling, whereas my right eye has to blink unusually much more than my left eye. When faced with wind, my left eye can look into it for minutes upon end without having to blink and can't even feel the wind hitting the eye itself or the eyelid, and my right eye being way more sensitive than it should be and having to blink every second or more to look into it, and my eyelid almost feeling like it's not blocking any wind from hitting my eye when it's closed. Can anyone here please help me on what is going on with my eyes, both pressure and sensitivity to being open and wind? Thank you if you've read this far.</t>
        </is>
      </c>
      <c r="D1982" t="n">
        <v>1</v>
      </c>
      <c r="E1982" t="n">
        <v>12</v>
      </c>
      <c r="F1982">
        <f>HYPERLINK("https://www.reddit.com/r/eyetriage/comments/i4gbt2/mystery_eye_problems/")</f>
        <v/>
      </c>
      <c r="G1982" t="inlineStr">
        <is>
          <t>2020-08-05 16:23:56</t>
        </is>
      </c>
      <c r="H1982" t="inlineStr"/>
    </row>
    <row r="1983">
      <c r="A1983" t="inlineStr">
        <is>
          <t>i4jhma</t>
        </is>
      </c>
      <c r="B1983" t="inlineStr">
        <is>
          <t>Difficulty focusing</t>
        </is>
      </c>
      <c r="C1983" t="inlineStr">
        <is>
          <t xml:space="preserve">I am a thirty five year old male who wears glasses for nearsightedness. 
I have a great deal of difficulty focusing, both far and near, and regularly have red eyelids and darkness around my eyes. 
I work retail and the time I use computers at home I try to follow the 20 20 20 rule. 
I used to read a lot of books, but due to the strain, I haven't finished a book in years (I still listen to audio books though).
One unusual thing I'd like to mention is that when I go for my yearly optomotrist appointment, the chemical that dilates my puples stings like hell, but I can focus perfectly fine for several days after.  I mention this stuff every year to the optomotrist, but have never been given much advice.
I don't have the kind of insurance that covers a specialist. Any tips would be greatly appreciated. </t>
        </is>
      </c>
      <c r="D1983" t="n">
        <v>1</v>
      </c>
      <c r="E1983" t="n">
        <v>2</v>
      </c>
      <c r="F1983">
        <f>HYPERLINK("https://www.reddit.com/r/eyetriage/comments/i4jhma/difficulty_focusing/")</f>
        <v/>
      </c>
      <c r="G1983" t="inlineStr">
        <is>
          <t>2020-08-05 19:35:56</t>
        </is>
      </c>
      <c r="H1983" t="inlineStr"/>
    </row>
    <row r="1984">
      <c r="A1984" t="inlineStr">
        <is>
          <t>i4of0o</t>
        </is>
      </c>
      <c r="B1984" t="inlineStr">
        <is>
          <t>Eyelid twitching and pain</t>
        </is>
      </c>
      <c r="C1984" t="inlineStr">
        <is>
          <t>I am a 23yo male and have TMJ which includes nerve pain underneath my eyes. Foolishly I started rubbing and pulling my eyelids as this seemed to provide some temporary relief. I realise now this is probably not the best thing to do. Well now I have a sort of eyelid pain when my eyes are open. When I close them they start twitching and feel quite uncomfortable. Does anyone know what I possibly have done to my eyelids and whether I can do anything about it? Thanks</t>
        </is>
      </c>
      <c r="D1984" t="n">
        <v>1</v>
      </c>
      <c r="E1984" t="n">
        <v>0</v>
      </c>
      <c r="F1984">
        <f>HYPERLINK("https://www.reddit.com/r/eyetriage/comments/i4of0o/eyelid_twitching_and_pain/")</f>
        <v/>
      </c>
      <c r="G1984" t="inlineStr">
        <is>
          <t>2020-08-06 02:09:29</t>
        </is>
      </c>
      <c r="H1984" t="inlineStr"/>
    </row>
    <row r="1985">
      <c r="A1985" t="inlineStr">
        <is>
          <t>i4pozf</t>
        </is>
      </c>
      <c r="B1985" t="inlineStr">
        <is>
          <t>Color saturation in both eyes</t>
        </is>
      </c>
      <c r="C1985" t="inlineStr">
        <is>
          <t>Since 2018 I noticed both eyes perceive colors slightly different, my left while my right is closed sees colder colors, and my right warmer brighter colors. This doesn’t appear consistent to optic neuritis.
I’ve had TONS of tests done bu multiple ophtalmologist, retina specialist and neurologist no one could find anything wrong with my eyeS or brain
I had :
2 MRIs all clean no lesions or anything , VEP test, checks on my visiul field, no issues in my macula and in both eyes I have a bit of pigment clump since I was a kid I am 30 now. I don’t have retinitis pigmentosa, but I am a carrier of choroideremia. Still all doctors tell me this has nothign to do with this visual effect. I have been checked multiple times for cataracts, and macula issues and so far my eyes are healthy despite of me being a carrier of choroideremia. 
In 2018 I had a vaccine I was allergic to, and is when my vision issues started as well as stress. They never proved it but believed there was swelling of the optic nerve as a reaction to the vaccine. My vision eventually got better, and since doing vision therapy I sometimes notice my left eye color difference is gone, sometimes back.
I do have binocular issues problems slight misalingment being corrected in vision therapy, I have no idea when this started
My neuro opticien ran several tests including one where he looked at the surface of the back of my eyes like this 3D model  and saw that the back of my left eye is not that perfect as my right, not that its a problem just he said this might be why the image quality is not as nice than in my right. Keep in mind even with binocular misalignment I still have 20/20 vision. The neuro opticien mentioned maybe is because when I see through my left and close my right eye and my right is my dominant eye maybe that’s why the darker vision of the cover eye overalps and causes the color difference. True vision therapy i found out indeed my brain sometimes takes over the image of my right eye and suppressed input from the left a little bit 
What do you think? I’ve seen really multiple specialists and no one can give me an answer, they ruled out all possible sinester things to my eye and brain. 
Overall my vision is okay, I just always get so much anxiety by this color difference I seem to perceive on and off, don’t know if it was always like this and I just never noticed until in 2018 I became obsessed wi the my eyes</t>
        </is>
      </c>
      <c r="D1985" t="n">
        <v>1</v>
      </c>
      <c r="E1985" t="n">
        <v>1</v>
      </c>
      <c r="F1985">
        <f>HYPERLINK("https://www.reddit.com/r/eyetriage/comments/i4pozf/color_saturation_in_both_eyes/")</f>
        <v/>
      </c>
      <c r="G1985" t="inlineStr">
        <is>
          <t>2020-08-06 03:59:16</t>
        </is>
      </c>
      <c r="H1985" t="inlineStr"/>
    </row>
    <row r="1986">
      <c r="A1986" t="inlineStr">
        <is>
          <t>i4sjdb</t>
        </is>
      </c>
      <c r="B1986" t="inlineStr">
        <is>
          <t>Sudden double vision</t>
        </is>
      </c>
      <c r="C1986" t="inlineStr">
        <is>
          <t>17 male 
I started having occasional double vision around 2 months ago,my right eye drifts outward whenever I see double,this is not constant atm and I've only noticed it happening with my right eye,I have very high nearsightedness,around -11 or so 
I looked it up on Google and I'm obviously scared now(brain tumor,stroke etc etc ),what is this and what could be causing his problem..?</t>
        </is>
      </c>
      <c r="D1986" t="n">
        <v>1</v>
      </c>
      <c r="E1986" t="n">
        <v>7</v>
      </c>
      <c r="F1986">
        <f>HYPERLINK("https://www.reddit.com/r/eyetriage/comments/i4sjdb/sudden_double_vision/")</f>
        <v/>
      </c>
      <c r="G1986" t="inlineStr">
        <is>
          <t>2020-08-06 07:13:59</t>
        </is>
      </c>
      <c r="H1986" t="inlineStr"/>
    </row>
    <row r="1987">
      <c r="A1987" t="inlineStr">
        <is>
          <t>i515xb</t>
        </is>
      </c>
      <c r="B1987" t="inlineStr">
        <is>
          <t>Second times the charm - silver lines and zig zaggers and spots that move really fast - definitively not floaters!</t>
        </is>
      </c>
      <c r="C1987" t="inlineStr">
        <is>
          <t xml:space="preserve"> 
No, they are not floaters. They form, and like a train, they pass through my vision at some point, and then vanish, poof.
I have issues with Hypertensive Retinopathy and CWS and BP, so I am more aware about things happening as of late.
The floaters I have, I can see, and they are large, worm like, wriggly and when I look straight forward, they don't move.
These   specks of bright silver, almost magical looking, some interesting   colour and intense brightness they carry, these tiny specks are about a   milimeter in thickness, and vary from lengths of a "pin needle tip" to a   length of an actual train, 2-3 millimeters.
That   they also move irregularly, but on a path, makes me think these are   actually blood vessels, and I am intense distress and fear that what I   see is the same you see when you see "stars in your eyes", blood cells   and stuff moving through your retinal blood vessels... and because they   sometimes seem to "struggle through, to push", every time I see one I   think there might be another devastating infarct causing clogging just   around the corner, because it's frightening enough to learn that "seeing   stars" is actually stuff in your blood vessels moving and rummaging   around, so seeing one move reaaaally slow, like Thomas the Tank engine   trying to get up that hill, that is REALLY, REALLY scary.
Several   ophthalmologists have looked at the eye, confirmed very subtle  arterial  crossing \[what the duck ever they mean with that, you can  never get an  answer that does not make you anxious and scared to  death!!!\], always  reconfirming that bsed retinoschisis that this  blessed god of ours  bestowed onto the innocent and helpless me, and  every time they examine  with the slit lamp and diluted eyes, I can see  the little tiny black  dots, for a split second, in each eye, where I  have lost vision and have  "black holes".
Those   black holes, absorb the object I am looking at it, and what I get is,   silvery white stuff in the middle, that replaces the object i look at,   and then a "wormhole" effect, that is grey-black and silverish, and   outside that sharp, round outline, normal vision reappears.
So   it's not what people may think, a destroyed spot on your retina  causing  "black spots", like looking into a black hole, or having black   splotches in your vision, no. Only when they point the slitlamp  straight  at you, and you can see your own blood vessels in your eyes,  then I see  tiny, microscopic black holes or "ruptures" in the exact  same spot of  the "missing vision" patches.
What's   really distressing is that there is no answer from a doctor, they all   say "if you get blood pressure controlled it goes away". Now my blood   pressure is an average of 122/78, and even when gaming or exercising,   doesn't go above 135/89 anymore, like it used to, for short moments, I   even have low BP of 116/72, and when laying down, 116/72-78 and even   lower.
The  vision problems  persisted and only one doctor has asked me "can you  live with that?"  and I was going to say no, but smiled and said "i  guess". But no, this  is taking my life force away from me, demotivates  me, and is a  neverending spiral of seeing every dot in my vision, every  blink, every  tiny white speck of light, as a new infarct that destroys  my eyes. I  have lost lots of motivation, gained depression, and I eat  several  psychoactive medications, with Benzodiazepine being the icing on  the  cake, I just feel like knocking out cold when it's really bad and I   head to take a benzo, and go to sleep, for a whole day, and can do   nothing, nothing, nothing at all, no work, not even feed myself,   sometimes, nothing.
I  see no  point in psychotherapy or other help, because I am losing my  blessed  vision! I had vision since I was born, and I am losing  it, at 30ish, I  was hoping to still be a "gamer grandpa" and not  devastated by an  illness I have no control over, and that noone can help  me treat.
There's   got to be someone with the same symptoms, but every time I read, I see   the blessed "floaters floaters what you see are floaters", I know how  they look, floaters are  mostly harmless, I don't give 5 cents about  floaters, what I see is DIFFERENT!
I   need to know what these squiggly clogging up silver light lines are   that pop up in my vision when I look at my monitor, or the sky, and what   the Professionals, the Doctors and Professors think and know about   this, there has to be some literature that explains what this is!
Sorry for the cursing, but I am carrying this around with me since MARCH now! And no resolution!</t>
        </is>
      </c>
      <c r="D1987" t="n">
        <v>1</v>
      </c>
      <c r="E1987" t="n">
        <v>6</v>
      </c>
      <c r="F1987">
        <f>HYPERLINK("https://www.reddit.com/r/eyetriage/comments/i515xb/second_times_the_charm_silver_lines_and_zig/")</f>
        <v/>
      </c>
      <c r="G1987" t="inlineStr">
        <is>
          <t>2020-08-06 14:55:37</t>
        </is>
      </c>
      <c r="H1987" t="inlineStr"/>
    </row>
    <row r="1988">
      <c r="A1988" t="inlineStr">
        <is>
          <t>i545e4</t>
        </is>
      </c>
      <c r="B1988" t="inlineStr">
        <is>
          <t>What do you docs think about a pt being on Inveltys for 4 months.</t>
        </is>
      </c>
      <c r="C1988" t="inlineStr">
        <is>
          <t>I worry about being on a steroid so long. I was seeing the doc every two weeks, but now it’s 10 weeks until I have an appt.  if I’m being paranoid just let me know.  It’s twice a day for GVHD.</t>
        </is>
      </c>
      <c r="D1988" t="n">
        <v>1</v>
      </c>
      <c r="E1988" t="n">
        <v>2</v>
      </c>
      <c r="F1988">
        <f>HYPERLINK("https://www.reddit.com/r/eyetriage/comments/i545e4/what_do_you_docs_think_about_a_pt_being_on/")</f>
        <v/>
      </c>
      <c r="G1988" t="inlineStr">
        <is>
          <t>2020-08-06 17:53:20</t>
        </is>
      </c>
      <c r="H1988" t="inlineStr"/>
    </row>
    <row r="1989">
      <c r="A1989" t="inlineStr">
        <is>
          <t>i549y9</t>
        </is>
      </c>
      <c r="B1989" t="inlineStr">
        <is>
          <t>insane eye pain</t>
        </is>
      </c>
      <c r="C1989" t="inlineStr">
        <is>
          <t>I’ve been having insane on and off right eye pain(burning aching pain that sometimes gives me headaches) since Monday night. Got my eye checked by ophto Wed morning and he said that there was a bit of inflammation going on in the left corner of that eye. Pressure was 16 in left and 23 in right- doc said that those pressures are fine for my eyes and are being controlled by Timolol and Lotanopost. Having the same pains tonight off and on with a bit of a headahce off and on.
Was being tapered off of Lotemax to 3 days a week, but was put on back on lotemax 4x/ day yesterday for the inflammation and was told to use it 2 times, starting today, for a week and then once a day the following week.
My follow up with him is on the 20th but my eye is having that burning/ stinging pain again tonight. I don’t think I’ve noticed any changes in vision.
I’m 21, Have a history of herpes keratitis and am an insane steroid responder.
Could it be another flare up in the making or could this be a pressure problem? or could it be rebound inflammation from the lotemax I was being tapered off of?
Should I just wait to the 20th since it’s pretty close or come in again for an emergency visit Monday?</t>
        </is>
      </c>
      <c r="D1989" t="n">
        <v>1</v>
      </c>
      <c r="E1989" t="n">
        <v>2</v>
      </c>
      <c r="F1989">
        <f>HYPERLINK("https://www.reddit.com/r/eyetriage/comments/i549y9/insane_eye_pain/")</f>
        <v/>
      </c>
      <c r="G1989" t="inlineStr">
        <is>
          <t>2020-08-06 18:01:52</t>
        </is>
      </c>
      <c r="H1989" t="inlineStr"/>
    </row>
    <row r="1990">
      <c r="A1990" t="inlineStr">
        <is>
          <t>i5m180</t>
        </is>
      </c>
      <c r="B1990" t="inlineStr">
        <is>
          <t>Wearing contacts at night and prescription</t>
        </is>
      </c>
      <c r="C1990" t="inlineStr">
        <is>
          <t>So long story short I used to wear my contacts at night for a few years, only taking them out when I put new ones in. Horrible idea, I know. I was just some lazy stupid college kid. About 2 months ago I decided that was a bad idea and put on my glasses and went to get an eye exam. I've been wearing glasses since then. My question is, will my prescription be different today than it was 2 months ago because I was wearing my contacts so much and now I'm not at all? I want to order a new set of glasses with that prescription, but I'm not sure if I should get a new eye exam or not. 
Again, I know it was incredibly dumb to wear my contacts constantly, even to bed. I apologize to the eye gods</t>
        </is>
      </c>
      <c r="D1990" t="n">
        <v>1</v>
      </c>
      <c r="E1990" t="n">
        <v>1</v>
      </c>
      <c r="F1990">
        <f>HYPERLINK("https://www.reddit.com/r/eyetriage/comments/i5m180/wearing_contacts_at_night_and_prescription/")</f>
        <v/>
      </c>
      <c r="G1990" t="inlineStr">
        <is>
          <t>2020-08-07 14:00:52</t>
        </is>
      </c>
      <c r="H1990" t="inlineStr"/>
    </row>
    <row r="1991">
      <c r="A1991" t="inlineStr">
        <is>
          <t>i5r0qp</t>
        </is>
      </c>
      <c r="B1991" t="inlineStr">
        <is>
          <t>Can floaters indicate uveitis</t>
        </is>
      </c>
      <c r="C1991" t="inlineStr">
        <is>
          <t>I have noticed what seems like significantly more floaters than I used to have. In the past I would notice a couple from time to time, but now since a few weeks ago I am aware of 10+ distinct floaters, some clear strings and some darker blobs, here is a representation of them: [https://imgur.com/a/89q2sfq](https://imgur.com/a/89q2sfq)
Could this be an indication of uveitis? I'm trying to find out what could have caused them, I'm 26, don't wear glasses and my vision is otherwise normal.</t>
        </is>
      </c>
      <c r="D1991" t="n">
        <v>1</v>
      </c>
      <c r="E1991" t="n">
        <v>9</v>
      </c>
      <c r="F1991">
        <f>HYPERLINK("https://www.reddit.com/r/eyetriage/comments/i5r0qp/can_floaters_indicate_uveitis/")</f>
        <v/>
      </c>
      <c r="G1991" t="inlineStr">
        <is>
          <t>2020-08-07 19:07:49</t>
        </is>
      </c>
      <c r="H1991" t="inlineStr"/>
    </row>
    <row r="1992">
      <c r="A1992" t="inlineStr">
        <is>
          <t>i5t7n5</t>
        </is>
      </c>
      <c r="B1992" t="inlineStr">
        <is>
          <t>Myopic degeneration? What should I do? (M-31)</t>
        </is>
      </c>
      <c r="C1992" t="inlineStr">
        <is>
          <t>Male, age 31. I grew up with severe myopia. I had cataract surgery a year ago in both eyes. Last month, I had a YAG capsulotomy in my left eye because everything was getting blurry. I finally had 20/20 vision for the first time.
Fast forward to yesterday. Out of nowhere I kept seeing a flash in my left eye. Like when you get your picture taken and the flash lingers. Only this didn't go away. It's been 20 hours or so now. It's in the middle of my vision and straight lines are wavy. Like if I were to look at the grid that they tell you to look at online, the lines are wavy.
Could this be anything else besides myopic degeneration? I have an appointment on Monday with a retinal center to check. If so, what happens next? I just want to be able to see straight lines again lol.</t>
        </is>
      </c>
      <c r="D1992" t="n">
        <v>1</v>
      </c>
      <c r="E1992" t="n">
        <v>4</v>
      </c>
      <c r="F1992">
        <f>HYPERLINK("https://www.reddit.com/r/eyetriage/comments/i5t7n5/myopic_degeneration_what_should_i_do_m31/")</f>
        <v/>
      </c>
      <c r="G1992" t="inlineStr">
        <is>
          <t>2020-08-07 21:47:35</t>
        </is>
      </c>
      <c r="H1992" t="inlineStr"/>
    </row>
    <row r="1993">
      <c r="A1993" t="inlineStr">
        <is>
          <t>i5wgkp</t>
        </is>
      </c>
      <c r="B1993" t="inlineStr">
        <is>
          <t>(Possible) Allergic Conjunctivitis Won’t Go Away</t>
        </is>
      </c>
      <c r="C1993" t="inlineStr">
        <is>
          <t>I’ve been having an extremely annoying issue with my eyes for forever now, and was wondering if anyone had any insight.
For months now I have been experiencing the following symptoms:
- Excess eye crust after waking up
- A lot of yellow-y eye mucus 
- Random burning sensations 
- Always irritates eyes 
These symptoms seem to worsen at night, and I’ve tried a myriad of eye drops. The first and second time I went to the doctor, I was told I likely needed to try some medication like lotemax and that this was powerful, and should do away with my symptoms. After I ran out of this medication my parents bought me pataday, and other miscellaneous eye drops. All over the counter. None seemed to help. 
I went back to the same doctor and he once again prescribed these same meds. He said I was likely allergic to something in my home and that my symptoms indicate this reaction was due to an allergen. But he obviously didn’t know what. I’m going to college (depending on COVID) in the fall and he wanted me to see whenever my symptoms were better away from home.
That’s fine and all but I cannot stand this feeling any longer, and I can’t bear to think about forever being in discomfort while at home. Is there a way to find out what exactly is causing my eyes to do such a thing? 
I don’t remember any big changes happening to our living space at the onset date. 
NOTE: I do nightly washes with saline to get out any mucus 
Please please help this is awful</t>
        </is>
      </c>
      <c r="D1993" t="n">
        <v>1</v>
      </c>
      <c r="E1993" t="n">
        <v>0</v>
      </c>
      <c r="F1993">
        <f>HYPERLINK("https://www.reddit.com/r/eyetriage/comments/i5wgkp/possible_allergic_conjunctivitis_wont_go_away/")</f>
        <v/>
      </c>
      <c r="G1993" t="inlineStr">
        <is>
          <t>2020-08-08 02:37:14</t>
        </is>
      </c>
      <c r="H1993" t="inlineStr"/>
    </row>
    <row r="1994">
      <c r="A1994" t="inlineStr">
        <is>
          <t>i5ymh8</t>
        </is>
      </c>
      <c r="B1994" t="inlineStr">
        <is>
          <t>Neurosensory Detachments / CSCR Long term effects and treatment?</t>
        </is>
      </c>
      <c r="C1994" t="inlineStr">
        <is>
          <t>hi everyone, hope you all are safe and well during these times. 
i suffer from Neurosensory Detachments. this my 3rd one in the last 10 years. i haven't seen my doctor yet, but at this point i know what's coming. can anyone offer treatment or any new thoughts on long term effects? it's been about 4 years since my last one, and im becoming more concerned that i could lose my vision. is there any medication on the horizon? i can't remember if i was prescribed prednisone, and i won't be able to check in with my doctor until Monday. Anything you can share would be super appreciated.
thanks so much!</t>
        </is>
      </c>
      <c r="D1994" t="n">
        <v>1</v>
      </c>
      <c r="E1994" t="n">
        <v>5</v>
      </c>
      <c r="F1994">
        <f>HYPERLINK("https://www.reddit.com/r/eyetriage/comments/i5ymh8/neurosensory_detachments_cscr_long_term_effects/")</f>
        <v/>
      </c>
      <c r="G1994" t="inlineStr">
        <is>
          <t>2020-08-08 05:52:57</t>
        </is>
      </c>
      <c r="H1994" t="inlineStr"/>
    </row>
    <row r="1995">
      <c r="A1995" t="inlineStr">
        <is>
          <t>i5yprc</t>
        </is>
      </c>
      <c r="B1995" t="inlineStr">
        <is>
          <t>Is it possible to have just floaters if there is a retinal tear or hole?</t>
        </is>
      </c>
      <c r="C1995" t="inlineStr">
        <is>
          <t>Like for example, no flashes or curtains, just floaters.</t>
        </is>
      </c>
      <c r="D1995" t="n">
        <v>1</v>
      </c>
      <c r="E1995" t="n">
        <v>7</v>
      </c>
      <c r="F1995">
        <f>HYPERLINK("https://www.reddit.com/r/eyetriage/comments/i5yprc/is_it_possible_to_have_just_floaters_if_there_is/")</f>
        <v/>
      </c>
      <c r="G1995" t="inlineStr">
        <is>
          <t>2020-08-08 05:59:56</t>
        </is>
      </c>
      <c r="H1995" t="inlineStr"/>
    </row>
    <row r="1996">
      <c r="A1996" t="inlineStr">
        <is>
          <t>i6jby0</t>
        </is>
      </c>
      <c r="B1996" t="inlineStr">
        <is>
          <t>Corneal abrasion, pupil super dilated.</t>
        </is>
      </c>
      <c r="C1996" t="inlineStr">
        <is>
          <t>So I received a corneal abrasion about 5 days ago. The doctor said it goes right across the pupil. The pain/light sensitivity is getting better, but it’s still super blurry. This was expected, but one thing is that my pupil is super dilated compared to the other one. Is this normal/will it go away? Just having a moment of panic that I’ll permanently have one super dilated pupil, though I believe it’s mostly just in my head.</t>
        </is>
      </c>
      <c r="D1996" t="n">
        <v>1</v>
      </c>
      <c r="E1996" t="n">
        <v>15</v>
      </c>
      <c r="F1996">
        <f>HYPERLINK("https://www.reddit.com/r/eyetriage/comments/i6jby0/corneal_abrasion_pupil_super_dilated/")</f>
        <v/>
      </c>
      <c r="G1996" t="inlineStr">
        <is>
          <t>2020-08-09 06:28:46</t>
        </is>
      </c>
      <c r="H1996" t="inlineStr"/>
    </row>
    <row r="1997">
      <c r="A1997" t="inlineStr">
        <is>
          <t>i6k7yi</t>
        </is>
      </c>
      <c r="B1997" t="inlineStr">
        <is>
          <t>Can intermittent exotropia turn into constant exotropia..?</t>
        </is>
      </c>
      <c r="C1997" t="inlineStr">
        <is>
          <t>18 male 
Existing conditions-high myopia -11 in left eye and -13 in right eye 
Ive been having occasional double vision for about 2 months now and I've noticed that my right eye wanders off,so ig I have intermittent exotropia,can this maybe later become a constant problem..?</t>
        </is>
      </c>
      <c r="D1997" t="n">
        <v>1</v>
      </c>
      <c r="E1997" t="n">
        <v>0</v>
      </c>
      <c r="F1997">
        <f>HYPERLINK("https://www.reddit.com/r/eyetriage/comments/i6k7yi/can_intermittent_exotropia_turn_into_constant/")</f>
        <v/>
      </c>
      <c r="G1997" t="inlineStr">
        <is>
          <t>2020-08-09 07:28:19</t>
        </is>
      </c>
      <c r="H1997" t="inlineStr"/>
    </row>
    <row r="1998">
      <c r="A1998" t="inlineStr">
        <is>
          <t>i6ndzo</t>
        </is>
      </c>
      <c r="B1998" t="inlineStr">
        <is>
          <t>I had a test for glaucoma in May and have recently started seeing floaters and flashes. Is this a cause for concern?</t>
        </is>
      </c>
      <c r="C1998" t="inlineStr">
        <is>
          <t>23M, 5’10”, ~180 lb, history of epilepsy
I had an eye exam for glaucoma back in May and in the recent couple of weeks I’ve started seeing floaters (light and occasionally dark black) and seeing camera flashes in my periphery (not super frequent) which are associated with retinal detachment according to my research. Also sometimes when I open my eyes at night I see black flashes that look like I’m blinking my eyes really fast, but they stop after a few seconds. I read and stare at screens a lot for my school work.
Would he have seen something wrong in that exam or is it something you have to do a specific exam to see? All he did was put some drops in my eyes and shone a light that looks like a vertical bar into each eye and said everything looked fine.</t>
        </is>
      </c>
      <c r="D1998" t="n">
        <v>1</v>
      </c>
      <c r="E1998" t="n">
        <v>5</v>
      </c>
      <c r="F1998">
        <f>HYPERLINK("https://www.reddit.com/r/eyetriage/comments/i6ndzo/i_had_a_test_for_glaucoma_in_may_and_have/")</f>
        <v/>
      </c>
      <c r="G1998" t="inlineStr">
        <is>
          <t>2020-08-09 10:37:04</t>
        </is>
      </c>
      <c r="H1998" t="inlineStr"/>
    </row>
    <row r="1999">
      <c r="A1999" t="inlineStr">
        <is>
          <t>i6xnei</t>
        </is>
      </c>
      <c r="B1999" t="inlineStr">
        <is>
          <t>Pink eye Dendrites/pseudodendrites</t>
        </is>
      </c>
      <c r="C1999" t="inlineStr">
        <is>
          <t>Just posting because I am very anxious and don't see the opthalmologist until Wednesday and my vision has become more constantly blurry this weekend. Any info/advice is appreciated.
I saw an optometrist Thursday, and she diagnosed me with dendrites or pseudodendrites with possible early ulceration in my right eye. Can only be seen under magnification. (I was difficult to properly diagnose because I could hardly keep my damn eye open and from rolling back despite holding my lid open)
She tried prescribing antiviral drops, but they are no longer available in Canada. She was hesitant to prescribe oral antivirals without the input from the opthalmologist. She recommended continuing polysporin eye drops as a prophylactic to prevent a secondary bacterial infection. 
The optometrist really wanted me to see an opthalmologist on Friday, (day after the appointment with her) but it wasn't possible. The absolute earliest I could get was this coming Wednesday. 
What would an opthalmologist do that an optometrist can't? Will my vision be permanently affected?
Should I go to the hospital to see if they can get me in to see the opthalmologist earlier (Im not even sure that's a possibility)
History:
26yo female. 
Past history of dry eyes (dismissed by my regular optometrist) multiple occurances of allergic conjunctivitis affecting the right eye worse (makeup triggered).
No contacts, and haven't worn makeup for over a month.
I have had pink eye symptoms for 13 days now.
Got it two days after gastro/food poisoning with a horrible fever.
At first, the eye had increased tear production, lots of warm, itchy irritation and some discharge (minimal - usually only in the morning). Seemed like run of the mill conjunctivitis.
After the first two days, the inner corner of my eyelids started to have some swelling, and the water line of my lower lid had a small raw patch near the tear duct. Some of the ?meibomian? ducts along the water line were a bit swollen. 
From the beginning, I used Refresh eye gel which helped to clear up discharge in the morning. I also used a cotton swab with eye drops on it to clean up my eyelashes and the corner of my eye so I would minimise touching it.
The eyelid swelling and tear production cleared up by the end of week 1, but I developed deep pain and light sensitivity with a little bit of blurriness.
At that time, I went and bought the polysporin eye drops just in case/to see if it would speed along the resolution of my symptoms. The pharmacist told me to make an appointment with the optometrist.
Over the weekend, the blurriness of the vision worsened and the tear production has dropped since Friday meaning my eyes are constantly dry and in need of artificial tears/gel. 
To my knowledge, I have never had herpes simplex - never had cold sores, genital sores.
I didn't have any kind of rash near the eye or forhead at any point before or during this ordeal.
I also havent had any symptoms of shingles, and am not in the at risk age group.</t>
        </is>
      </c>
      <c r="D1999" t="n">
        <v>1</v>
      </c>
      <c r="E1999" t="n">
        <v>1</v>
      </c>
      <c r="F1999">
        <f>HYPERLINK("https://www.reddit.com/r/eyetriage/comments/i6xnei/pink_eye_dendritespseudodendrites/")</f>
        <v/>
      </c>
      <c r="G1999" t="inlineStr">
        <is>
          <t>2020-08-09 20:49:22</t>
        </is>
      </c>
      <c r="H1999" t="inlineStr"/>
    </row>
    <row r="2000">
      <c r="A2000" t="inlineStr">
        <is>
          <t>i6xr06</t>
        </is>
      </c>
      <c r="B2000" t="inlineStr">
        <is>
          <t>Concerned about post cataract surgery</t>
        </is>
      </c>
      <c r="C2000" t="inlineStr">
        <is>
          <t>I had a cataract removed 3 days ago. The lens i chose was the Monofocal that lets me have clear vision for things up close like staring at a computer screen, so like one feet away everything is clear and i’ll need glasses for distance. However, is it normal that anything closer than 1ft is still blurry to that eye? My left eye is the good eye 20/20 vision, my right eye is the one that had surgery. 
Its weird looking through both eyes when staring at anything closer than 1ft, my left eye being clear and the right is making things look disoriented it makes me dizzy as if im crossing my eyes, which also makes it hard to walking around. Yesterday the doctor said everything is healing great but i thought since everything was already clear 1ft away, closer things would also be clear but its not. 
Im assuming its too early to judge my new vision, but it was just a concern since i could already see crystal clear 1ft away so quickly. I plan to ask him about it next week when i see him again but i came here just to seek some quick advice or if anyone has some input. Thank you.</t>
        </is>
      </c>
      <c r="D2000" t="n">
        <v>1</v>
      </c>
      <c r="E2000" t="n">
        <v>2</v>
      </c>
      <c r="F2000">
        <f>HYPERLINK("https://www.reddit.com/r/eyetriage/comments/i6xr06/concerned_about_post_cataract_surgery/")</f>
        <v/>
      </c>
      <c r="G2000" t="inlineStr">
        <is>
          <t>2020-08-09 20:56:37</t>
        </is>
      </c>
      <c r="H2000" t="inlineStr"/>
    </row>
    <row r="2001">
      <c r="A2001" t="inlineStr">
        <is>
          <t>i6zqxd</t>
        </is>
      </c>
      <c r="B2001" t="inlineStr">
        <is>
          <t>Is it possible to have posterior vitreous detachment at age 15?</t>
        </is>
      </c>
      <c r="C2001" t="inlineStr">
        <is>
          <t>I get Migraines with aura, but aside from that, im getting floaters and flashes every day. Is it more likely to be a retinal detachment or a PVD?</t>
        </is>
      </c>
      <c r="D2001" t="n">
        <v>1</v>
      </c>
      <c r="E2001" t="n">
        <v>4</v>
      </c>
      <c r="F2001">
        <f>HYPERLINK("https://www.reddit.com/r/eyetriage/comments/i6zqxd/is_it_possible_to_have_posterior_vitreous/")</f>
        <v/>
      </c>
      <c r="G2001" t="inlineStr">
        <is>
          <t>2020-08-09 23:33:06</t>
        </is>
      </c>
      <c r="H2001" t="inlineStr"/>
    </row>
    <row r="2002">
      <c r="A2002" t="inlineStr">
        <is>
          <t>i757mw</t>
        </is>
      </c>
      <c r="B2002" t="inlineStr">
        <is>
          <t>Is it ok for dilating drops to be applied to the eyes of someone on an SSRI?</t>
        </is>
      </c>
      <c r="C2002" t="inlineStr">
        <is>
          <t>Hi, 
Just had an eye appointment where my eyes were dilated but I forgot to mention that I’m on an SSRI (which causes mild dilation). I’m a little worried about it now. Should I call my doctor or is this nothing to worry about?</t>
        </is>
      </c>
      <c r="D2002" t="n">
        <v>1</v>
      </c>
      <c r="E2002" t="n">
        <v>2</v>
      </c>
      <c r="F2002">
        <f>HYPERLINK("https://www.reddit.com/r/eyetriage/comments/i757mw/is_it_ok_for_dilating_drops_to_be_applied_to_the/")</f>
        <v/>
      </c>
      <c r="G2002" t="inlineStr">
        <is>
          <t>2020-08-10 06:52:46</t>
        </is>
      </c>
      <c r="H2002" t="inlineStr"/>
    </row>
    <row r="2003">
      <c r="A2003" t="inlineStr">
        <is>
          <t>i76tp9</t>
        </is>
      </c>
      <c r="B2003" t="inlineStr">
        <is>
          <t>Occasional double vision and headache</t>
        </is>
      </c>
      <c r="C2003" t="inlineStr">
        <is>
          <t>Age 18 
Male 
Existing problem:high myopia -11 in left eye and -13 in right eye 
Problem:Occasional double vision and headache
Ive been experiencing occasional double vision and headache recently,I've also noticed that my right eye turns outward whenever I see double,the double vision is not very noticeable and doesn't happen every time my eye turns outward, blinking and refocusing my eye solves this problem
I've been experiencing headaches aswell, sometimes they are quite bad while other times they are not so bad,I've also noticed that they get very bad whenever I wake up after sleeping for a while,I experience throbbing like pain for a few seconds to a minute or two before my head goes back to Normal (this is scaring me the most),they are generally right sided only 
Headaches are not unusual or uncommon for me,I've been having bad headaches for years 
I also haven't had my eyes checked out for around 2-3 years 
One last question, could the reason behind my right eye turning outward be under corrected glasses and can these symptoms be caused by something serious..?</t>
        </is>
      </c>
      <c r="D2003" t="n">
        <v>1</v>
      </c>
      <c r="E2003" t="n">
        <v>4</v>
      </c>
      <c r="F2003">
        <f>HYPERLINK("https://www.reddit.com/r/eyetriage/comments/i76tp9/occasional_double_vision_and_headache/")</f>
        <v/>
      </c>
      <c r="G2003" t="inlineStr">
        <is>
          <t>2020-08-10 08:22:35</t>
        </is>
      </c>
      <c r="H2003" t="inlineStr"/>
    </row>
    <row r="2004">
      <c r="A2004" t="inlineStr">
        <is>
          <t>i77j2y</t>
        </is>
      </c>
      <c r="B2004" t="inlineStr">
        <is>
          <t>Small growth near tear duct?</t>
        </is>
      </c>
      <c r="C2004" t="inlineStr">
        <is>
          <t>Not me, but someone I know asked whether I could help. There's a small fleshly growth on the inside corner of her eye, near the tear duct. Almost just looks like extra flesh, maybe 1mm wide. Fwiw that eye has been slightly puffier than the other for a few years. Not obvious, it's very slight.
Any thoughts? Recommending she sees an eye doctor when she can schedule an appt.
Thank you!</t>
        </is>
      </c>
      <c r="D2004" t="n">
        <v>1</v>
      </c>
      <c r="E2004" t="n">
        <v>0</v>
      </c>
      <c r="F2004">
        <f>HYPERLINK("https://www.reddit.com/r/eyetriage/comments/i77j2y/small_growth_near_tear_duct/")</f>
        <v/>
      </c>
      <c r="G2004" t="inlineStr">
        <is>
          <t>2020-08-10 08:59:37</t>
        </is>
      </c>
      <c r="H2004" t="inlineStr"/>
    </row>
    <row r="2005">
      <c r="A2005" t="inlineStr">
        <is>
          <t>i7ck48</t>
        </is>
      </c>
      <c r="B2005" t="inlineStr">
        <is>
          <t>What is the name of this test I had during an optometrists exam? (Side by side switched to row 1 row2)</t>
        </is>
      </c>
      <c r="C2005" t="inlineStr">
        <is>
          <t>At the end of my optometrists exam there were two letters (I think big letters?) side by side; and then the optometrist moved the two from side by side, to one on top or above the other (not superimposed, but  row 1 row 2).
Then he asked when they were "the same". 
I probably didn't explain that well, and this happened last week so the details aren't as "clear" as they were immediately after; but does this part of the test have a name and what did it test for?
I can google too if given crumbs, but I tried that and failed. 
Thanks!!</t>
        </is>
      </c>
      <c r="D2005" t="n">
        <v>1</v>
      </c>
      <c r="E2005" t="n">
        <v>3</v>
      </c>
      <c r="F2005">
        <f>HYPERLINK("https://www.reddit.com/r/eyetriage/comments/i7ck48/what_is_the_name_of_this_test_i_had_during_an/")</f>
        <v/>
      </c>
      <c r="G2005" t="inlineStr">
        <is>
          <t>2020-08-10 13:12:14</t>
        </is>
      </c>
      <c r="H2005" t="inlineStr"/>
    </row>
    <row r="2006">
      <c r="A2006" t="inlineStr">
        <is>
          <t>i7di6m</t>
        </is>
      </c>
      <c r="B2006" t="inlineStr">
        <is>
          <t>Is waking up with blurry/distortion in vision, something to worry about?</t>
        </is>
      </c>
      <c r="C2006" t="inlineStr">
        <is>
          <t>I've been under a lot of stress at the minute and anxious, and its only sort of happened the last month,
When i wake up from my nights sleep, I tend to have really blurry vision, almost to the point where everything looks distorted.
Tends to go back to normal within minutes, i had an eye exam today, but didn't mention this to him,  and the doctor said my eyes were healthy.
I thought maybe dry eyes, but wouldn't the doctor pick that up?</t>
        </is>
      </c>
      <c r="D2006" t="n">
        <v>1</v>
      </c>
      <c r="E2006" t="n">
        <v>5</v>
      </c>
      <c r="F2006">
        <f>HYPERLINK("https://www.reddit.com/r/eyetriage/comments/i7di6m/is_waking_up_with_blurrydistortion_in_vision/")</f>
        <v/>
      </c>
      <c r="G2006" t="inlineStr">
        <is>
          <t>2020-08-10 13:59:51</t>
        </is>
      </c>
      <c r="H2006" t="inlineStr"/>
    </row>
    <row r="2007">
      <c r="A2007" t="inlineStr">
        <is>
          <t>i7zqdc</t>
        </is>
      </c>
      <c r="B2007" t="inlineStr">
        <is>
          <t>Could my opthamologist have missed a retina detachment?</t>
        </is>
      </c>
      <c r="C2007" t="inlineStr">
        <is>
          <t>Hello,
About a month ago I started seeing a lot of dark floaters with my right eye. They were static and were following my eye movements. And from then on I started noticing that I'm seeing really blurry with that eye when I put it under some stress.
I have been diagnosed with (nearsightedness I guess) +0.5 diopters in this same eye about a year ago.
It's important to mention that in the last 3 months my eyes were under a lot of pressure as I was studying for my graduation exams. I'm talking about 12+ hrs a day of computer time for three months. I know that it's bad at that time the exams looked more important than anything.
So with all these symptoms I went to an ophtamologist about two weeks ago and he told me that he doesn't find anything serious (I believe he was reffering to retinal detachment, as this was one his concerns when were talking on the phone prior to my eye examination), but he told me to keep an eye on my symptoms and if I were to begin to experience flashing to go to to a doctor ASAP.
I don't think I've experienced flashing since the exam, but I kind of feel that the vision in my right eye is getting more blurry. I could be imagining things, idk. I'm just worried.
Can you give me some advice? I can't go to the doctors' for another week because of personal reasons</t>
        </is>
      </c>
      <c r="D2007" t="n">
        <v>1</v>
      </c>
      <c r="E2007" t="n">
        <v>22</v>
      </c>
      <c r="F2007">
        <f>HYPERLINK("https://www.reddit.com/r/eyetriage/comments/i7zqdc/could_my_opthamologist_have_missed_a_retina/")</f>
        <v/>
      </c>
      <c r="G2007" t="inlineStr">
        <is>
          <t>2020-08-11 13:44:51</t>
        </is>
      </c>
      <c r="H2007" t="inlineStr"/>
    </row>
    <row r="2008">
      <c r="A2008" t="inlineStr">
        <is>
          <t>i838nc</t>
        </is>
      </c>
      <c r="B2008" t="inlineStr">
        <is>
          <t>Withdrawing from steroids?</t>
        </is>
      </c>
      <c r="C2008" t="inlineStr">
        <is>
          <t>Withdrawing from steroids??
Had been on tapering schedule of  lotemax 3 times/ week for a full week without any issues until symptoms started below.
sorry if it’s long... was trying to be as specific as possible.
**Started last Monday night(8/5)**: Intense burning aching pain in right eye that also caused insane headache but dissipated in about an hour
**Tues(8/6)**: those same symptoms on and off all day long 
**Wed(8/7)**: checked in with ophtho. He said there was a bit of inflammation going on in left corner of right eye- along nasal cavity. Was put on lotemax 4 times that day. And Twice a day for two weeks starting the following day.
**Thurs**:  had that extreme burning aching pain again, worst migraine of my life, heart racing, felt like I wanted to faint. Called doc on call and he said to put an extra drop of lotemax in for the night (total of 3 drops) and to come in to get it checked tomorrow just in case. But after I put in my second drop for the night, I felt completely fine so I didn’t do the third.
**Friday**: checked in with ophtho again and described symptoms of last night. Said there was a bit of inflammation going on still, but no break in epithelium of cornea or anything abnormal. He said it’s probably that I was having rebound inflammation/ was withdrawing from the steroids. Kept me on lotemax twice a day until my official follow up on the 20th.
**Since the weekend**, it’s been different like every day. I’ve been having on and off pain and headache. Some days  my eye feels great though. Other times, my eye feels like there’s this stabbing aching pain( like someone stabbed it with a small knife and left it in there) with a terrible headache. Steroids have helped a little but haven’t helped anymore as much as it did the previous days.
**Today** I had that pain, took a nap and it felt better, but then there’s been the lingering uncomfortable small aching feeling in my eye( like something might be in it). Really have  felt extremely aggravated all day bc of it for some reason and I’m never usually aggravated for anything.
Pressure was 21 in right eye on Friday. Controlled with timolol and lotanoprost as I am a steroid responder. 
I’m 21, Have a HX of herpes Keratitis in right eye. 
Is this truly symptoms of rebound inflammation/ withdrawing from steroids??? Or could something else be truly going on? Didn’t think withdrawing from steroids was a thing tbh lol, but it’s driving me absolutely NUTS. Feel like I just want to cry sometimes bc of how frustrating, uncomfortable and sometimes painful, it’s been and can’t really focus on anything while that’s going on.
Dont notice any changes in vision. There’s no redness or anything that I can see. 
Appointment is literally 8 days away and I’ve gone in twice last week already... should I just wait and tough it out at this point?? I just feel so uncomfortable.  Plz help😭😭</t>
        </is>
      </c>
      <c r="D2008" t="n">
        <v>1</v>
      </c>
      <c r="E2008" t="n">
        <v>5</v>
      </c>
      <c r="F2008">
        <f>HYPERLINK("https://www.reddit.com/r/eyetriage/comments/i838nc/withdrawing_from_steroids/")</f>
        <v/>
      </c>
      <c r="G2008" t="inlineStr">
        <is>
          <t>2020-08-11 17:02:25</t>
        </is>
      </c>
      <c r="H2008" t="inlineStr"/>
    </row>
    <row r="2009">
      <c r="A2009" t="inlineStr">
        <is>
          <t>i8gpd6</t>
        </is>
      </c>
      <c r="B2009" t="inlineStr">
        <is>
          <t>what type glasses are effective for preventing sunlight from entering the sides of your eyes?</t>
        </is>
      </c>
      <c r="C2009" t="inlineStr">
        <is>
          <t>I've read that Glasses with flat lenses like Wayfarers leave the sides of the eye unprotected from UV light
would glasses like aviators be effective for blocking sunlight entering the sides of your eyes, What other kind of glasses would be too?</t>
        </is>
      </c>
      <c r="D2009" t="n">
        <v>1</v>
      </c>
      <c r="E2009" t="n">
        <v>0</v>
      </c>
      <c r="F2009">
        <f>HYPERLINK("https://www.reddit.com/r/eyetriage/comments/i8gpd6/what_type_glasses_are_effective_for_preventing/")</f>
        <v/>
      </c>
      <c r="G2009" t="inlineStr">
        <is>
          <t>2020-08-12 09:19:11</t>
        </is>
      </c>
      <c r="H2009" t="inlineStr"/>
    </row>
    <row r="2010">
      <c r="A2010" t="inlineStr">
        <is>
          <t>i8yi1f</t>
        </is>
      </c>
      <c r="B2010" t="inlineStr">
        <is>
          <t>Conjuctival Nevus got smaller on its own.</t>
        </is>
      </c>
      <c r="C2010" t="inlineStr">
        <is>
          <t>Ive visited a few surgeons for surgical intervention for another issue, but they have never seen me specifically about my nevus so I figured I'd post here if this is something I should visit a doctor for.
I've had a conjunctival nevus since I was a kid (I believe age 13 or so). Im 26 now. 
Ive been getting slight discomfort in this eye, off and on, but Im pretty sure its just dry eye. Plus, I figured that if the surgeons noticed anything weird when examining my eye (for an iris repair), they would've said something.
I compared a before/after photo I took of the nevus 1 year apart, and it appears that it has changed size.
Wondering your thoughts. I've always heard of visiting a doctor if it grows larger but this looks like it got lighter.
https://imgur.com/a/aOOskex</t>
        </is>
      </c>
      <c r="D2010" t="n">
        <v>1</v>
      </c>
      <c r="E2010" t="n">
        <v>4</v>
      </c>
      <c r="F2010">
        <f>HYPERLINK("https://www.reddit.com/r/eyetriage/comments/i8yi1f/conjuctival_nevus_got_smaller_on_its_own/")</f>
        <v/>
      </c>
      <c r="G2010" t="inlineStr">
        <is>
          <t>2020-08-13 04:51:53</t>
        </is>
      </c>
      <c r="H2010" t="inlineStr"/>
    </row>
    <row r="2011">
      <c r="A2011" t="inlineStr">
        <is>
          <t>i8zxns</t>
        </is>
      </c>
      <c r="B2011" t="inlineStr">
        <is>
          <t>Muro 128</t>
        </is>
      </c>
      <c r="C2011" t="inlineStr">
        <is>
          <t xml:space="preserve"> 
I got corneal abrasion for the third time about a week ago, however, my doctor doesn't think I have recurrent corneal erosion and told me the scratch has completely healed.
The first time I got it is after I poked my eye with my finger one year ago, then after five months I switched from glasses to contact lenses and I wasn't careful with them, I slept with them one day and woke up with pain in my eye, the scratch has ripped open again. After that, I'd wake up some days and I'd feel like there's something bothering me in my eye but the feeling goes away after a few minutes. the third time happened was as I said last week, out of nowhere.
I'm scared if this is going to happen again, should I use Muro 128 nightly for a month at least to make sure this won't happen again? my doctor was going to make me use an ointment for a month but she changed her mind after she examined my eye, will it still be safe to use it?</t>
        </is>
      </c>
      <c r="D2011" t="n">
        <v>1</v>
      </c>
      <c r="E2011" t="n">
        <v>8</v>
      </c>
      <c r="F2011">
        <f>HYPERLINK("https://www.reddit.com/r/eyetriage/comments/i8zxns/muro_128/")</f>
        <v/>
      </c>
      <c r="G2011" t="inlineStr">
        <is>
          <t>2020-08-13 06:30:18</t>
        </is>
      </c>
      <c r="H2011" t="inlineStr"/>
    </row>
    <row r="2012">
      <c r="A2012" t="inlineStr">
        <is>
          <t>i901ss</t>
        </is>
      </c>
      <c r="B2012" t="inlineStr">
        <is>
          <t>Been having some eye problems for a few months now</t>
        </is>
      </c>
      <c r="C2012" t="inlineStr">
        <is>
          <t>Since lockdown kinda started in my country I’ve had sore eyes. Sometimes the pain is bad and sometimes it feels better. I believe I have dry eye and so I’ve been using drops daily. However I have also noticed my eyelids have been slightly swollen and there is some signs of blepharitis at the base of my eyelashes. 
I’ve tried all the recommended treatments for blepharitis (Heated eye mask, eyelid massage, cleaning with baby shampoo and wipes) but they don’t seem to help at all after many weeks. I’m wondering if my problems are allergy related and I’ve tried anti-histamines etc. I had a chalazion and a stye as well at one point on each eye. They’ve since cleared up. I spoke to my optician who gave me an antibiotic ointment to use on my eyes but I’ve finished the course of treatment and it hasn’t helped. 
I can provide  pictures of my eyes if that would help. Sorry for the long post but this whole saga has been going on for a while. Any thoughts/advice would be much appreciated. I’m going to see a different optician soon but due to Covid getting an appointment is taking a while. Thanks in advance.</t>
        </is>
      </c>
      <c r="D2012" t="n">
        <v>1</v>
      </c>
      <c r="E2012" t="n">
        <v>11</v>
      </c>
      <c r="F2012">
        <f>HYPERLINK("https://www.reddit.com/r/eyetriage/comments/i901ss/been_having_some_eye_problems_for_a_few_months_now/")</f>
        <v/>
      </c>
      <c r="G2012" t="inlineStr">
        <is>
          <t>2020-08-13 06:37:35</t>
        </is>
      </c>
      <c r="H2012" t="inlineStr"/>
    </row>
    <row r="2013">
      <c r="A2013" t="inlineStr">
        <is>
          <t>i9576f</t>
        </is>
      </c>
      <c r="B2013" t="inlineStr">
        <is>
          <t>When will my bad luck end? I am bound to become blind?</t>
        </is>
      </c>
      <c r="C2013" t="inlineStr">
        <is>
          <t xml:space="preserve"> I am highly myopic - my rx for my right eye is about -7.75 for right eye and about -9.5 for left eye with bilateral lattice degeneration. So I had 3 laser retinopexies in the last 4 months. I had first laser session about 4 months ago in april this year to seal a retinal hole on the superior portion of my retina in my left eye. This (atrophic) hole was symptomatic and was suspected that retinal fluid could pass through it and put me at higher risk of retinal detachment. The second laser retinopexy was done in the first week of July to seal „new suspicous areas of lattice degeneration placed inferiorly” in my left eye. I was told that I could still see flashes after my laser retinopexy but it is normal and no one can tell when they will dissappear and that I should book my appointment ASAP if they increase in number. But I was still concerned with my "new norm" because I was still getting a lot of flashes (like about 50 a day in my worst days) so after contemplating my issues for quite a long time I decided to book an appointment this time with different retinal specialist. The retina surgeon found I have an atrophic retinal hole with subretinal fluid at 11 o'clock, the area around the hole was detached albeit it was small and isolated and he was looking into my eye for several more minutes before deciding if I should have another retinopexy or schedule me for scleral buckling surgery. In the end he decided that he will do a laser retinopexy and he scheduled my check up appointment in 2 weeks to ensure that this area is stable and if not (God forbid) then scleral buckling will be my next step - he estimated my chances are at least 50% that the lasered area will hold successfully. Right now I am devastated with my situation I hope that I won't need further surgeries. My anxiety shot through the roof because I fear I may go blind in not so distant future. Why is this happening to me so **aggressively** ? I had no problems up until the last 6 months when I got first flashes. Vision is very important to me and the last atrophic hole needed a mere month to develop small amount of subretinal fluid and this was probably the most sinister finding in my whole life so far when it comes to eye health. I'm about to start 4th year of dental school and I enjoy the classes and do well in my degree but these events bring me worrying thoughts that I may not be able to continue my future career path because my vision may fail me in the future. Fortunately as of now I did not suffer from any vision loss and have corrected vision of 20/15 in both eyes but I don't know what to do right now. I'm planning to visit my retina specialist every 3 months (or earlier if I have suspicious symptoms). I think this is the only way to prevent any damage when it is in the beginning stages. I believed that the 6 month follow ups are enough but I suspect that I would experience a full blown retinal detachment in the near future if I waited any longer. On top of that I didn't even know that I have another atrophic hole that heightened significantly my risk of having RD because I didn't note any new significant symptoms other than my flashes which were arguably within my "new norm" range, no curtain, no new floaters besides that. I was thinking that rushing to my doctor's office two days ago would be an overkill but again my guess turned out to be right. Don't take this the wrong way I would like to finally be proven that my guess was not justified and that I don't have any new insidious retinal finding that puts me on the verge of having a retinal detachment. How I'm supposed to keep my sanity without this ruining my life?</t>
        </is>
      </c>
      <c r="D2013" t="n">
        <v>1</v>
      </c>
      <c r="E2013" t="n">
        <v>1</v>
      </c>
      <c r="F2013">
        <f>HYPERLINK("https://www.reddit.com/r/eyetriage/comments/i9576f/when_will_my_bad_luck_end_i_am_bound_to_become/")</f>
        <v/>
      </c>
      <c r="G2013" t="inlineStr">
        <is>
          <t>2020-08-13 11:20:32</t>
        </is>
      </c>
      <c r="H2013" t="inlineStr"/>
    </row>
    <row r="2014">
      <c r="A2014" t="inlineStr">
        <is>
          <t>i9rhsd</t>
        </is>
      </c>
      <c r="B2014" t="inlineStr">
        <is>
          <t>(19M) Floater obstructs vision, no improvement</t>
        </is>
      </c>
      <c r="C2014" t="inlineStr">
        <is>
          <t>I have a very long strand with a bunch of clumps around it that drifts around the central vision in my left eye. Floaters don't usually bother me but this one is just super annoying, it swings around and obstructs my view and hasn't improved in a month. It's also a lot more "clear" than the rest of my floaters and I can see it in way more lighting conditions than usual.
I'm think I might've always had this floater and it was in my peripheral vision, but I noticed it way more after I was hit a few times around the left eye and head with a possible concussion 5 months ago. I’m not sure if this caused/worsened the floaters or if I’ve always had it and it moved into my vision, just that I don’t remember having one this visible and obstructive in the past.
I saw my ophthalmologist last week (myopic with -4 OS/-4.25 OD) and I mentioned the trauma and floaters to the doctor. He just offhandedly said that the left eye looked fine and didn’t see any floaters. (I did have some retinal tears that got patched up in the right eye)
It’s been a little frustrating seeing no real improvement with the floater when both the optometrist and ophthalmologist says they go away over time. Is it common for trauma to cause/worsen floaters without retinal damage and PVD, or maybe even move old floaters into view? Am I just screwed and do I have to deal with this obstructing my vision forever, or will it actually go away over time?</t>
        </is>
      </c>
      <c r="D2014" t="n">
        <v>1</v>
      </c>
      <c r="E2014" t="n">
        <v>7</v>
      </c>
      <c r="F2014">
        <f>HYPERLINK("https://www.reddit.com/r/eyetriage/comments/i9rhsd/19m_floater_obstructs_vision_no_improvement/")</f>
        <v/>
      </c>
      <c r="G2014" t="inlineStr">
        <is>
          <t>2020-08-14 11:32:57</t>
        </is>
      </c>
      <c r="H2014" t="inlineStr"/>
    </row>
    <row r="2015">
      <c r="A2015" t="inlineStr">
        <is>
          <t>i9udfp</t>
        </is>
      </c>
      <c r="B2015" t="inlineStr">
        <is>
          <t>Which Lenses Are Best for Me?</t>
        </is>
      </c>
      <c r="C2015" t="inlineStr">
        <is>
          <t xml:space="preserve"> Hello,
Not sure if this is the best forum for this but thought I'd give it a shot. First, a little background:  I've worn glasses since I was 3 years old (32 years total) so at this point in my life, I have a good idea of what works for me. That said, I'm open to an unbiased opinion.
Whenever I update my glasses, I typically purchase two pairs: everyday use and sun glasses. For the everyday use, I typically use a digital (or HD...forgive my ignorance of the marketing vs. practical term) high index lenses (1.74). Same applies for the sunglasses although I have been told the highest refractive index available to me for polarized lenses is 1.67.
Am I making the right choices here? Should I consider something different?
When I first tried the digital lenses, I did notice an improvement so I've stuck with them. I've always wondered if I was getting ripped off, though, because the price points are fairly high.
Rx is as follows:
* \-8.00 -1.50 x 155
* \-8.75 -0.50 x 75
My usual vendor is Pearle Vision. I'm not beholden to them, but they know my history and I've never really had any issues.
Thanks much</t>
        </is>
      </c>
      <c r="D2015" t="n">
        <v>1</v>
      </c>
      <c r="E2015" t="n">
        <v>1</v>
      </c>
      <c r="F2015">
        <f>HYPERLINK("https://www.reddit.com/r/eyetriage/comments/i9udfp/which_lenses_are_best_for_me/")</f>
        <v/>
      </c>
      <c r="G2015" t="inlineStr">
        <is>
          <t>2020-08-14 14:08:55</t>
        </is>
      </c>
      <c r="H2015" t="inlineStr"/>
    </row>
    <row r="2016">
      <c r="A2016" t="inlineStr">
        <is>
          <t>i9vdwi</t>
        </is>
      </c>
      <c r="B2016" t="inlineStr">
        <is>
          <t>Beginnings of periorbital cellulitis?</t>
        </is>
      </c>
      <c r="C2016" t="inlineStr">
        <is>
          <t>[pic of my eyes (left eye swollen)](https://imgur.com/a/DSazvCC)
Hi there
I'm wondering what this could be, had a 2 day history of pain in left eye, slight redness and some swelling on the underneath of my eye. No watering or discharge, no loss of visual acuity. I can't see a stye when I pull down my eyelid so I'm wondering what it could be.</t>
        </is>
      </c>
      <c r="D2016" t="n">
        <v>1</v>
      </c>
      <c r="E2016" t="n">
        <v>0</v>
      </c>
      <c r="F2016">
        <f>HYPERLINK("https://www.reddit.com/r/eyetriage/comments/i9vdwi/beginnings_of_periorbital_cellulitis/")</f>
        <v/>
      </c>
      <c r="G2016" t="inlineStr">
        <is>
          <t>2020-08-14 15:04:36</t>
        </is>
      </c>
      <c r="H2016" t="inlineStr"/>
    </row>
    <row r="2017">
      <c r="A2017" t="inlineStr">
        <is>
          <t>i9x38w</t>
        </is>
      </c>
      <c r="B2017" t="inlineStr">
        <is>
          <t>[32F] Could this be a retinal migraine?</t>
        </is>
      </c>
      <c r="C2017" t="inlineStr">
        <is>
          <t>32F, 5'3" and 139 lbs, white, small scintillating spot in my vision (left eye). No drug use, diagnosed with general anxiety disorder. Medications: ketoconazole 2% shampoo for seborrheic dermatitis. I also take a prenatal vitamin and iron gluconate for low ferritin levels. Not currently pregnant.
I messaged my ophthamologist but don't expect to hear from her until after the weekend, and I also spoke with a triage nurse through my eye center who believes I'm experiencing a migraine, but after I spoke with her, I experienced episodes two more times. While I don't think it's an emergency emergency, it has me freaked out. I'm nearsighted, about -4 and -4.5, with astigmatism in my left eye.
For the past couple of months, I've noticed I sometimes get a little spot in my vision that looks almost like TV static. It's normally about the size of a thumbnail held out all the way from your face. As far as I can tell, it's consistently been in my left eye. When I blink I notice it right away, and then it gradually seems to fade until I blink again, and it becomes clear. I don't see it when my eyes are closed. And sometimes if I'm looking at a bright or colored wall, it mimics an afterimage--so it may look red in color. It can last anywhere from 5-60 minutes. I haven't been able to identify a trigger, but I think sometimes it happens with bright light (like a TV or computer monitor). I chalked it up to vitreous changes with age. Sometimes it happens a few times a week, and sometimes it doesn't happen for two or three weeks.
Today I had an episode, but noticed that the spot was also blurry--I could see text, but it was too blurry to read. This episode lasted for just under an hour, and went away. Then I noticed it again a few hours later, but less severe and of shorter duration. And then again a few hours later, also less severe and shorter. I have a slight headache, which may or may not be from my nerves.
I don't have any other symptoms (no weakness, my speech is fine). Could this be a retinal migraine? Is there anything else I should investigate to rule out?
FWIW, I've had vision issues for a few years now with the appearance of floaters. 2 years ago I had issues waking up and seeing a dark circle in my vision that quickly dissolved. I had a full neuro opthamologic workup 1.5 years ago (but no MRI) and everything appeared healthy, so they thought I was sleeping on my eye and the pressure was causing the circle. I sleep with my head elevated now and typically don't have issues.
I've also uncommonly experience migraines with aura, but the aura has always been a typical aura--long, flashing lights that get larger in my peripheral vision, in BOTH eyes.</t>
        </is>
      </c>
      <c r="D2017" t="n">
        <v>1</v>
      </c>
      <c r="E2017" t="n">
        <v>15</v>
      </c>
      <c r="F2017">
        <f>HYPERLINK("https://www.reddit.com/r/eyetriage/comments/i9x38w/32f_could_this_be_a_retinal_migraine/")</f>
        <v/>
      </c>
      <c r="G2017" t="inlineStr">
        <is>
          <t>2020-08-14 16:45:04</t>
        </is>
      </c>
      <c r="H2017" t="inlineStr"/>
    </row>
    <row r="2018">
      <c r="A2018" t="inlineStr">
        <is>
          <t>i9xa3m</t>
        </is>
      </c>
      <c r="B2018" t="inlineStr">
        <is>
          <t>I’m extremely afraid because of a flickering in the corner of my eye. Maybe you can help me calm down until I can see my doctor.</t>
        </is>
      </c>
      <c r="C2018" t="inlineStr">
        <is>
          <t xml:space="preserve">
Hi guys! 
I have a question for you! I’m extremely anxious and afraid when it comes to eye stuff and maybe you can help me to calm down a bit. 
For a year now I have every now and then a flickering in the left upper corner of my left eye. 
It looks like the flickering of a TV with no signal but kind of translucent and maybe a tiny bit brighter than normal. Or when you press your eyes together very hard and then open them again and it’s kind of flickering? It looks like that but very small. 
I have been to three optometrists yet because I didn’t know that there are different kinds of eye doctors. I’m not from amerika. But they took a picture of my retina with an optomap and they say it looks very good and healthy. 
I don’t have any pain or redness and I don’t have more floaters than usually. 
Also: My left eye does have light astigmatism. 
I was wearing a slightly wrong prescription for a year though and my upper wisdom teeth are coming in. I don’t know if that could be related. I also had very low B12 for a year or so. 
I have an appointment with a retinal specialist next month but I’m freaking out that I maybe have a tumor or need surgery. 
I also have things thing since I’m a kid that whenever I look at snow or fog or bright surfaces I would see a moving white spiderweb. My doctor once told me as a child that people just see things differently and that that’s nothing to be worried about. 
Thank you so much for your help! 
TL;DR: Having some eye problems and I’m very afraid.</t>
        </is>
      </c>
      <c r="D2018" t="n">
        <v>1</v>
      </c>
      <c r="E2018" t="n">
        <v>1</v>
      </c>
      <c r="F2018">
        <f>HYPERLINK("https://www.reddit.com/r/eyetriage/comments/i9xa3m/im_extremely_afraid_because_of_a_flickering_in/")</f>
        <v/>
      </c>
      <c r="G2018" t="inlineStr">
        <is>
          <t>2020-08-14 16:56:41</t>
        </is>
      </c>
      <c r="H2018" t="inlineStr"/>
    </row>
    <row r="2019">
      <c r="A2019" t="inlineStr">
        <is>
          <t>ia5jad</t>
        </is>
      </c>
      <c r="B2019" t="inlineStr">
        <is>
          <t>Left eye tearing and painful after waking up</t>
        </is>
      </c>
      <c r="C2019" t="inlineStr">
        <is>
          <t>So I’m 23 male I’ve been wearing glasses since i was probably 12 and my vision did not change in the last 4 years, was about to correct my vision to get rid of the glasses, but then in late December 2019 my right eye started acting up, went to one doctor and he said i had eye ulcer, went to another doctor and he said i had keratitis and another doctor agreed and confirmed it is keratitis which I’ve used antibiotic drops and gel ointments for 4 weeks and it was hell since i had to put them every single hour at first and thankfully my eyes healed and no scarring was seen and feels normal 
Then in early march my left eye felt the same but i went to the same doctor and he said i might have a herpes virus in my eyes which he said he wasn’t sure about but gave me an antiviral gel and an antibiotic drop and my eye healed in 5 days and told me to keep using artificial tear drops at least 4 times a day
But now my left eye sometimes becomes painful and watery when i wake up for like 10 minutes or so but it does not happen every time mind you i never had any issues with my eyes until last December, what should i do, go see him again? And is there any ideas on what could it be</t>
        </is>
      </c>
      <c r="D2019" t="n">
        <v>1</v>
      </c>
      <c r="E2019" t="n">
        <v>7</v>
      </c>
      <c r="F2019">
        <f>HYPERLINK("https://www.reddit.com/r/eyetriage/comments/ia5jad/left_eye_tearing_and_painful_after_waking_up/")</f>
        <v/>
      </c>
      <c r="G2019" t="inlineStr">
        <is>
          <t>2020-08-15 04:12:42</t>
        </is>
      </c>
      <c r="H2019" t="inlineStr"/>
    </row>
    <row r="2020">
      <c r="A2020" t="inlineStr">
        <is>
          <t>iaj07m</t>
        </is>
      </c>
      <c r="B2020" t="inlineStr">
        <is>
          <t>Pressure spiking?</t>
        </is>
      </c>
      <c r="C2020" t="inlineStr">
        <is>
          <t>Pressure spiking
So I’ve just been put on Predni twice a day since thurs because of a possible herpes flare up. Was on Lotemax before twice a day but it seemed like it was just too weak for the flare up or the rebound inflammation I was experiencing because I was still having pain. 
I’m a huge steroid responder- currently on timolol once in the morning and lotanoprost once in the evening to control the pressure while I’m on steroids. 
So since being on Predni, I can literally feel my pressure spiking at random times( as expected) throughout the day as I have a dull ache in the back of my eye and a dull headache and my eye just feels heavy and tired all the time in general. It goes away after a couple of hours but it’s just so uncomfortabel in the process. Noticed that there’s some ptosis as well in the eye but don’t know if that’s from the pressure or the inflammation issue.
Have a follow up next Thurs with doc again. But in the meantime, should I do something when my pressure spikes? 
Love working out a ton too... so is this going to be an issue in regards to pressure?</t>
        </is>
      </c>
      <c r="D2020" t="n">
        <v>1</v>
      </c>
      <c r="E2020" t="n">
        <v>4</v>
      </c>
      <c r="F2020">
        <f>HYPERLINK("https://www.reddit.com/r/eyetriage/comments/iaj07m/pressure_spiking/")</f>
        <v/>
      </c>
      <c r="G2020" t="inlineStr">
        <is>
          <t>2020-08-15 17:42:03</t>
        </is>
      </c>
      <c r="H2020" t="inlineStr"/>
    </row>
    <row r="2021">
      <c r="A2021" t="inlineStr">
        <is>
          <t>iak37y</t>
        </is>
      </c>
      <c r="B2021" t="inlineStr">
        <is>
          <t>Eye pain and flashes when blinking</t>
        </is>
      </c>
      <c r="C2021" t="inlineStr">
        <is>
          <t>So I had laser retinopexy done about 4 days ago due to having a retinal tear in my right eye.  The retinal specialist also did it for my left eye as he said it could potentially tear.  Since then I've been having left eye pain and noticed flashing lights today when I blinked on the bottom of my eye.  Should I be worried or is this normal for recovery after laser retinopexy. I didn't see flashing lights prior to the treatment.</t>
        </is>
      </c>
      <c r="D2021" t="n">
        <v>1</v>
      </c>
      <c r="E2021" t="n">
        <v>3</v>
      </c>
      <c r="F2021">
        <f>HYPERLINK("https://www.reddit.com/r/eyetriage/comments/iak37y/eye_pain_and_flashes_when_blinking/")</f>
        <v/>
      </c>
      <c r="G2021" t="inlineStr">
        <is>
          <t>2020-08-15 18:54:10</t>
        </is>
      </c>
      <c r="H2021" t="inlineStr"/>
    </row>
    <row r="2022">
      <c r="A2022" t="inlineStr">
        <is>
          <t>iausk1</t>
        </is>
      </c>
      <c r="B2022" t="inlineStr">
        <is>
          <t>Pain when moving eye and blinking</t>
        </is>
      </c>
      <c r="C2022" t="inlineStr">
        <is>
          <t>Hi guys,
Since 14th August, I’ve been getting a mildish pain when moving my left eye around and sometimes when blinking.
It seems worse when looking up and sometimes I feel like it feels relatively normal. It’s like a dull ache in the eye or the eye muscles, I can’t tell.
Is this something that warrants a optometrist visit? Or wait and see approach?</t>
        </is>
      </c>
      <c r="D2022" t="n">
        <v>1</v>
      </c>
      <c r="E2022" t="n">
        <v>6</v>
      </c>
      <c r="F2022">
        <f>HYPERLINK("https://www.reddit.com/r/eyetriage/comments/iausk1/pain_when_moving_eye_and_blinking/")</f>
        <v/>
      </c>
      <c r="G2022" t="inlineStr">
        <is>
          <t>2020-08-16 08:59:35</t>
        </is>
      </c>
      <c r="H2022" t="inlineStr"/>
    </row>
    <row r="2023">
      <c r="A2023" t="inlineStr">
        <is>
          <t>iaxa5a</t>
        </is>
      </c>
      <c r="B2023" t="inlineStr">
        <is>
          <t>Brief visual disturbances when feeling stressed</t>
        </is>
      </c>
      <c r="C2023" t="inlineStr">
        <is>
          <t>Hi there. I'm 33, female.
Three months ago I had what my doctor described as a stress-induced seizure. It was diagnosed over the phone as my country was in lockdown at the time. I haven't had another.
However, now whenever I have so much as a "difficult" thought, think too hard, or experience worry I get a blue flash of light in either one of my eyes. Sometimes the light spreads. Sometimes it manifests as a black ball that feels as though it's coming from above.
Any googling just leads me to migraine without headache with aura. But migraines seem to last a long time and can be debilitating. My experience of the flashing lights are brief and instantaneous. It also "feels similar" to how I felt when I had the seizure.
Due to a history of mental illness I'm pretty confident a doctor will tell me that's what it is. And it likely is, I guess? I just can't find anything online that matches my experience. 
If anyone can point me in the right direction or is familiar with what's happening to me, your advice would be really appreciated.</t>
        </is>
      </c>
      <c r="D2023" t="n">
        <v>1</v>
      </c>
      <c r="E2023" t="n">
        <v>1</v>
      </c>
      <c r="F2023">
        <f>HYPERLINK("https://www.reddit.com/r/eyetriage/comments/iaxa5a/brief_visual_disturbances_when_feeling_stressed/")</f>
        <v/>
      </c>
      <c r="G2023" t="inlineStr">
        <is>
          <t>2020-08-16 11:13:27</t>
        </is>
      </c>
      <c r="H2023" t="inlineStr"/>
    </row>
    <row r="2024">
      <c r="A2024" t="inlineStr">
        <is>
          <t>ib0pm8</t>
        </is>
      </c>
      <c r="B2024" t="inlineStr">
        <is>
          <t>Right eye issues</t>
        </is>
      </c>
      <c r="C2024" t="inlineStr">
        <is>
          <t>Right eye issues
Issue with right eye
Ok so I have a question and will be seeking out a medical opinion on this matter. 
A little background in February of this year I went in for a normal eye examine. Upon said completion of exam I was referred to an ophthalmologist, due to the discovery of a small nevus in the retina of my right eye.  I proceeded to go to appointment, as I was squeezed in less than a week after my eye exam. After the initial evaluation, my ophthalmologist reported that he saw hypertensive retinopathy, as well as lattice degeneration, visual opacities, and retinal holes. He seemed less concerned about the nevus in my eye (side note he also did an ultrasound on the nevus). I went for a second opinion and the second doctor also sided with my first doctor. I proceeded to have laser barrier treatment for the retinal holes. The left eye procedure went as a planned and had no hitches. My right eye, though, there were issues. A week after surgery I noticed that my right eye was still dilated. At the two week mark, post surgery, the dilation subsided; however a new issue arose. I was now noticing that I was seeing haze, at times, or my eye was seemed “weak” after removing my contacts. I soon found the issue, or so I thought, as it appeared my optometrist had changed the axis on my contacts from a 20 to a 10. Everything else stayed the same. I proceeded to try on my old prescription and the issues resolved.  That was until about 3 days ago when I noticed that my right eye seemed blurry. I changed the contacts to a new pair but still the issue persisted. I finally relented and tried on the “new” axis power and I can see fine again. My question is has anyone gone through this? What can be the reason? As mentioned I’m scheduled for a 6 month check up with my ophthalmologist in September but will be calling them to see if they can move up my appointment, in the hopes of addressing this issue. In the back of my head I can’t help but wonder if my nevus is causing this. For reference i do have astigmatism and has also diagnosed with corneal edema by my optometrist during my February visit. Any feedback would be greatly appreciated.</t>
        </is>
      </c>
      <c r="D2024" t="n">
        <v>1</v>
      </c>
      <c r="E2024" t="n">
        <v>1</v>
      </c>
      <c r="F2024">
        <f>HYPERLINK("https://www.reddit.com/r/eyetriage/comments/ib0pm8/right_eye_issues/")</f>
        <v/>
      </c>
      <c r="G2024" t="inlineStr">
        <is>
          <t>2020-08-16 14:21:25</t>
        </is>
      </c>
      <c r="H2024" t="inlineStr"/>
    </row>
    <row r="2025">
      <c r="A2025" t="inlineStr">
        <is>
          <t>ib0yjn</t>
        </is>
      </c>
      <c r="B2025" t="inlineStr">
        <is>
          <t>Retinal hole in left eye, accompanied by increase in floaters – should I get laser treatment or fix my health issues first?</t>
        </is>
      </c>
      <c r="C2025" t="inlineStr">
        <is>
          <t>I am myopic (-5.75 L and -5.25 R) and have astigmatism. An optometrist saw that I had lattice degeneration, and sent me to an ophthalmologist, who said that I have a hole in my left retina and asked me when I wanted laser surgery to repair the hole. He was kind of blasé and curt (probably having a bad day), and didn't explain anything to me, so I didn't get a sense of how urgent my situation is.
The background to all this is that I spent about a month being severely ill with sleep deprivation (only microsleeping for days at a time), a dramatically altered consciousness, pounding vascular headaches, a sudden and sustained increase in my blood pressure (+30 mm Hg), and blurriness of vision accompanied by a noticeable increase in grey/black floaters. In the past week, I've been able to catch some good sleep and am seeing a neurologist for my issues, but I've done a bunch of scans and everything has come out clean—even though many of my symptoms persist—so this process of finding out what's wrong may take a while, perhaps even months. As of two weeks ago, I did not have any optic nerve swelling, although I can feel a weird subtle pressure behind my eyes, and I want to check it out again in the next few days to make sure I haven't developed any swelling in recent days.
I'm not worried about retinal detachment yet because I don't really see white flashes, although I sometimes have a sensation of flickering, if that makes sense. I have a lot of visual snow, most of them being floaters, which I think I have in both eyes, but more so in my left one. I'm wondering if the retinal hole in my eye can lead to more and more floaters in the short term, because a few new ones have cropped up in the past few days and I worry that my eyes are about to be overrun with floaters. I would say that before getting sick, I had one or two floaters, and now I have seven or eight (or maybe I'm noticing them a lot more)? Do floaters "leak" out of the hole? Or are they created by some other mechanism? Trying to decide if I should or should not do the surgery before I get the underlying health issues (that might have caused this sudden onset of floaters) fixed first.
Thanks for your help!</t>
        </is>
      </c>
      <c r="D2025" t="n">
        <v>1</v>
      </c>
      <c r="E2025" t="n">
        <v>10</v>
      </c>
      <c r="F2025">
        <f>HYPERLINK("https://www.reddit.com/r/eyetriage/comments/ib0yjn/retinal_hole_in_left_eye_accompanied_by_increase/")</f>
        <v/>
      </c>
      <c r="G2025" t="inlineStr">
        <is>
          <t>2020-08-16 14:35:07</t>
        </is>
      </c>
      <c r="H2025" t="inlineStr"/>
    </row>
    <row r="2026">
      <c r="A2026" t="inlineStr">
        <is>
          <t>ibo5ri</t>
        </is>
      </c>
      <c r="B2026" t="inlineStr">
        <is>
          <t>Vision after retinal detachment</t>
        </is>
      </c>
      <c r="C2026" t="inlineStr">
        <is>
          <t>32 year old female extreme myopic here (-16).
I had lazering due to retina years in both eyes done in 2012. And I a scleral buckle placed with additional lazering done on aug 15th of last year for a retina detachment in my left eye. It was a macula on detachment. I never saw a black vale or anything.  I had black spots in my peripheral which turned into blurry peripheral vision and then loss of depth perception.  At that point my retina specialist noticed the issue. Reattachment was successful and vision is fine. 
Im now have some intense flashing.  Like a floater that flashes.  I've gone in before for this symptom and my specialist always says its fine. It comes and goes but for about 2 weeks it's been quite persistent.  Anytime I change rooms with different lightening it flashes.  
Is this normal? Just my retina doing crazy stuff or is this something to go in for? 
I just saw him for my semi annual check up in July and everything was ok. 
Thanks for your input.  
Maybe it's just a covid stress symptom? Who knows!</t>
        </is>
      </c>
      <c r="D2026" t="n">
        <v>1</v>
      </c>
      <c r="E2026" t="n">
        <v>8</v>
      </c>
      <c r="F2026">
        <f>HYPERLINK("https://www.reddit.com/r/eyetriage/comments/ibo5ri/vision_after_retinal_detachment/")</f>
        <v/>
      </c>
      <c r="G2026" t="inlineStr">
        <is>
          <t>2020-08-17 15:10:30</t>
        </is>
      </c>
      <c r="H2026" t="inlineStr"/>
    </row>
    <row r="2027">
      <c r="A2027" t="inlineStr">
        <is>
          <t>ibq8lg</t>
        </is>
      </c>
      <c r="B2027" t="inlineStr">
        <is>
          <t>Accidentally got baby shampoo in my eye and now it hurts and is slightly red. What can I do?</t>
        </is>
      </c>
      <c r="C2027" t="inlineStr">
        <is>
          <t>My eye doctor told me to use baby shampoo to get rid of my eyelid dermatitis/irritation to cleanse my eyes till it goes away but when I used it again today it started making my eyes burn and now my left eye is slightly red and hurts a little just feels sore. Anything I can do for it? I already immediately flushed out my eye and applied some resetting eye drops. Do I just have to let time heal it now?</t>
        </is>
      </c>
      <c r="D2027" t="n">
        <v>1</v>
      </c>
      <c r="E2027" t="n">
        <v>2</v>
      </c>
      <c r="F2027">
        <f>HYPERLINK("https://www.reddit.com/r/eyetriage/comments/ibq8lg/accidentally_got_baby_shampoo_in_my_eye_and_now/")</f>
        <v/>
      </c>
      <c r="G2027" t="inlineStr">
        <is>
          <t>2020-08-17 17:09:09</t>
        </is>
      </c>
      <c r="H2027" t="inlineStr"/>
    </row>
    <row r="2028">
      <c r="A2028" t="inlineStr">
        <is>
          <t>ibr9jj</t>
        </is>
      </c>
      <c r="B2028" t="inlineStr">
        <is>
          <t>Will i have to rake restasis forever? And can de-stressing help my dry eyes?</t>
        </is>
      </c>
      <c r="C2028" t="inlineStr">
        <is>
          <t>I started taking restasis about 2 and a half months ago and might be getting some slight improvement in my dry eye from it, i really cant tell yet. My eye doc said my eyes don't look inflamed but still put me on it. I also know that my lacrimal glands could be inflamed but she could not tell if they are im guessing? I know restasis works by reducing inflammation. I also took preservative free prednisone which slightly helped i think, as well as alrex and lotemax before that but those didn't help at all. I find it weird that the prednisolone did not fully cure my dry eye if it is inflammation that is causing it. I am luckily getting restasis for free right now through a patient assistance program but I dont know if they will re enroll me and give it to me for free every year. I also really just want to go back to a normal routine and not have to treat my eyes and worry about my eyes everyday (ive been doing warm rag routine twice a day, bacitracin on my eyelids at night, avenova on my eye lids everyday and artificial tears since November and it's getting really tiring mentally to be honest). I am incredibly depressed from this. This dry eye started when i stopped drinking and smoking marijuana and was extremely stressed so I think stress mught have caused this. If i simply destressed could my eyes get better? Is it possible that restasis could reduce my inflammation and i could eventually ween off of it and have moist eyes again without it?</t>
        </is>
      </c>
      <c r="D2028" t="n">
        <v>1</v>
      </c>
      <c r="E2028" t="n">
        <v>4</v>
      </c>
      <c r="F2028">
        <f>HYPERLINK("https://www.reddit.com/r/eyetriage/comments/ibr9jj/will_i_have_to_rake_restasis_forever_and_can/")</f>
        <v/>
      </c>
      <c r="G2028" t="inlineStr">
        <is>
          <t>2020-08-17 18:12:41</t>
        </is>
      </c>
      <c r="H2028" t="inlineStr"/>
    </row>
    <row r="2029">
      <c r="A2029" t="inlineStr">
        <is>
          <t>ibvo28</t>
        </is>
      </c>
      <c r="B2029" t="inlineStr">
        <is>
          <t>Does blurry vision due to eye strain come and go?</t>
        </is>
      </c>
      <c r="C2029" t="inlineStr">
        <is>
          <t>I’m 27, never needed glasses, and no other eye problems. My left eye, and my right to much less of an extent, is blurry when focusing on objects ten feet away or more. It’s consistently present, but feels inconsistent it the severity sometimes. This has been going of for three days. I’ve been using artificial tears, but after reading the stickied post I realize I’ve been using the wrong ones. No pain in my eyes and no other changes to my body. 
Here are the main causes, I speculate. I’m assuming I strained them because I’ve been spending way too much time in front of a screen these past few months, but I’m just not sure. This happened the day after I had spent a really long time playing my Switch (small screen close to my face). Also, I’ve basically had a fan blowing in my face 24/7, which has dried my eyes. 
Getting an appointment is sort of difficult as I need to convince my local doctor that it’s serious. Is it safe to wait a few more days to see if this goes away? Is it even common for something to cause blurry vision and then go away on its own?
Thanks to anyone who responds.</t>
        </is>
      </c>
      <c r="D2029" t="n">
        <v>1</v>
      </c>
      <c r="E2029" t="n">
        <v>2</v>
      </c>
      <c r="F2029">
        <f>HYPERLINK("https://www.reddit.com/r/eyetriage/comments/ibvo28/does_blurry_vision_due_to_eye_strain_come_and_go/")</f>
        <v/>
      </c>
      <c r="G2029" t="inlineStr">
        <is>
          <t>2020-08-17 23:15:43</t>
        </is>
      </c>
      <c r="H2029" t="inlineStr"/>
    </row>
    <row r="2030">
      <c r="A2030" t="inlineStr">
        <is>
          <t>ic09tz</t>
        </is>
      </c>
      <c r="B2030" t="inlineStr">
        <is>
          <t>When I look at an object, I see it again when looking away?</t>
        </is>
      </c>
      <c r="C2030" t="inlineStr">
        <is>
          <t>If I look at something (like a car) and glance to the sky, I see a replica of the car again for a SPLIT SECOND. It also happens when I look at someone’s face or eye ball and quickly look away, it flashes and goes away, last for roughly 0.005 of a second! Also happens with LED lights. 
I’ve began to notice an increase in clear floaters when looking into the sky which has become annoying.  
I have astigmatism but my eyes are otherwise healthy and normal. 
Any ideas?</t>
        </is>
      </c>
      <c r="D2030" t="n">
        <v>1</v>
      </c>
      <c r="E2030" t="n">
        <v>9</v>
      </c>
      <c r="F2030">
        <f>HYPERLINK("https://www.reddit.com/r/eyetriage/comments/ic09tz/when_i_look_at_an_object_i_see_it_again_when/")</f>
        <v/>
      </c>
      <c r="G2030" t="inlineStr">
        <is>
          <t>2020-08-18 05:42:49</t>
        </is>
      </c>
      <c r="H2030" t="inlineStr"/>
    </row>
    <row r="2031">
      <c r="A2031" t="inlineStr">
        <is>
          <t>ic1v3r</t>
        </is>
      </c>
      <c r="B2031" t="inlineStr">
        <is>
          <t>[26M] Sudden blurry spot in right eye for 20 minutes</t>
        </is>
      </c>
      <c r="C2031" t="inlineStr">
        <is>
          <t>Earlier this morning, out of nowhere, I noticed a blurry spot in my field of vision similar to those small blurs that usually just go away from rubbing your eyes. But this time it didn’t go away. I figured out that it was coming from my right eye, and I tried rubbing it, keeping my eyes closed for a couple seconds, etc. But it kept getting worse and worse, and it got to the point where I couldn’t read the text on a paper I was looking at (it was still only part of my field of vision that was blurry though, but it was kinda in the center so it blurred part of the words). I also couldn’t type out words correctly on my phone. At this point I freaked out and kinda had a panic attack, and felt like I was losing vision in the eye entirely, although I’m not sure if that was just in my head or not. But then, just as quickly as it came, the blur went away and my vision went back to normal. 
The whole thing lasted about 20 minutes. It was exactly like a regular eye blur / cloudy spot, except it lasted much longer than they usually do. This was 2 hours ago and it hasn’t come back yet. 
Does anyone know what’s going on? This was really scary, partly because I was at work when it happened and my job involves operating heavy machinery (I had to get down from the equipment I was operating to be safe), and partly because I’m a bit of a hypochondriac so I often become convinced that I have horrible diseases, and now I’m wondering what this could be. 
Thanks for your help!</t>
        </is>
      </c>
      <c r="D2031" t="n">
        <v>1</v>
      </c>
      <c r="E2031" t="n">
        <v>3</v>
      </c>
      <c r="F2031">
        <f>HYPERLINK("https://www.reddit.com/r/eyetriage/comments/ic1v3r/26m_sudden_blurry_spot_in_right_eye_for_20_minutes/")</f>
        <v/>
      </c>
      <c r="G2031" t="inlineStr">
        <is>
          <t>2020-08-18 07:20:12</t>
        </is>
      </c>
      <c r="H2031" t="inlineStr"/>
    </row>
    <row r="2032">
      <c r="A2032" t="inlineStr">
        <is>
          <t>icc3k2</t>
        </is>
      </c>
      <c r="B2032" t="inlineStr">
        <is>
          <t>[20M] Starbursts and poor night vision</t>
        </is>
      </c>
      <c r="C2032" t="inlineStr">
        <is>
          <t>I've worn glasses since I was small and my prescription as of last year is around -5 in both eyes, which has been stable for several years. Last year, one of my eyes was diagnosed with mild astigmatism.
Since 2-3 years ago, I've experienced starbursts in both eyes. My night vision is not great and I cannot see people's faces clearly if they are around 15 meters away. Despite my prescription being up to date  I can't see distant text very clearly. The vision improves if I view things at certain angles, such as by raising my head upwards. I've noticed that one eye has a slightly different tint than the other.
What issue(s) might this be? Cataracts?</t>
        </is>
      </c>
      <c r="D2032" t="n">
        <v>1</v>
      </c>
      <c r="E2032" t="n">
        <v>0</v>
      </c>
      <c r="F2032">
        <f>HYPERLINK("https://www.reddit.com/r/eyetriage/comments/icc3k2/20m_starbursts_and_poor_night_vision/")</f>
        <v/>
      </c>
      <c r="G2032" t="inlineStr">
        <is>
          <t>2020-08-18 16:16:27</t>
        </is>
      </c>
      <c r="H2032" t="inlineStr"/>
    </row>
    <row r="2033">
      <c r="A2033" t="inlineStr">
        <is>
          <t>icfkzz</t>
        </is>
      </c>
      <c r="B2033" t="inlineStr">
        <is>
          <t>Ridiculously fast change in prescription?</t>
        </is>
      </c>
      <c r="C2033" t="inlineStr">
        <is>
          <t>I got glasses for the first time at around 17. My prescription then was 
-1.5 SPH and 0.5 CYL in LE 
-1 SPH in RE
My vision stayed pretty stable for the next 4 years but I didn't get my eyes checked during that time so I don't know for sure. However, around a year back I started having difficulty with my old glasses so I went to an optometrist. This time my prescription was 
-2 SPH and -0.5 CYL in LE
-2 SPH and -0.5 CYL in RE 
To be honest I still had headaches and still struggled to see clearly with this prescription but I assumed that's just how contact lenses are.
Fast forward to now, my vision felt worse after the lockdown and I went to get my eyes checked again and this time my prescription was
 -4.50 SPH and -1 CYL in LE 
-4.50 SPH and -0.75 CYL in RE With this new prescription I see better and my headaches have stopped. 
I cannot help but panic about this insane increase in Rx. I'm 22 now and my vision was pretty good as a child. Neither of my parents have Myopia either. However, I had 8+ hours of screen time daily with very poor light and basically no outdoor time in the last year. Along with that I also have an eating disorder so nutrition wasn't very good either.
I had retinopathy and a corneal tomography done. I was told that I have matrix degeneration but my retina is still healthy and a rather thin cornea but no keratoconus. I have no other health issues but I have been taking birth control since last year. 
Is it more likely that my old prescription was wrong or did my rx jump a whole 3 D in both eyes? Can high screen time and poor lighting really cause this much damage? Could it be degenerative Myopia that somehow started late or early stage of Keratoconus? I'm having horrible anxiety over this.</t>
        </is>
      </c>
      <c r="D2033" t="n">
        <v>1</v>
      </c>
      <c r="E2033" t="n">
        <v>0</v>
      </c>
      <c r="F2033">
        <f>HYPERLINK("https://www.reddit.com/r/eyetriage/comments/icfkzz/ridiculously_fast_change_in_prescription/")</f>
        <v/>
      </c>
      <c r="G2033" t="inlineStr">
        <is>
          <t>2020-08-18 19:52:50</t>
        </is>
      </c>
      <c r="H2033" t="inlineStr"/>
    </row>
    <row r="2034">
      <c r="A2034" t="inlineStr">
        <is>
          <t>icg0zi</t>
        </is>
      </c>
      <c r="B2034" t="inlineStr">
        <is>
          <t>Ongoing dry eye symptoms not responding to MGD drops</t>
        </is>
      </c>
      <c r="C2034" t="inlineStr">
        <is>
          <t>I'm a patient experiencing chronic dry eye, particularly noticeable in one eye during my work day. I wear contact lenses most of the time during the day. Wearing glasses for an extended period to try and 'fix' the issue has made little difference.
My optometrist confirmed that there was some superficial scratching on my eye surface (evidently it was worse on the problematic eye). He suggested using Retaine MGD drops, and was confident that they were suitable for use with or without my contact lenses. 
Used these for a month or so with relatively little change in my overall condition - sometimes I wonder if these particular drops may be contributing to clarity issues with my lenses, but I'm not sure.
I use the newest opti-free solution. Is there a potentially better option for me to try in terms of a daily cleaning solution? I have read that the H2O2 solutions may be more effective for dry eye sufferers. I've considered switching to a daily contact lens instead of the 2-week lens I currently use, but I'd like to see if there's another way to go about this first. 
I'll note that I have also used Blink for contacts, which does seem to lubricate my lenses well, but its effects are short lived.
Thanks for any advice! It is greatly appreciated.</t>
        </is>
      </c>
      <c r="D2034" t="n">
        <v>1</v>
      </c>
      <c r="E2034" t="n">
        <v>8</v>
      </c>
      <c r="F2034">
        <f>HYPERLINK("https://www.reddit.com/r/eyetriage/comments/icg0zi/ongoing_dry_eye_symptoms_not_responding_to_mgd/")</f>
        <v/>
      </c>
      <c r="G2034" t="inlineStr">
        <is>
          <t>2020-08-18 20:22:51</t>
        </is>
      </c>
      <c r="H2034" t="inlineStr"/>
    </row>
    <row r="2035">
      <c r="A2035" t="inlineStr">
        <is>
          <t>ick70u</t>
        </is>
      </c>
      <c r="B2035" t="inlineStr">
        <is>
          <t>Can a standard eye inspection detect floaters or retinal tears/detachment?</t>
        </is>
      </c>
      <c r="C2035" t="inlineStr">
        <is>
          <t>(18M) I've been having floaters for 3 months now, i am nearsighted (-8.5 for contacts). I didn't worry much about it but lately I'm worried i could have retinal tears, i had a standard eye inspection with my contacts specialist two weeks ago but he didn't seem to notice anything and i didn't mention anything. I occasionally get faint bursts of flashes in my eyes at night, lasts about 20seconds, usually when my eyes haven't fully adjusted to the dark yet. Should i be worried?</t>
        </is>
      </c>
      <c r="D2035" t="n">
        <v>1</v>
      </c>
      <c r="E2035" t="n">
        <v>4</v>
      </c>
      <c r="F2035">
        <f>HYPERLINK("https://www.reddit.com/r/eyetriage/comments/ick70u/can_a_standard_eye_inspection_detect_floaters_or/")</f>
        <v/>
      </c>
      <c r="G2035" t="inlineStr">
        <is>
          <t>2020-08-19 02:06:48</t>
        </is>
      </c>
      <c r="H2035" t="inlineStr"/>
    </row>
    <row r="2036">
      <c r="A2036" t="inlineStr">
        <is>
          <t>icsz1n</t>
        </is>
      </c>
      <c r="B2036" t="inlineStr">
        <is>
          <t>rare eye condition? (Terrien's Marginal Degeneration)</t>
        </is>
      </c>
      <c r="C2036" t="inlineStr">
        <is>
          <t>I have been to two ophthalmologists recently and both have told me I have this eye condition called Terrien's Marginal Degeneration. 
I have been trying to research this but I cannot find out any info on the matter. I am a 19M and although there seems to be no cause I have one question. I wear Acuvue Oasys for Astigmatism contact lenses. I have always worn them monthly (as directed by my optometrist as well) but have recently found out that apparently they are only meant to be used for two weeks at a time. Is there even a shred of evidence that could correlate me wearing my contact lenses longer than usual to this eye condition that I have just been diagnosed with? I take care of my contact and eyes in every right way possible except for perhaps this. My ophthalmologists really did not give me a whole lot of info about this nor did they ask me a whole lot about my lifestyle that maybe could have something to do with the condition? 
I am just a little scared and don't know if I am going to worsen my eyes. I couldn't find community rules for posting so if this is any sort of violation I will take it down. Does anybody know anything about Terrien's Marginal Degeneration or if what I described could make my condition any worse?</t>
        </is>
      </c>
      <c r="D2036" t="n">
        <v>1</v>
      </c>
      <c r="E2036" t="n">
        <v>3</v>
      </c>
      <c r="F2036">
        <f>HYPERLINK("https://www.reddit.com/r/eyetriage/comments/icsz1n/rare_eye_condition_terriens_marginal_degeneration/")</f>
        <v/>
      </c>
      <c r="G2036" t="inlineStr">
        <is>
          <t>2020-08-19 11:10:23</t>
        </is>
      </c>
      <c r="H2036" t="inlineStr"/>
    </row>
    <row r="2037">
      <c r="A2037" t="inlineStr">
        <is>
          <t>icz030</t>
        </is>
      </c>
      <c r="B2037" t="inlineStr">
        <is>
          <t>Overkill on Glaucoma drugs</t>
        </is>
      </c>
      <c r="C2037" t="inlineStr">
        <is>
          <t xml:space="preserve"> I was prescribed dorzalamide/Timolol Monday after my appointment in place of Timolol once a day, in addition to my latanoprost once at night bc my pressure was 45 from steroids.
So All the drugs I used on Monday: Timolol in AM, dorzalamide/Timolol twice that day, lotanoprost at night.
Tuesday: Timolol in AM, Dorzalamide/ Timolol twice that day. Finished my  Lotanoprost bottle and didn’t feel like using it anymore. 
Just realized my mistake today as I was driving home and Don’t even know how I was so dumb to mess up like that. Really pissed off at myself. My follow up w/ doc is tomorrow again.... and I don’t even know how I’m going to explain to him how I screwed up so freakin bad. What’s the worst that could have happened to my eyes over these two days? 
Today, I’ve used Timolol once in the morning and dorzalamide/ Timolol once as well. Should I use the second dose of dorzalamide/ Timolol tonight? Or just not use anything?</t>
        </is>
      </c>
      <c r="D2037" t="n">
        <v>1</v>
      </c>
      <c r="E2037" t="n">
        <v>7</v>
      </c>
      <c r="F2037">
        <f>HYPERLINK("https://www.reddit.com/r/eyetriage/comments/icz030/overkill_on_glaucoma_drugs/")</f>
        <v/>
      </c>
      <c r="G2037" t="inlineStr">
        <is>
          <t>2020-08-19 16:26:35</t>
        </is>
      </c>
      <c r="H2037" t="inlineStr"/>
    </row>
    <row r="2038">
      <c r="A2038" t="inlineStr">
        <is>
          <t>icz5kr</t>
        </is>
      </c>
      <c r="B2038" t="inlineStr">
        <is>
          <t>Sudden, consistently present blurry vision when looking at something far away.</t>
        </is>
      </c>
      <c r="C2038" t="inlineStr">
        <is>
          <t>M 27, no prior eye conditions, *almost* perfect vision at my last exam a year ago (prescribed glasses but told I don't need to wear them).
So last week I noticed that I had trouble focusing on things at a distance greater than ten feet. I have no problem at all with my up-close vision. It's worse in my left eye but present in my right eye as well. My eyes feel dryer than normal, but even when the aren't dry the blurry vision persists. I noticed my eyes were blurry before I noticed they were dry. The blurry vision has fluctuated in severity slightly depending on the conditions. For example, earlier I was grocery shopping and I think the AC made it worse. I feel like bright light is affecting me differently, but I could just be anxiety. I have observed no other changes in my health.
So for the last five months, I've been spending an obscene amount of time in front of a screen for work and recreation. Probably ten hours a day. Also, I've had a fan blowing on me for most of that time. Since I rarely leave the apartment these days, I rarely look at something farther than 20 feet away. I first noticed the issue after playing my Switch (small screen up close) for a few hours straight. I initially thought this might have been the cause, but it hasn't gone away even though I've cut back on screens significantly. Eye drops don't help, although I've been using redness relief drops, not lubricating drops as I just learned was a mistake from the stickied post.
These are two specific questions I have, but any information is obviously useful: 
  Can dry eyes or eye strain cause blurry vision at a distance but retain clear vision up close?
  Are the effects of eye strain known to last days, even after cutting down on the straining habits?
This came at a time that I'm without insurance. I'll get an exam regardless if this doesn't improve in a  week, but I'm curious about what could have caused this. Any advice is appreciated!</t>
        </is>
      </c>
      <c r="D2038" t="n">
        <v>1</v>
      </c>
      <c r="E2038" t="n">
        <v>4</v>
      </c>
      <c r="F2038">
        <f>HYPERLINK("https://www.reddit.com/r/eyetriage/comments/icz5kr/sudden_consistently_present_blurry_vision_when/")</f>
        <v/>
      </c>
      <c r="G2038" t="inlineStr">
        <is>
          <t>2020-08-19 16:35:45</t>
        </is>
      </c>
      <c r="H2038" t="inlineStr"/>
    </row>
    <row r="2039">
      <c r="A2039" t="inlineStr">
        <is>
          <t>id22go</t>
        </is>
      </c>
      <c r="B2039" t="inlineStr">
        <is>
          <t>Does ocular hypertension lead to glaucoma?</t>
        </is>
      </c>
      <c r="C2039" t="inlineStr">
        <is>
          <t>I have ocular hypertension, as confirmed by ophthalmologist (20L, 26R) but no damage to my optic nerve. I’ve already been prescribed eye drops to see if it can decrease the pressures by next month so they can check again.
I’m a really nervous and scared. I’m only 18 so that gives this a lot of years to possibly get worse. Do people with ocular hypertension end up getting glaucoma? If eye drops can lower eye pressure does it help prevent developing glaucoma? Do I have to take these drops for the rest of my life? 
I’m terrified of losing my eyesight because I love to see. I couldn’t imagine my life while going blind. Please help</t>
        </is>
      </c>
      <c r="D2039" t="n">
        <v>1</v>
      </c>
      <c r="E2039" t="n">
        <v>2</v>
      </c>
      <c r="F2039">
        <f>HYPERLINK("https://www.reddit.com/r/eyetriage/comments/id22go/does_ocular_hypertension_lead_to_glaucoma/")</f>
        <v/>
      </c>
      <c r="G2039" t="inlineStr">
        <is>
          <t>2020-08-19 19:37:31</t>
        </is>
      </c>
      <c r="H2039" t="inlineStr"/>
    </row>
    <row r="2040">
      <c r="A2040" t="inlineStr">
        <is>
          <t>id3qaq</t>
        </is>
      </c>
      <c r="B2040" t="inlineStr">
        <is>
          <t>Eye therapy- how long did it take for you?</t>
        </is>
      </c>
      <c r="C2040" t="inlineStr">
        <is>
          <t>Long story short, I’ve given up going to the doctors. I was going to a neuro optho but covid has ruined that plan for now. I’m a 19 year old female with no health problems. I was born 3 months prematurely (27 weeks I believe), and do have some evidence I suffered minor ROP. After a mildly severe concussion in April of 2019, I noticed my vision was slightly worse. Given that I’ve had terrible vision all my life, I thought nothing of it- kinda thought I would ignore it and if it got worse I’d make an app with my optho. 
In May of 2019, I noticed my vision started dipping more, and fluctuating. My night vision became a lot worse, halos around lights became more unbearable, and my vision has been filled with black specs of floaters. I typically wear contacts, +5.75 and +6.00. As the months went on college became more difficult with my vision progressively worsening in fluctuation and my symptoms have become more difficult to work around. 
At first, I thought it could’ve been stress or anxiety. I go to therapy like it’s an amusement park. And I have outlets, my stress and anxiety has in no means worsened or has made my vision better. Needless to say, I’m not very stressed or anxious. Medications never helped the symptoms of my vision either. I was diagnosed with accommodative spasm and convergence insufficiency. I was dilating my eyes daily in order for the fluctuation to stop, but dilation comes with its own set of problems. I’m now doing visual therapy again (so no more dilation) and I was even doing it during the days I wasn’t dilating my eyes (so it’s been since February, 6 months). I haven’t even had a slight improvement, if anything my vision is getting worse. And I didn’t even notice that until I was in the shower today. 
I’ve accepted that my vision may always be stuck like this, but it has in no way made me more anxious or stressed. It’s just something I try and work around the best I can. I’ve been straining my eyes during work so I can see better so I end up with killer headaches. How long did visual therapy take to help/fix if it ever did at all? Even with 6 months, I would’ve thought I’d notice even the slightest of improvement, not my vision worsening. 
TL;DR: Vision has worsened over months before being diagnosed with AS, I’ve done visual therapy for 6-7 months and vision has progressively been getting worse despite every effort taken. Help? Tips? Advice?</t>
        </is>
      </c>
      <c r="D2040" t="n">
        <v>1</v>
      </c>
      <c r="E2040" t="n">
        <v>2</v>
      </c>
      <c r="F2040">
        <f>HYPERLINK("https://www.reddit.com/r/eyetriage/comments/id3qaq/eye_therapy_how_long_did_it_take_for_you/")</f>
        <v/>
      </c>
      <c r="G2040" t="inlineStr">
        <is>
          <t>2020-08-19 21:33:57</t>
        </is>
      </c>
      <c r="H2040" t="inlineStr"/>
    </row>
    <row r="2041">
      <c r="A2041" t="inlineStr">
        <is>
          <t>id3vis</t>
        </is>
      </c>
      <c r="B2041" t="inlineStr">
        <is>
          <t>Are these floaters?</t>
        </is>
      </c>
      <c r="C2041" t="inlineStr">
        <is>
          <t>My floaters look like wisps of smoke going up and I see them only in the periphery. They're also very fast and don't really "float". Anyone else gets this?</t>
        </is>
      </c>
      <c r="D2041" t="n">
        <v>1</v>
      </c>
      <c r="E2041" t="n">
        <v>1</v>
      </c>
      <c r="F2041">
        <f>HYPERLINK("https://www.reddit.com/r/eyetriage/comments/id3vis/are_these_floaters/")</f>
        <v/>
      </c>
      <c r="G2041" t="inlineStr">
        <is>
          <t>2020-08-19 21:44:39</t>
        </is>
      </c>
      <c r="H2041" t="inlineStr"/>
    </row>
    <row r="2042">
      <c r="A2042" t="inlineStr">
        <is>
          <t>id7q97</t>
        </is>
      </c>
      <c r="B2042" t="inlineStr">
        <is>
          <t>A moving orb of light in the corner of my eye</t>
        </is>
      </c>
      <c r="C2042" t="inlineStr">
        <is>
          <t>[19F] Since past a month I've been experiencing something like white orb of small size light in the corner of my eye revolving around from bottom to the right corner in right eye for a couple of seconds, it used to be only happen during night time but today I experienced it in the morning also. About few days ago it started to happen in other eye as well (left eye) 
 I visited a ophthalmologist last week, he checked my retina and said everything looks fine and lights thing he said is normal
I'm also worried because I've high myopia (-6), please tell me what is it? Should I got checked myself to another doctor?</t>
        </is>
      </c>
      <c r="D2042" t="n">
        <v>1</v>
      </c>
      <c r="E2042" t="n">
        <v>3</v>
      </c>
      <c r="F2042">
        <f>HYPERLINK("https://www.reddit.com/r/eyetriage/comments/id7q97/a_moving_orb_of_light_in_the_corner_of_my_eye/")</f>
        <v/>
      </c>
      <c r="G2042" t="inlineStr">
        <is>
          <t>2020-08-20 03:22:04</t>
        </is>
      </c>
      <c r="H2042" t="inlineStr"/>
    </row>
    <row r="2043">
      <c r="A2043" t="inlineStr">
        <is>
          <t>id8x9p</t>
        </is>
      </c>
      <c r="B2043" t="inlineStr">
        <is>
          <t>Eyes have been bloodshot for days, anything to worry about?</t>
        </is>
      </c>
      <c r="C2043" t="inlineStr">
        <is>
          <t>Here's a few pictures:   [https://i.imgur.com/lrxddFq.png](https://i.imgur.com/lrxddFq.png)  \- I've had people tell me I look like I've been crying (I haven't) which has made me worried. I don't have any pain or discomfort and I haven't rubbed them, they are just bloodshot for no apparent reason.
In the second picture at the bottom you can see a vein that looks purple, the rest is red. Also noticed a small black dot on my iris you can see to the left of my pupil in the first picture.</t>
        </is>
      </c>
      <c r="D2043" t="n">
        <v>1</v>
      </c>
      <c r="E2043" t="n">
        <v>1</v>
      </c>
      <c r="F2043">
        <f>HYPERLINK("https://www.reddit.com/r/eyetriage/comments/id8x9p/eyes_have_been_bloodshot_for_days_anything_to/")</f>
        <v/>
      </c>
      <c r="G2043" t="inlineStr">
        <is>
          <t>2020-08-20 04:59:15</t>
        </is>
      </c>
      <c r="H2043" t="inlineStr"/>
    </row>
    <row r="2044">
      <c r="A2044" t="inlineStr">
        <is>
          <t>idffm6</t>
        </is>
      </c>
      <c r="B2044" t="inlineStr">
        <is>
          <t>Tunnel vision and mental fatigue from unknown origin. It might be related? Where can I seek help?</t>
        </is>
      </c>
      <c r="C2044" t="inlineStr">
        <is>
          <t>Hello everyone,
I'm a 30 year old male from Portugal. I've two main issues that I don't know if they are related, bad eyesight and daily fatigue. I don't smoke, don't do drugs, just drink one glass of wine per week. Don't have any other medical issues beyond the ones I'm going to describe. I jog weekly.
Eyesight:
On the left eye I was diagnosed with amblyopia. I see really bad from this eye. This eye doesn't have the issue below, although it has a small dot that cannot see.
On the right eye I have an internal scar, that is giving me tunnel vision (retinography and visual field on the link below), and the Doctors I went can't figure out when or why this scar appeared. The tunnel vision is slowly growing over the years, which is really concerning because that's the eye I use to read/work/etc. I was diagnosed with glaucoma in 2014, but in 2019 I went to a glaucoma specialist that proved that it wasn't glaucoma and the medication (eye drops) wasn't needed. I've some floating flashes on the affected zone when I get tired, anxious or there is sudden light changes.
Mental fatigue:
This is an old issue but it's growing over the years, I'm always sleepy, my mind is always foggy, it's very difficult to focus on things sometimes. When it gets worse, I get really nauseous, and it usually gets worse after some hours behind the computer monitor. I'm a web developer, and it's really getting difficult to work without getting nauseous after some hours (can't get to 5/6 hours of work now). I already went to the general doctor several times, two neurologists, a psychiatrist and a psychologist. I've made a CAT scan and a magnetic resonance, with no results. The blood tests are also good. I've also made a heart scan, all good.
I don't know where to go next. It's getting really difficult to work, getting the house chores in order, do the daily life without being exhausted all the time.
Is there any other health area that I can seek advice? For the eye and for the fatigue.
Do you think the two issues might be related?
Is there any Doctor in Europe that you could recommend me to seek?
Can you give me your advice?
Thank you very much,
Nuno Henriques
Exams: [https://drive.google.com/drive/folders/1-5R50gFFs4BTuumG4z7JiC21-5SJZuGe](https://drive.google.com/drive/folders/1-5R50gFFs4BTuumG4z7JiC21-5SJZuGe)</t>
        </is>
      </c>
      <c r="D2044" t="n">
        <v>1</v>
      </c>
      <c r="E2044" t="n">
        <v>3</v>
      </c>
      <c r="F2044">
        <f>HYPERLINK("https://www.reddit.com/r/eyetriage/comments/idffm6/tunnel_vision_and_mental_fatigue_from_unknown/")</f>
        <v/>
      </c>
      <c r="G2044" t="inlineStr">
        <is>
          <t>2020-08-20 11:06:10</t>
        </is>
      </c>
      <c r="H2044" t="inlineStr"/>
    </row>
    <row r="2045">
      <c r="A2045" t="inlineStr">
        <is>
          <t>idh9ok</t>
        </is>
      </c>
      <c r="B2045" t="inlineStr">
        <is>
          <t>Vision in the dark worsened and visual snow increased</t>
        </is>
      </c>
      <c r="C2045" t="inlineStr">
        <is>
          <t>For the past few months, I’ve been gaming on my TV in the dark. I put it on game mode for lower input lag, but it makes the screen really bright. My eyes would always be strained after a while. I noticed lately that I can’t see as well in the dark as I could before. Is this a result of that?</t>
        </is>
      </c>
      <c r="D2045" t="n">
        <v>1</v>
      </c>
      <c r="E2045" t="n">
        <v>1</v>
      </c>
      <c r="F2045">
        <f>HYPERLINK("https://www.reddit.com/r/eyetriage/comments/idh9ok/vision_in_the_dark_worsened_and_visual_snow/")</f>
        <v/>
      </c>
      <c r="G2045" t="inlineStr">
        <is>
          <t>2020-08-20 12:40:48</t>
        </is>
      </c>
      <c r="H2045" t="inlineStr"/>
    </row>
    <row r="2046">
      <c r="A2046" t="inlineStr">
        <is>
          <t>idjud8</t>
        </is>
      </c>
      <c r="B2046" t="inlineStr">
        <is>
          <t>Had my right eye examined a week ago, pupil is still not fully back to size.</t>
        </is>
      </c>
      <c r="C2046" t="inlineStr">
        <is>
          <t>I really don't know what else to say... I had an eye exam, had my right pupil dilated, and here we are a week later and my pupil is still huge and vision still blurry. It does react to the light, just not nearly as much as my other eye.
I have really light eyes and I've heard that could affect it, but a week seems a little odd to me. I just want to know if this is normal or if I'm going to spend the rest of my life looking like David Bowie. (Ok it's not THAT bad, but still)</t>
        </is>
      </c>
      <c r="D2046" t="n">
        <v>1</v>
      </c>
      <c r="E2046" t="n">
        <v>4</v>
      </c>
      <c r="F2046">
        <f>HYPERLINK("https://www.reddit.com/r/eyetriage/comments/idjud8/had_my_right_eye_examined_a_week_ago_pupil_is/")</f>
        <v/>
      </c>
      <c r="G2046" t="inlineStr">
        <is>
          <t>2020-08-20 14:57:24</t>
        </is>
      </c>
      <c r="H2046" t="inlineStr"/>
    </row>
    <row r="2047">
      <c r="A2047" t="inlineStr">
        <is>
          <t>idtbn2</t>
        </is>
      </c>
      <c r="B2047" t="inlineStr">
        <is>
          <t>I have posterior vitreous syneresis at 30, am i in trouble?</t>
        </is>
      </c>
      <c r="C2047" t="inlineStr">
        <is>
          <t>Hi guys I have posterior vitreous syneresis, doctor said so, am i in trouble? 
I have lattice too.</t>
        </is>
      </c>
      <c r="D2047" t="n">
        <v>1</v>
      </c>
      <c r="E2047" t="n">
        <v>1</v>
      </c>
      <c r="F2047">
        <f>HYPERLINK("https://www.reddit.com/r/eyetriage/comments/idtbn2/i_have_posterior_vitreous_syneresis_at_30_am_i_in/")</f>
        <v/>
      </c>
      <c r="G2047" t="inlineStr">
        <is>
          <t>2020-08-21 02:03:41</t>
        </is>
      </c>
      <c r="H2047" t="inlineStr"/>
    </row>
    <row r="2048">
      <c r="A2048" t="inlineStr">
        <is>
          <t>idvzhk</t>
        </is>
      </c>
      <c r="B2048" t="inlineStr">
        <is>
          <t>Random pain in eye months after corneal abrasion</t>
        </is>
      </c>
      <c r="C2048" t="inlineStr">
        <is>
          <t>Sometime in Mach-May, my daughter accidentally got my eye with her thumb nail. I emailed a picture to my eye doctor (who was closed due to COVID), and he diagnosed me with a corneal abrasion. He gave me antibiotics and told me to get GenTeal. All was well. 
I noticed sometimes if I wake up in the middle of the night and open my eyes, the same eye (right) has this weird pain. It gets super watery and it takes about a half hour or more before the pain stops and I can go back to sleep. I wake up the next day feeling like nothing happened.
One day back in June (I think) it happened when I woke up which never happens, and it was bothering me most of the morning. I couldn’t even look out of the corner of my eye without the pain flaring up. I went to my eye doctor a few hours later, and he said it was probably due to inflammation because I had a mild case in both eyes. I didn’t really think that was it, and I kept questioning him if that could cause this intense pain. I took the steroid drops for 2 weeks, and he said I should be good but to call back if I wasn’t. 
It’s happened 3 times since, last night being one of them. The first 2 times it only took minutes not to hurt, whereas last night was over an hour. I have my yearly check up with him coming up in 2-3 weeks so I’m bringing it up then, but does anyone have any ideas what this could be? It doesn’t happen super often, thank God, but when it does it’s horrible.</t>
        </is>
      </c>
      <c r="D2048" t="n">
        <v>1</v>
      </c>
      <c r="E2048" t="n">
        <v>6</v>
      </c>
      <c r="F2048">
        <f>HYPERLINK("https://www.reddit.com/r/eyetriage/comments/idvzhk/random_pain_in_eye_months_after_corneal_abrasion/")</f>
        <v/>
      </c>
      <c r="G2048" t="inlineStr">
        <is>
          <t>2020-08-21 05:41:59</t>
        </is>
      </c>
      <c r="H2048" t="inlineStr"/>
    </row>
    <row r="2049">
      <c r="A2049" t="inlineStr">
        <is>
          <t>ie33om</t>
        </is>
      </c>
      <c r="B2049" t="inlineStr">
        <is>
          <t>PRK with histoplasmosis</t>
        </is>
      </c>
      <c r="C2049" t="inlineStr">
        <is>
          <t>I was told PRK would be the better option for me. I held off for some time to save up. One morning I noticed a disturbance in my left eye. Very noticeable against straight lines/letters. I now get avastin every few months,which has helped tremendously with the disturbance. With my trigeminal nueralgia,glasses are a source of discomfort so I’d still like to get PRK but unsure if that’s still an option. I’m a few weeks out from my next shot and I’ll speak with my dr then but thought I could talk to you guys. Sorry if I left something out. Thanks so much :)</t>
        </is>
      </c>
      <c r="D2049" t="n">
        <v>1</v>
      </c>
      <c r="E2049" t="n">
        <v>2</v>
      </c>
      <c r="F2049">
        <f>HYPERLINK("https://www.reddit.com/r/eyetriage/comments/ie33om/prk_with_histoplasmosis/")</f>
        <v/>
      </c>
      <c r="G2049" t="inlineStr">
        <is>
          <t>2020-08-21 12:08:54</t>
        </is>
      </c>
      <c r="H2049" t="inlineStr"/>
    </row>
    <row r="2050">
      <c r="A2050" t="inlineStr">
        <is>
          <t>ieqj45</t>
        </is>
      </c>
      <c r="B2050" t="inlineStr">
        <is>
          <t>Eye am concerned.</t>
        </is>
      </c>
      <c r="C2050" t="inlineStr">
        <is>
          <t>Hi. I’m a 27 year old female and have been having an eye issue since mid/late June. I am seeing an eye doctor this upcoming week, but my anxiety is sky high and I feel like any information is helpful. 
In June I started a new job requiring me to work from home and use a computer a lot more than I had before. Pretty much use the computer all day. I like to switch off and do some work that doesn’t require screen time throughout the day. Randomly my left eye got really red and gross looking. No pain, just pink/red, no sensitivity to light or any goop. Like any other 20-something year old, I called my mom. She said it was probably allergies. Made sense, because I liked to work outside on my patio frequently. Went away after 2-3 days. Wear glasses pretty much every day during work and contacts maybe for like 3-4 hours in the evening. 
Then early July I noticed a small pinkish spot near my iris, the side closer to my nose. Same eye. Used some eye drops after searching on the internet to find which ones would be best. I don’t remember what kind it was though because the box said discard after 30 days, so I did. I didn’t use it the whole 30 days. Just off and on when my eye would get red. Noticed it would get red if I would open my windows. Stopped doing that. Noticed it’ll be more pinkish in the morning but I can open my eye fine and there’s no residue coming out. 
Fast forward to today: this morning it appeared to be fine. I am watching my friends dog for only today and it was half pink after I took a nap (not with the dog). Anti histamine drop helped with some relief. Doesn’t appear to be as pinkish but isn’t perfect. 
I can send pics in a dm. Didn’t really wanna post them because it’s kinda embarrassing. It’s ruining my self-esteem and causing me stress. I’m just really concerned that it could be something I’ve over looked and I don’t know, I’m kind of freaking out. I’ve had some issues in the past where I’ve had to take prescription drops. Don’t remember what they were because it was during college. Last year when I went for an eye exam (in June) the doc made me wear glasses for 2 weeks and use a prescription drop for inflammation I think.... 
Just looking for a little insight on what could be an issue. Any help is appreciated so much! Thank you so much and sorry for the bad joke as the subject.</t>
        </is>
      </c>
      <c r="D2050" t="n">
        <v>1</v>
      </c>
      <c r="E2050" t="n">
        <v>5</v>
      </c>
      <c r="F2050">
        <f>HYPERLINK("https://www.reddit.com/r/eyetriage/comments/ieqj45/eye_am_concerned/")</f>
        <v/>
      </c>
      <c r="G2050" t="inlineStr">
        <is>
          <t>2020-08-22 14:11:06</t>
        </is>
      </c>
      <c r="H2050" t="inlineStr"/>
    </row>
    <row r="2051">
      <c r="A2051" t="inlineStr">
        <is>
          <t>ierug5</t>
        </is>
      </c>
      <c r="B2051" t="inlineStr">
        <is>
          <t>Narrow angle patient, have had laser iridotomy on both eyes, just prescribed Oxybutynin</t>
        </is>
      </c>
      <c r="C2051" t="inlineStr">
        <is>
          <t>About a year ago I [M57] was diagnosed with fairly severe narrow angle issues. I had laser iridotomies performed on both eyes shortly after. I also get calcium oxalate kidney stones very frequently. Yesterday I had a laser lithsotripsy to remove a stone. I've had this procedure before but this time I was prescribed Oxybutynin which I've never taken before. Researching it I found that it shouldn't be taken if you have untreated narrow angle. Given that mine has been treated I'd like to get ophthalmologists opinions on whether it would be safe to take. I have called my ophthalmologist and left a message but haven't received a call back yet. If the Oxybutynin does what it's intended to do it I think it would be very helpful to me in dealing with the post op issues. Any thoughts?</t>
        </is>
      </c>
      <c r="D2051" t="n">
        <v>1</v>
      </c>
      <c r="E2051" t="n">
        <v>2</v>
      </c>
      <c r="F2051">
        <f>HYPERLINK("https://www.reddit.com/r/eyetriage/comments/ierug5/narrow_angle_patient_have_had_laser_iridotomy_on/")</f>
        <v/>
      </c>
      <c r="G2051" t="inlineStr">
        <is>
          <t>2020-08-22 15:27:52</t>
        </is>
      </c>
      <c r="H2051" t="inlineStr"/>
    </row>
    <row r="2052">
      <c r="A2052" t="inlineStr">
        <is>
          <t>if1puj</t>
        </is>
      </c>
      <c r="B2052" t="inlineStr">
        <is>
          <t>Foreign object in cornea on a sunday</t>
        </is>
      </c>
      <c r="C2052" t="inlineStr">
        <is>
          <t>I have a black spot on my cornea and my eye hurts and is watery as hell... Do I need to see an Opthalmologist or can an urgent care or ER take care of this? It's Sunday and seems like every Opthalmology office is closed.
 Thanks.</t>
        </is>
      </c>
      <c r="D2052" t="n">
        <v>1</v>
      </c>
      <c r="E2052" t="n">
        <v>2</v>
      </c>
      <c r="F2052">
        <f>HYPERLINK("https://www.reddit.com/r/eyetriage/comments/if1puj/foreign_object_in_cornea_on_a_sunday/")</f>
        <v/>
      </c>
      <c r="G2052" t="inlineStr">
        <is>
          <t>2020-08-23 04:38:39</t>
        </is>
      </c>
      <c r="H2052" t="inlineStr"/>
    </row>
    <row r="2053">
      <c r="A2053" t="inlineStr">
        <is>
          <t>if3268</t>
        </is>
      </c>
      <c r="B2053" t="inlineStr">
        <is>
          <t>What are these white dots in my iris?</t>
        </is>
      </c>
      <c r="C2053" t="inlineStr">
        <is>
          <t>I've recently noticed small white dots in the iris of my left eye, any ideas as to what they are? 
 [https://imgur.com/a/hs4lW0C](https://imgur.com/a/hs4lW0C)</t>
        </is>
      </c>
      <c r="D2053" t="n">
        <v>1</v>
      </c>
      <c r="E2053" t="n">
        <v>2</v>
      </c>
      <c r="F2053">
        <f>HYPERLINK("https://www.reddit.com/r/eyetriage/comments/if3268/what_are_these_white_dots_in_my_iris/")</f>
        <v/>
      </c>
      <c r="G2053" t="inlineStr">
        <is>
          <t>2020-08-23 06:20:23</t>
        </is>
      </c>
      <c r="H2053" t="inlineStr"/>
    </row>
    <row r="2054">
      <c r="A2054" t="inlineStr">
        <is>
          <t>ifbyd6</t>
        </is>
      </c>
      <c r="B2054" t="inlineStr">
        <is>
          <t>Duane Syndrome, bilateral hazy vision, entoptic phenomena- so many things!</t>
        </is>
      </c>
      <c r="C2054" t="inlineStr">
        <is>
          <t>Tl;dr. Yes I’m making an appointment. 51F, sudden onset of bilateral hazy vision and new entoptic phenomenon. 🤓
Problem: woke one morning with hazy vision not blurry - more like if your glasses were slightly fogged up, as well as tiny “floaters” that move with gaze.  Not painful, other than increased light sensitivity. No redness. 
Confirmed it was bilateral by patching dominant eye. The fog left the dominant eye after patching, but floaters are still there. I’m also very light sensitive, and the “floaters “ interfere with vision in the light, unless I wear sunglasses.
 I use screens, so I use some OTC artificial tears occasionally when eyes are irritated 
Aside from wearing glasses, I’ve never had anything happen with my eyes that bothered me until this. 
I also started EMDR 3 weeks ago, and this began the night after a session. People frequently report unexpected physical symptoms during this Tx.
Background/Hx : Duane syndrome, astigmatism, far-sighted before typical age-related visual changes, entoptic phenomena for as long as I remember, ditto for visual snow (which I’ve just learned is a thing). 
I also have tinnitus (for as long as I remember), deviated septum as well as some very serious congenital issues with other organ systems. I can’t help but wonder about some common prenatal neurological development issue. 
As a result of my history, I’ve also had numerous long surgeries under general anesthesia, as well as chemotherapy (16 years ago in 2004 -taxol/carboplaten). Also in 2004, I lost both ovaries and have not had any HRT - so no estrogen or progesterone since age 34
I’m on antidepressants. (You would be, too. 🤣)
Questions: 
1. I’m high risk for COVID complications, what should I ask or look for to be sure a clinic is practicing safely and understand the transmission risks? I’m in Seattle. 
2. What kind of doc should I see? 
3. Any ideas? Anything I should be sure to ask the doctor about? I can send images if it would help.
4. If my combo of symptoms rings any bells, I’d be happy to hear that, too. This quarantine has given me medical investigation time.</t>
        </is>
      </c>
      <c r="D2054" t="n">
        <v>1</v>
      </c>
      <c r="E2054" t="n">
        <v>0</v>
      </c>
      <c r="F2054">
        <f>HYPERLINK("https://www.reddit.com/r/eyetriage/comments/ifbyd6/duane_syndrome_bilateral_hazy_vision_entoptic/")</f>
        <v/>
      </c>
      <c r="G2054" t="inlineStr">
        <is>
          <t>2020-08-23 14:41:44</t>
        </is>
      </c>
      <c r="H2054" t="inlineStr"/>
    </row>
    <row r="2055">
      <c r="A2055" t="inlineStr">
        <is>
          <t>ifkqor</t>
        </is>
      </c>
      <c r="B2055" t="inlineStr">
        <is>
          <t>Black spots on the ceiling</t>
        </is>
      </c>
      <c r="C2055" t="inlineStr">
        <is>
          <t>hello! can anyone tell me what’s happening in my eyes? everytime i wake up in my dark room, i always see black spots on the ceiling and it goes away after a minute. someone help :(</t>
        </is>
      </c>
      <c r="D2055" t="n">
        <v>1</v>
      </c>
      <c r="E2055" t="n">
        <v>5</v>
      </c>
      <c r="F2055">
        <f>HYPERLINK("https://www.reddit.com/r/eyetriage/comments/ifkqor/black_spots_on_the_ceiling/")</f>
        <v/>
      </c>
      <c r="G2055" t="inlineStr">
        <is>
          <t>2020-08-24 00:51:19</t>
        </is>
      </c>
      <c r="H2055" t="inlineStr"/>
    </row>
    <row r="2056">
      <c r="A2056" t="inlineStr">
        <is>
          <t>ifqpng</t>
        </is>
      </c>
      <c r="B2056" t="inlineStr">
        <is>
          <t>[27m] Mystery eye irritation at night</t>
        </is>
      </c>
      <c r="C2056" t="inlineStr">
        <is>
          <t>I don't wear glasses or contacts. Let me describe a recurring situation which happened most recently this past night.
Woke up at 2AM. Right eye was very watery, there were tears all over my eyelashes and spilling out onto the outside of my lower eyelid. The eye also had a moderate stinging feeling(5/10). Right nostril seemed plugged up. Left eye was normal.
Got up, washed the tears out with water. Stinging sensation continued. Noticed that my right eye was quite blurry, looking at a LED clock for example the numbers looked blurry like I was looking through water, even though there didn't seem to be excess tears in my eye at that point.
Opened an OTC eye drop (B+L Soothe PF) and put 2 drops in my right eye. Instantly felt my nose unclog and a feeling of dripping in my throat. It almost felt like some of the eye drops went through my eye into my nose and down my throat(is that even possible?)  Waited a moment and put a 3rd eye drop in. Waited 5 minutes and noticed the blurriness lessened a bit and stinging lessened also(2/10). 
Laid back down for 15 minutes with my eyes mostly open. The stinging gradually went away completely as well as the blurriness. Slept and eye did not sting or water for the rest of the night.
&amp;amp;#x200B;
Now this situation basically  is happening 2 times a week consistently for the past month, always randomly in the middle of the night with my right eye very watery. It started in April a few times, then didn't happen at all again until mid July when it started again randomly a couple of times a week. I had a dilated eye exam in early August because I noticed a bunch of jelly and smoke like floaters in both eyes but the exam didn't find anything unusual. 
What could be causing my eye to water so much at night, and what causes the stinging and blurriness? Always seemingly the right eye, and it never happens twice in one night. After I wash the tears out it's fine for the rest of the night, and never happens during the day. (although my eyes sometimes feel like they sting a bit during the day, but they don't water excessively) Anything I could try to perhaps prevent it from happening?</t>
        </is>
      </c>
      <c r="D2056" t="n">
        <v>1</v>
      </c>
      <c r="E2056" t="n">
        <v>3</v>
      </c>
      <c r="F2056">
        <f>HYPERLINK("https://www.reddit.com/r/eyetriage/comments/ifqpng/27m_mystery_eye_irritation_at_night/")</f>
        <v/>
      </c>
      <c r="G2056" t="inlineStr">
        <is>
          <t>2020-08-24 08:06:08</t>
        </is>
      </c>
      <c r="H2056" t="inlineStr"/>
    </row>
    <row r="2057">
      <c r="A2057" t="inlineStr">
        <is>
          <t>ifvokh</t>
        </is>
      </c>
      <c r="B2057" t="inlineStr">
        <is>
          <t>taking lexapro with a family history of glaucoma? [27m]</t>
        </is>
      </c>
      <c r="C2057" t="inlineStr">
        <is>
          <t>Hi all,  
So I was recently prescribed lexapro for anxiety. Normally I have no problem taking medication, including psychiatric medication. However, when my psychiatrist sent me the drug info, a few things I read gave me pause and made me wonder about the risks.   
I noticed that one of the potential side effects was 'angle closure glaucoma.' This worried me because I know that my family has a history of glaucoma. My mother has it, and one of her parents does as well. It appears that I'm predisposed for this condition. In addition, my eyesight is already pretty bad as it is. I'm nearsighted; in addition, I also have a decent amount of vitreous floaters in both my eyes (which I've gotten used to and rarely notice).  
Given my current eye problems, and risk for future eye problems, I'm a bit hesitant to take this drug given the potential risk for glaucoma-related side effects.   
I'm curious to know what your perspectives are. I've read mixed things online, from 'it's not a big deal' to 'it will mess up your eyes' to 'it's ok but check in with an opthalmologist every now and then'. Of course, all of the perspectives that I've come across have been from laypeople, so I'm curious to know what ophthalmologists/the ophthalmologic literature would have to say.  
(Disclaimer: obviously, I understand that only I can decide whether or not to take this medicine, and that only I am 100% responsible for the effects of my decision to take or not take it, this subreddit is no replacement for a consultation with an eyecare professional, etc.)</t>
        </is>
      </c>
      <c r="D2057" t="n">
        <v>1</v>
      </c>
      <c r="E2057" t="n">
        <v>4</v>
      </c>
      <c r="F2057">
        <f>HYPERLINK("https://www.reddit.com/r/eyetriage/comments/ifvokh/taking_lexapro_with_a_family_history_of_glaucoma/")</f>
        <v/>
      </c>
      <c r="G2057" t="inlineStr">
        <is>
          <t>2020-08-24 12:16:55</t>
        </is>
      </c>
      <c r="H2057" t="inlineStr"/>
    </row>
    <row r="2058">
      <c r="A2058" t="inlineStr">
        <is>
          <t>ig13pd</t>
        </is>
      </c>
      <c r="B2058" t="inlineStr">
        <is>
          <t>Double Vision help!!</t>
        </is>
      </c>
      <c r="C2058" t="inlineStr">
        <is>
          <t>I'm not sure this is the right place to post this but I can't find anything on the internet explaining my symtoms and am in desperate need for answers. For the last year my vision has been getting progressively worse. It all started when looking at black text in the dark and having the text float to the top and see double. Now it has progressed to every object being like this, ex I look at my dad and can see a faint image of the top of his head. Also everything in my peripheral vision is double and I am hyper aware of it also some things will disappear in my peripheral vision if I have it at the right angle. To top this all off and the main reason Ive been so scared is that the other night I was looking at the moon without my glasses and when looking with either eye I saw 6 moons all smeared out in a tilted vertical pattern. This also happens with things like my xbox light and the ac light and it makes it impossible to read these things. I'm really scared and need help figuring out what this is. I have found nothing online talking about these symptoms and am scared I am the only one. I have an astigmatism but I always have and these things have never been this previlant. I went to the eye doctor a month ago and they said everything was fine and I should just try a new lense. Idk im really scared and would really appreciate it if anyone could help figure out what's wrong so I can fix this problem. Thanks</t>
        </is>
      </c>
      <c r="D2058" t="n">
        <v>1</v>
      </c>
      <c r="E2058" t="n">
        <v>10</v>
      </c>
      <c r="F2058">
        <f>HYPERLINK("https://www.reddit.com/r/eyetriage/comments/ig13pd/double_vision_help/")</f>
        <v/>
      </c>
      <c r="G2058" t="inlineStr">
        <is>
          <t>2020-08-24 17:02:30</t>
        </is>
      </c>
      <c r="H2058" t="inlineStr"/>
    </row>
    <row r="2059">
      <c r="A2059" t="inlineStr">
        <is>
          <t>ig2uin</t>
        </is>
      </c>
      <c r="B2059" t="inlineStr">
        <is>
          <t>Slightly poke son eye (when closed) and I “saw” white spot?</t>
        </is>
      </c>
      <c r="C2059" t="inlineStr">
        <is>
          <t>I was laying down in bed and my wife accidentally turned to adjust the pillow and as she did she poked my eye. 
Luckily it was closed, but for the half second I was poked I saw a white light. 
I haven’t seen the white light since I was poked, but I’m just wondering what that was and if it’s normally to see when getting poked in the eye?</t>
        </is>
      </c>
      <c r="D2059" t="n">
        <v>1</v>
      </c>
      <c r="E2059" t="n">
        <v>2</v>
      </c>
      <c r="F2059">
        <f>HYPERLINK("https://www.reddit.com/r/eyetriage/comments/ig2uin/slightly_poke_son_eye_when_closed_and_i_saw_white/")</f>
        <v/>
      </c>
      <c r="G2059" t="inlineStr">
        <is>
          <t>2020-08-24 18:49:34</t>
        </is>
      </c>
      <c r="H2059" t="inlineStr"/>
    </row>
    <row r="2060">
      <c r="A2060" t="inlineStr">
        <is>
          <t>ig784b</t>
        </is>
      </c>
      <c r="B2060" t="inlineStr">
        <is>
          <t>Worried about lattice degeneration</t>
        </is>
      </c>
      <c r="C2060" t="inlineStr">
        <is>
          <t>I'm a 19M with astigmatism and have myopia. I haven't been diagnosed with any other conditions. My father also has astigmatism, but doesn't need to wear glasses unless he's driving for long periods of time. He's never mentioned anything about lattice degeneration or other issues relating to the retina. My mother has hyperopia. I got back from the optometrist today and here is how my prescription changed in one year:
Sphere, Cylinder, Axis
OD 2019: -4.75, -1.00, 180
OD 2020: -5.50, -0.75, 180
OS 2019: -4.50, -1.00, 15
OD 2020: -5.00, -0.75, 11
My optometrist told me I have lattice degeneration in one eye. I read the results of a study (Burton TC. The influence of refractive error and lattice degeneration on the incidence of retinal detachment. Trans Am Opthalmol Soc. 1989;87:143-157) that says 33% of lattice degeneration patients with &amp;gt;5.0 myopia experience retinal detachment. I've  contacted my family doctor to book an appointment with an ophthalmologist, but it likely won't be for another month. I'm feeling really sick right now thinking about how my worsening vision will affect the lattice degeneration in my eye and what that means for how I'll be able to function in the next few years to decades.
Is the worsening of my vision huge? Is it enough where I shouldn't be worried about more clusters of lattice degeneration and retinal holes? I got my first pair of glasses when I was 9 years old, and my eyes haven't stopped getting worse since then. I understand that there are others with -9.00 in their eyes, but also get included in the 33%. Am I getting too worried? I don't know what my vision is going to mean for my career.
TIA</t>
        </is>
      </c>
      <c r="D2060" t="n">
        <v>1</v>
      </c>
      <c r="E2060" t="n">
        <v>0</v>
      </c>
      <c r="F2060">
        <f>HYPERLINK("https://www.reddit.com/r/eyetriage/comments/ig784b/worried_about_lattice_degeneration/")</f>
        <v/>
      </c>
      <c r="G2060" t="inlineStr">
        <is>
          <t>2020-08-25 00:04:26</t>
        </is>
      </c>
      <c r="H2060" t="inlineStr"/>
    </row>
    <row r="2061">
      <c r="A2061" t="inlineStr">
        <is>
          <t>ig7plg</t>
        </is>
      </c>
      <c r="B2061" t="inlineStr">
        <is>
          <t>Question about my epiretinal membrane.</t>
        </is>
      </c>
      <c r="C2061" t="inlineStr">
        <is>
          <t>Hello there, I would like to ask about this condition of mine. Months ago I started having blurred central vision on my right eye. Went to see an ophthal and OCT scan says i have epiretinal membrane. Due to my young age (25F), we decided to not go for a surgery unless it progressed further. 
Fast forward last Thursday, floaters developed and my right eye vision started to have noises too that moves around like the floaters. Freaked out and managed to see an ophthal again. OCT apparently showed that its peeling off on its own a little bit at the moment, which she said that its a good thing. My vision should improve in the long run if it continues to peel. My question is: what happens if it fully peels off? Does the membrane just free fly in my eyeball? Does it have a waste system and I eventually shit out the membrane? WHERE DOES IT GO? IM SO LOST</t>
        </is>
      </c>
      <c r="D2061" t="n">
        <v>1</v>
      </c>
      <c r="E2061" t="n">
        <v>0</v>
      </c>
      <c r="F2061">
        <f>HYPERLINK("https://www.reddit.com/r/eyetriage/comments/ig7plg/question_about_my_epiretinal_membrane/")</f>
        <v/>
      </c>
      <c r="G2061" t="inlineStr">
        <is>
          <t>2020-08-25 00:48:12</t>
        </is>
      </c>
      <c r="H2061" t="inlineStr"/>
    </row>
    <row r="2062">
      <c r="A2062" t="inlineStr">
        <is>
          <t>igblff</t>
        </is>
      </c>
      <c r="B2062" t="inlineStr">
        <is>
          <t>Blurry vision after metal removal</t>
        </is>
      </c>
      <c r="C2062" t="inlineStr">
        <is>
          <t>I had a peice of metal removed from my eye two days ago, he left alot of rust said it would work itself out.. prescribed ofloxcian drops 1 drop 4 times a day... The rust is about halfway to my pupil from the white of my eye.     My affected eye is still blurry and randomly I will feel like I can't keep my eyes open almost as if I was looking at the sun on water... Is this normal for two days after removal... Dr said to follow up in a week and he will give me steroids for scarring .. I have 20/20 before the metal</t>
        </is>
      </c>
      <c r="D2062" t="n">
        <v>1</v>
      </c>
      <c r="E2062" t="n">
        <v>3</v>
      </c>
      <c r="F2062">
        <f>HYPERLINK("https://www.reddit.com/r/eyetriage/comments/igblff/blurry_vision_after_metal_removal/")</f>
        <v/>
      </c>
      <c r="G2062" t="inlineStr">
        <is>
          <t>2020-08-25 05:54:10</t>
        </is>
      </c>
      <c r="H2062" t="inlineStr"/>
    </row>
    <row r="2063">
      <c r="A2063" t="inlineStr">
        <is>
          <t>igc5pm</t>
        </is>
      </c>
      <c r="B2063" t="inlineStr">
        <is>
          <t>Is the Dr likely to be wrong here?</t>
        </is>
      </c>
      <c r="C2063" t="inlineStr">
        <is>
          <t>Hi, I am seeking your advice re a conjunctivitis diagnosis that I doubt.
I have a history of recurrent iritis and scleritis resulting from a form of colitis. Recently, I have been feeling its return - red eye, eye discomfort, bad headaches, nausea and increasing photophobia.
When my adventures in iritis/scleritis first began, I was diagnosed incorrectly with conjunctivitis before the better Drs took the time to assess me more thoroughly (weeks later) and found the real issue (iritis, at first) which was difficult for them to spot, but they got there.
Today, a new Dr (this is the NHS so there's little continuity of Drs) did the briefest check I've ever had and insisted that it was conjunctivitis, even after I expressed my doubts. Add to all that the fact that my household has been shielding so I haven't been anywhere to pick up conjunctivitis. But I was sent away with a tube of ointment.
My gut feeling is he has got it wrong, and that it is scleritis. I hoped some Drs here may be able to give me their takes on this before I do what doesn't come naturally to me and ask for a second opinion (I don't want to wait a week or more, enduring life-disrupting symptoms, only to eventually get a scleritis diagnosis.
Thanks in advance for your help. If I'm wrong, I'm wrong, but how likely would you say it is that I have been misdiagnosed?</t>
        </is>
      </c>
      <c r="D2063" t="n">
        <v>1</v>
      </c>
      <c r="E2063" t="n">
        <v>12</v>
      </c>
      <c r="F2063">
        <f>HYPERLINK("https://www.reddit.com/r/eyetriage/comments/igc5pm/is_the_dr_likely_to_be_wrong_here/")</f>
        <v/>
      </c>
      <c r="G2063" t="inlineStr">
        <is>
          <t>2020-08-25 06:26:29</t>
        </is>
      </c>
      <c r="H2063" t="inlineStr"/>
    </row>
    <row r="2064">
      <c r="A2064" t="inlineStr">
        <is>
          <t>iggaxe</t>
        </is>
      </c>
      <c r="B2064" t="inlineStr">
        <is>
          <t>Near sighted, astigmatism, cataracts - monofocal toric lens IOL optimized for distance. Questions.</t>
        </is>
      </c>
      <c r="C2064" t="inlineStr">
        <is>
          <t xml:space="preserve"> 
Hello everyone. I'm an early fifties person who really got the genetic short end of the stick when it came to eyes.
I am extremely nearsighted, and if I understand correctly, it is -9 diopters in my right eye and -7 in my left. I think my optometrist told me once that my vision is 20/400. I have glasses whose lens look like the bottom of a coke bottle. In addition, I have a severe astigmatism. My eyes naturally focus like 3 inches out. I can pretty much see stuff at the atomic level.
I have worn RGP (rigid gas permeable) lens for close to 40 years now (yes, I was placed in them at like 13 years old). I have noticed that my vision has gotten worse over the past few months. Intending to get a new pair of RGP lens, I saw my optometrist who informed me that I have cataracts. She also gave me a trial of some daily non-toric soft lenses.
I tried the new daily soft lenses and noticed quite an improvement (things looked a lot more vivid), then realized it might be a good time to just fix things completely and not have cataracts or mess with contacts everyday.. My vision is bad enough that, when I am on a computer or reading, I have for years worn "cheaters" in addition to the RGP's. I should mention that I am a long-time IT person, so I spend 9-10 hours a day looking at a computer. So wearing cheaters just for computer/reading I have absolutely no issue with.
I'm told my eyes are extremely long and shaped like footballs, and there is not enough tissue on my eye for me to be a good Lasik candidate. I was actually told by more than one person that Lasik would not be a good idea for me, and it could even be dangerous for my eyes.
So now I am having IOL cataract surgery on both eyes. I have chosen monofocal toric lenses.
I am not positive on brand names, but the surgeon uses Johnson &amp;amp; Johnson products.
He has 3 tiers: Advanced, Custom, Basic
My questions:
The surgeon said he would NOT recommend "Advanced" multifocal lenses. He didn't go into a lot of detail, but based on that as well as other posts I have read here regarding how multifocal are not quite ready for prime time, I tend to agree. Would you concur?
I could have gone with just the "Basic" non-toric monofocal lenses, which would be cheaper but would only fix the cataracts and not address the astigmatism. I only plan on doing this once, so I'm going to pay for what he calls "Custom" monofocal toric lenses which fix the cataracts AND the astigmatism. This makes sense?
I have actually had monovision in my RGP's for several years. One RGP lens (my non-dominant eye I think) is for close-up. I had the option to do this with the new IOL lenses, but I've read that some people have a hard time adjusting to it. They suggested going all monofocal, and if I need to see some close up stuff for a few hours/a day, I could temporarily pop in a single soft daily contact lens from my optometrist. I think I really like this option because it makes monovision temporary -- I'm not committing to it permanently in my eyes via IOL. Make sense? Recommended?
For the monofocal, I have selected distance vision over up-close (hence the cheaters). I am told the focal point will be about 20 feet out, where my vision will be really good. Does this mean that, for example, that food on my plate will be blurry? I'm trying to understand how closely I can see something sharply (yes, I know that's subjective) before I need to put the cheaters on. Isn't the natural focal point of people with healthy eyes like 2-3 feet, where a person is supposed to sit in front of a computer screen?
I /think/ the situation I will be in post-surgery, had I had mostly healthy eyes all along, is the one I would have been in anyway with natural presbyopia -- I get into my early/mid fifties and I have to wear cheaters to be on the computer or to read. Just like other people my age.
Are there any other things with monofocal toric lens optimized for distance vision that I should be thinking about or concerned with? Any suggestions?
Any advice/thoughts /really/ appreciated.
A half-blind IT geek...
**1 Comment**</t>
        </is>
      </c>
      <c r="D2064" t="n">
        <v>1</v>
      </c>
      <c r="E2064" t="n">
        <v>4</v>
      </c>
      <c r="F2064">
        <f>HYPERLINK("https://www.reddit.com/r/eyetriage/comments/iggaxe/near_sighted_astigmatism_cataracts_monofocal/")</f>
        <v/>
      </c>
      <c r="G2064" t="inlineStr">
        <is>
          <t>2020-08-25 10:06:34</t>
        </is>
      </c>
      <c r="H2064" t="inlineStr"/>
    </row>
    <row r="2065">
      <c r="A2065" t="inlineStr">
        <is>
          <t>ih3onq</t>
        </is>
      </c>
      <c r="B2065" t="inlineStr">
        <is>
          <t>Vision is still blurry 5 days after corneal abrasion. If the blurriness continues, at what point should I see an ophthalmologist?</t>
        </is>
      </c>
      <c r="C2065" t="inlineStr">
        <is>
          <t>So, I got hit in the eye 5 days ago, and went to the ER suffering from pain, light sensitivity, blurred vision, eye watering, etc. The doctor diagnosed it as a corneal abrasion, and told me that it should heal itself within 2-3 days. I wasn't given any eye drops or anything else. 
Now, 5 days later, all of the symptoms seem to have subsided, except that my vision hasn't improved at all. At what point should I consider going to an ophthalmologist to re-examine this eye?</t>
        </is>
      </c>
      <c r="D2065" t="n">
        <v>1</v>
      </c>
      <c r="E2065" t="n">
        <v>7</v>
      </c>
      <c r="F2065">
        <f>HYPERLINK("https://www.reddit.com/r/eyetriage/comments/ih3onq/vision_is_still_blurry_5_days_after_corneal/")</f>
        <v/>
      </c>
      <c r="G2065" t="inlineStr">
        <is>
          <t>2020-08-26 10:52:38</t>
        </is>
      </c>
      <c r="H2065" t="inlineStr"/>
    </row>
    <row r="2066">
      <c r="A2066" t="inlineStr">
        <is>
          <t>ihnr5v</t>
        </is>
      </c>
      <c r="B2066" t="inlineStr">
        <is>
          <t>Scars on my cornea</t>
        </is>
      </c>
      <c r="C2066" t="inlineStr">
        <is>
          <t>Hi, I'm 20F, 5'9, 10 stone in the UK. 
I'm a daily contact lense wearer, but yesterday morning I woke with severe front of eye pain and swelling, sensitive to light, and unable to open my left eye. I went to urgent care who said I had a large ulcer and was given an appointment at the urgent eye clinic. The consultant there told me there was no ulcer just scarring, but scratches to my eye, and prescribed me lubricant drops and an antibiotic and asked me to come in for a check up today. 
I've just been to my appointment today and the new consultant asked if I've ever done any metal work or had laser eye surgery, as I have two large scars from ulcers on my eye that are like what people get when they have pieces of metal stuck in their eyes. He said nothing about the abrasion and discharged me from the eye clinic. 
My vision from my left eye was awful yesterday and it is slightly better today. But I'm worried on the impact of the scars on my vision for the future, and also how on earth I acquired them. 
I've only had problems with my eyes twice before, once was 8 years ago where I had a corneal abrasion and the last 1 year ago when i went to urgent care and they found nothing. 
I've read horror stories before from contact lense wearers about parasites and amoebas, how can that be excluded.</t>
        </is>
      </c>
      <c r="D2066" t="n">
        <v>1</v>
      </c>
      <c r="E2066" t="n">
        <v>1</v>
      </c>
      <c r="F2066">
        <f>HYPERLINK("https://www.reddit.com/r/eyetriage/comments/ihnr5v/scars_on_my_cornea/")</f>
        <v/>
      </c>
      <c r="G2066" t="inlineStr">
        <is>
          <t>2020-08-27 09:03:52</t>
        </is>
      </c>
      <c r="H2066" t="inlineStr"/>
    </row>
    <row r="2067">
      <c r="A2067" t="inlineStr">
        <is>
          <t>ihof8r</t>
        </is>
      </c>
      <c r="B2067" t="inlineStr">
        <is>
          <t>I can suddenly misalign my eyes on my own</t>
        </is>
      </c>
      <c r="C2067" t="inlineStr">
        <is>
          <t>Age 18 M
So yeah,it's freaking me out,I can for some reason suddenly misalign my eyes at will pretty much,only happens with my right eye,it happens when I look slightly to my right side,my eye turns outward,fixes it if I refocus or blink
It also happens on its own,but it's intermittent atm,it's been happening for aroun 2 months now
I have very high myopia in both eyes -11 in left and -13 in right 
What could be causing this..?if it's intermittent exotropia then can it become constant later on?</t>
        </is>
      </c>
      <c r="D2067" t="n">
        <v>1</v>
      </c>
      <c r="E2067" t="n">
        <v>2</v>
      </c>
      <c r="F2067">
        <f>HYPERLINK("https://www.reddit.com/r/eyetriage/comments/ihof8r/i_can_suddenly_misalign_my_eyes_on_my_own/")</f>
        <v/>
      </c>
      <c r="G2067" t="inlineStr">
        <is>
          <t>2020-08-27 09:39:46</t>
        </is>
      </c>
      <c r="H2067" t="inlineStr"/>
    </row>
    <row r="2068">
      <c r="A2068" t="inlineStr">
        <is>
          <t>ihrhya</t>
        </is>
      </c>
      <c r="B2068" t="inlineStr">
        <is>
          <t>ICL Nightmare -- Advice Sought</t>
        </is>
      </c>
      <c r="C2068" t="inlineStr">
        <is>
          <t>I had ICLs implanted in both eyes in November 2019 at a well-known LA Clinic. While I had gone in with the intention of SMILE, the doctor convinced me that the ICL would be a better option for me -- and I was sold by the idea that the 'integrity of the eye' would be maintained.
The necessary LPI procedure was not well-explained, but I didn't see any reason to question it. The holes were placed at 3 or 9 and 6 o'clock (mirrored).
Nearly immediately after the surgery, I noticed pronounced double images and glare in my left eye -- particularly in high-contrast situations such as a room of bright windows, or driving at night. For every car headlight, there would be a dim, out-of-focus image below. Through experimentation (covering my pupil), I realized that the lower iridotomy on my left eye was in fact letting in enough light to produce a comprehensible, if dim and blurry picture.
I brought this to the doctor's attention immediately but my concern brushed off for several months and I decided to be patient with the healing process in hopes that it would go away. Alas it did not.
After drawing a picture of my vision illustrating the double-image, the doctor finally agreed that it was an issue and decided to operate to suture the hole closed. He assured me that it would be a quick 15-minute procedure. Alas it was not.
The procedure, for which I was not offered sedation, lasted over an hour and was clearly not going well. I kid you not that both the nurse and the doctor entered the room announcing that they would be operating on my good eye and it didn't get any better from there. The anesthetic was not sufficient and more than once I could feel the needle poking my eye. Following the procedure, I could hardly see out of the eye for the remainder of the day, and when I returned back the next day for my follow-up the pupil was still very constricted. The doctor sighed and told me that the suture did not hold and that he would have to order a tool and reschedule the operation for a month later. He noted that my iris tissue was thin and difficult.
The second procedure was also not quick and did not go well, but I was thankfully sedated. And I wish I were kidding when I say that the doctors and the nurses did in fact refer to operating on my good eye again before they realized. After over an hour, I was unstrapped and ushered into a waiting room where the doctor told me that the procedure was not successful. I asked about corneal tattooing, which he agreed was the best option.
At my followup visit the next day, the doctor changed his mind and insisted that suturing the hole would be the best path forward and to call and schedule it. 
Now, a week later, what was once a tiny hole at the bottom of my left iris is a jagged opening perhaps a mm across and the double vision is significantly worse. I don't know what to do -- I don't want to continue with this vision, but I also don't want to go back and see the doctor and ALSO since it was a cosmetic procedure I don't even know what my options are to have this repaired that I can actually afford. 
Any advice or referrals welcome.
&amp;amp;#x200B;
TLDR: Had ICLs implanted at well-known clinic in LA; left with significant double vision and glare issues in left eye due to problematic iridotomy. Doctor has operated TWICE unsuccessfully to suture the hole and now it is worse, but wants to try again. Don't know what to do now.</t>
        </is>
      </c>
      <c r="D2068" t="n">
        <v>1</v>
      </c>
      <c r="E2068" t="n">
        <v>3</v>
      </c>
      <c r="F2068">
        <f>HYPERLINK("https://www.reddit.com/r/eyetriage/comments/ihrhya/icl_nightmare_advice_sought/")</f>
        <v/>
      </c>
      <c r="G2068" t="inlineStr">
        <is>
          <t>2020-08-27 12:18:21</t>
        </is>
      </c>
      <c r="H2068" t="inlineStr"/>
    </row>
    <row r="2069">
      <c r="A2069" t="inlineStr">
        <is>
          <t>ihtnjh</t>
        </is>
      </c>
      <c r="B2069" t="inlineStr">
        <is>
          <t>Best eye drops for sensitive eyes?</t>
        </is>
      </c>
      <c r="C2069" t="inlineStr">
        <is>
          <t>Hello!
Oops, moving here, as it looks like   is more for professional questions. What are the gentlest eye drops out there? Is it possible to be allergic to preservative-free drops? What are the gentlest eye drops out there? Is it possible to be allergic to preservative-free drops?
Background- I am about 1 and a half months post ICL. It went perfectly (other than halos, etc that I was warned about so they don't bother me much) except now if anything gets in my eyes, (eye lash, water, etc) they go crazy. Seriously painful burning until I get it out. The doc recommended using eye drops to flush out my eye since I shouldn't rub them. Problem is, the eye drops are SO painful! I'm stuck because whatever is in my eye causes such bad burning that I can barely open my eyes, but putting in eye drops leaves me withering in pain for a good 10-15mins. I've never had to use eye drops before this, so I'm not sure if this is normal. I thought it was a "drop them in and go" type of thing.
I've tried TheraTears Dry Eye, Systane Balance, Preservative Free TheraTears, and Preservative Free Systane Hydration PF. With all of these, the first 2-3x I used them was perfectly fine, and then they started causing intense pain (except Systane- felt like I got stabbed in the eye as soon I put a drop in). My doctor was surprised that the PF Systane was causing pain and basically said it isn't damaging my eyes so I'm fine.
So I'm wondering if you have (or have seen) this problem before, and what you would recommend trying? The eye drop aisle at CVS is intimidating so any suggestions are welcome!</t>
        </is>
      </c>
      <c r="D2069" t="n">
        <v>1</v>
      </c>
      <c r="E2069" t="n">
        <v>3</v>
      </c>
      <c r="F2069">
        <f>HYPERLINK("https://www.reddit.com/r/eyetriage/comments/ihtnjh/best_eye_drops_for_sensitive_eyes/")</f>
        <v/>
      </c>
      <c r="G2069" t="inlineStr">
        <is>
          <t>2020-08-27 14:09:54</t>
        </is>
      </c>
      <c r="H2069" t="inlineStr"/>
    </row>
    <row r="2070">
      <c r="A2070" t="inlineStr">
        <is>
          <t>ii9fzs</t>
        </is>
      </c>
      <c r="B2070" t="inlineStr">
        <is>
          <t>Will corrective surgery (LASEK/PRK etc.) affect reading-distance and do patients regret corrective surgery?</t>
        </is>
      </c>
      <c r="C2070" t="inlineStr">
        <is>
          <t>I'm wondering if someone is moderately near-sighted and uses glasses or contacts to correct for distance vision, but who can comfortably read at 9-10 inches without correction, gets corrective surgery is it likely to affect their reading-distance vision?
If surgical correction results in the need to wear reading glasses to read comfortably at any distance, do people regret getting surgery to correct long distance vision?</t>
        </is>
      </c>
      <c r="D2070" t="n">
        <v>1</v>
      </c>
      <c r="E2070" t="n">
        <v>3</v>
      </c>
      <c r="F2070">
        <f>HYPERLINK("https://www.reddit.com/r/eyetriage/comments/ii9fzs/will_corrective_surgery_lasekprk_etc_affect/")</f>
        <v/>
      </c>
      <c r="G2070" t="inlineStr">
        <is>
          <t>2020-08-28 08:45:22</t>
        </is>
      </c>
      <c r="H2070" t="inlineStr"/>
    </row>
    <row r="2071">
      <c r="A2071" t="inlineStr">
        <is>
          <t>iifvtc</t>
        </is>
      </c>
      <c r="B2071" t="inlineStr">
        <is>
          <t>Have I got a partially detached retina?</t>
        </is>
      </c>
      <c r="C2071" t="inlineStr">
        <is>
          <t>A few hours ago, I suddenly got a squiggle in my vision which persisted as a large floater, sometimes more than one. After a couple of hours the vision in that eye was suddenly filled with dots and I doubted my ability to drive home. This cleared but the floater remained. About an hour ago, I started see flashed of light, like shooting stars. Google says partially detached retina. It's late here (UK) and you can't just go to A &amp;amp; E anymore due to covid so I will try to see an optician tomorrow if I can get in anywhere. In the meantime, what do you guys think?</t>
        </is>
      </c>
      <c r="D2071" t="n">
        <v>1</v>
      </c>
      <c r="E2071" t="n">
        <v>10</v>
      </c>
      <c r="F2071">
        <f>HYPERLINK("https://www.reddit.com/r/eyetriage/comments/iifvtc/have_i_got_a_partially_detached_retina/")</f>
        <v/>
      </c>
      <c r="G2071" t="inlineStr">
        <is>
          <t>2020-08-28 14:24:17</t>
        </is>
      </c>
      <c r="H2071" t="inlineStr"/>
    </row>
    <row r="2072">
      <c r="A2072" t="inlineStr">
        <is>
          <t>iimzuk</t>
        </is>
      </c>
      <c r="B2072" t="inlineStr">
        <is>
          <t>Pupil is very dilated ~1 week after eye trauma. Anti-inflammatory drops aren’t doing anything. How long are they supposed to take / when should I be going back for a follow up?</t>
        </is>
      </c>
      <c r="C2072" t="inlineStr">
        <is>
          <t>I got hit in the eye about a week ago, and have since noticed that that pupil is very dilated. I saw an optometrist (I thought I was booking with an ophthalmologist but apparently not) and they said there was some inflammation in the eye.
I was prescribed anti-inflammatory drops but they’ve had no effect after 2 full days. 
How long are these drops supposed to take / how soon should I be going back? 
Also, should I be seeing an ophthalmologist or will an optometrist suffice? I thought I was booking with an ophthalmologist but their website was a bit misleading.</t>
        </is>
      </c>
      <c r="D2072" t="n">
        <v>1</v>
      </c>
      <c r="E2072" t="n">
        <v>5</v>
      </c>
      <c r="F2072">
        <f>HYPERLINK("https://www.reddit.com/r/eyetriage/comments/iimzuk/pupil_is_very_dilated_1_week_after_eye_trauma/")</f>
        <v/>
      </c>
      <c r="G2072" t="inlineStr">
        <is>
          <t>2020-08-28 22:23:47</t>
        </is>
      </c>
      <c r="H2072" t="inlineStr"/>
    </row>
    <row r="2073">
      <c r="A2073" t="inlineStr">
        <is>
          <t>iixo77</t>
        </is>
      </c>
      <c r="B2073" t="inlineStr">
        <is>
          <t>Pediatric Farsightedness/Amblyopia</t>
        </is>
      </c>
      <c r="C2073" t="inlineStr">
        <is>
          <t xml:space="preserve"> 
My 20 month old got diagnosed as farsighted with amblyopia in one eye. The doctor told us she needs to wear glasses with +5.50 lens all the time.
Wont that make it so she is unable to see far away? Can someone explain this to me?</t>
        </is>
      </c>
      <c r="D2073" t="n">
        <v>1</v>
      </c>
      <c r="E2073" t="n">
        <v>26</v>
      </c>
      <c r="F2073">
        <f>HYPERLINK("https://www.reddit.com/r/eyetriage/comments/iixo77/pediatric_farsightednessamblyopia/")</f>
        <v/>
      </c>
      <c r="G2073" t="inlineStr">
        <is>
          <t>2020-08-29 11:37:57</t>
        </is>
      </c>
      <c r="H2073" t="inlineStr"/>
    </row>
    <row r="2074">
      <c r="A2074" t="inlineStr">
        <is>
          <t>ij1evj</t>
        </is>
      </c>
      <c r="B2074" t="inlineStr">
        <is>
          <t>Medical Mystery</t>
        </is>
      </c>
      <c r="C2074" t="inlineStr">
        <is>
          <t xml:space="preserve"> I want to preface this post by stating that no, I have not had sudden vision loss or eye pain, and yes, I've called doctors. I have an appointment in September and I have a general idea of what's the problem and what I need. However, I would like to see other guesses, as this has perplexed every single otho and optom I've gone to.
I have television static in my vision and sometimes see little white spots too, and little black spots or streaking lines in my peripherals. The television static is worse when staring off into the distance, at the sky, and things like that, and better up close. I have a prescription from 8 years ago for +1.00/+1.75 with an axis of 01-10 (I don't know the specific amount or the cylinder but last I heard, it was a positive value) because I can't see things well directly in front of my face. The last time they gave me a Jaegar visual acuity test, my eyes would not focus enough and I believe the smallest I could read was No. 10 or No. 9. 
As for distance vision... I come up 20/20 despite not being able to read highway signs until I'm right on top of them, and, one other pesky little fact.
Whenever my eyes get tired, I sometimes see double vision of object or, if I'm reading, a faint copy of text behind the other text. Text becomes almost embossed, though that's a bit hard to describe. They start getting sore. 
When my eyes have decided they've had enough for the day, regardless of how close I am, I think this is the best visual representation I can make. [Link](https://i.imgur.com/eujWP1n.png) However, that's absolutely worst case scenario, usually I only have the faint duplicate text or two copies of it.
Regardless of whether or not my eyes are tired, I sometimes skip lines in reading or go back to the beginning of the line I just started. Reading is difficult, and that's not for books up close with my reading glasses. 
I go to the doctors, they give me a visual acuity test at the same distance as the snellen test except its flat lines. They ask me to read from left to right, without moving my eyes at all. The letters on the left and the right sides start out hazy and fuzzy and only become clearer the closer they get to the center.  My diagnosis? I should try to relax my eyes more, I'm focusing too hard, and it's causing strain. Perfect vision otherwise. 
They told me to try drops (and I do) and tell me to preform relaxation techniques that may help me relax enough to stop focusing so damn hard on the stuff around me. And I try. I do give this my all. And this only makes matters worse.
Following their advice, I try to relax my eyes and stop straining them so much. Everything gets hazy and blurry. The outlines of items get smudged, like you used a fuzzy tool on the outlines and edges. The colors become meshed together into one blob, and sometimes I only register colors x and y because z pretty much melded. It doesn't matter the distance, this is for ALL distances though far, far, away may be absolutely indecipherable at all. And the more I let my eyes relax, the worse it gets. Eventually, I develop a fuzzy black hole right between my eyes, like a yawning grave that threatens to expand but never does. Usually my double vision comes back with a vengeance. I often can't use computers easily some nights as a result of my eyes getting too tired and my vision performing either this act of defenestration or the one I previously mentioned.
My 3D vision is intact, my depth perception is mildly poor but worse enough I can't judge distance. Possibly missing the very furthest degrees in my field of vision, though my eye doctors have never known what to make of the results of those tests because it's so mild.
Notes for further symptoms I am about to explain. These are not constant variables. Some of these I have once a week, some once a month, some a couple times a year or haven't shown symptoms in years. Severity is not a constant either.
I had chronic migraines throughout middle school. Sensitivity to lights in middle school, sometimes in high school, and once in a while in my  few adult years, which mostly means the lights hurt or feel uncomfortable but sometimes they hurt my head or my eyes. Dizziness as in the whole world is spinning and vertigo as in, even if I'm lying still with my eyes closed, my whole world feels like I'm on a tilt-a-whirl. Veering to one side while walking. Feeling lopsided, as if I am leaning too far one way or the floor is coming up to meet me or I'm seconds away from falling. My head feels like jell  every once in a while when I wake up, and on those days, I tilt to one side and everything around me feels like it does to. I tilt my head to one side whenever I am doing something and don't realize. Very, very,  watery eyes at times. Straightness is not a part of my identity and neither is it a part of anything I do. I recently almost lobbed off my thumb due to depth perception issues.
I often work better in dim lighting but anything electronic, the screen has to be as bright as you can go. 
Also, when I get double vision and close one eye, it DOES stop. Sometimes it also improves my dizziness and vertigo.
There might be additional symptoms I am not remembering and leaving out, and I should also mention I have autism and mild hearing loss.
What are your guesses?</t>
        </is>
      </c>
      <c r="D2074" t="n">
        <v>1</v>
      </c>
      <c r="E2074" t="n">
        <v>3</v>
      </c>
      <c r="F2074">
        <f>HYPERLINK("https://www.reddit.com/r/eyetriage/comments/ij1evj/medical_mystery/")</f>
        <v/>
      </c>
      <c r="G2074" t="inlineStr">
        <is>
          <t>2020-08-29 15:17:30</t>
        </is>
      </c>
      <c r="H2074" t="inlineStr"/>
    </row>
    <row r="2075">
      <c r="A2075" t="inlineStr">
        <is>
          <t>ij2d4c</t>
        </is>
      </c>
      <c r="B2075" t="inlineStr">
        <is>
          <t>After an object hits your eye with your eye lids closed, what should be expected from a healthy recovery and what could be a sign of problem?</t>
        </is>
      </c>
      <c r="C2075" t="inlineStr">
        <is>
          <t>A 15 cm long screw, weighing around 20 grams  (without sharp point, didn't cut anything) flew straight into my left eye in an incident yesterday. It must have been in some speed like 25-30 km/h but no more than that. 
My eye closed in time and I think it couldn't hit my cornea anyway, it hit well above the center but the impact was pretty strong. Just after I had a blind region in the lower part of my visual field (once the impact was on near the upper part of the retina), but it came back to (nearly) normal in a matter of minutes.  
I still had pain, specially moving my eye down, but apparently no visual problems.  
But, at night I noted there seemed to be a "phantom light" across a region in my left eye visual field, the same region that now seems to have a kind of "afterimage" all the moments I close my eye.  
It's a fuzzy figure more or less in this location in my visual field:   
&amp;amp;#x200B;
*Processing img 9oed7werx0k51...*
I'd say my eye could still be slightly swollen and mechanically stimulating that region while moving, but I'm  asking here just to be sure if there's anything worrying about it and what should I take care more urgently.  
I'm in a restrict quarantine since March and my dad has asthma, so I'm trying to avoid going to an ophthalmologist for something that could be just a minor problem, even if I go to one later after I can go out.     
Thanks!</t>
        </is>
      </c>
      <c r="D2075" t="n">
        <v>1</v>
      </c>
      <c r="E2075" t="n">
        <v>2</v>
      </c>
      <c r="F2075">
        <f>HYPERLINK("https://www.reddit.com/r/eyetriage/comments/ij2d4c/after_an_object_hits_your_eye_with_your_eye_lids/")</f>
        <v/>
      </c>
      <c r="G2075" t="inlineStr">
        <is>
          <t>2020-08-29 16:16:50</t>
        </is>
      </c>
      <c r="H2075" t="inlineStr"/>
    </row>
    <row r="2076">
      <c r="A2076" t="inlineStr">
        <is>
          <t>ij47qu</t>
        </is>
      </c>
      <c r="B2076" t="inlineStr">
        <is>
          <t>Atropine vs Cyclopentolate drops?</t>
        </is>
      </c>
      <c r="C2076" t="inlineStr">
        <is>
          <t>So I’ve been using Cyclopentolate 1% drops to treat a suspected accommodative spasm (which hasn’t gotten better). And I read that they did a study on using Cyclopentolate drops on children with sever hyperopia and adults with latent hyperopia. I know the cyclo drops are shorter duration than the atropine, but is there a difference why they don’t treat the spasm with atropine drops? The cyclo drops don’t last enough time for me in an 8+ hour day for work (if my trial lenses don’t work there’s a 98% chance I’m going back on the drops.) 
Just curious to know why they’re different. I’m treating my dogs uveitis with atropine sulfate 1% drops (and some other meds prescribed from the vet), and I believe it’s for secondary glaucoma or pain relief (or both?) 
Sorry if I’m confused, I’m just interested to know the differences between the drops. Thanks!</t>
        </is>
      </c>
      <c r="D2076" t="n">
        <v>1</v>
      </c>
      <c r="E2076" t="n">
        <v>2</v>
      </c>
      <c r="F2076">
        <f>HYPERLINK("https://www.reddit.com/r/eyetriage/comments/ij47qu/atropine_vs_cyclopentolate_drops/")</f>
        <v/>
      </c>
      <c r="G2076" t="inlineStr">
        <is>
          <t>2020-08-29 18:20:50</t>
        </is>
      </c>
      <c r="H2076" t="inlineStr"/>
    </row>
    <row r="2077">
      <c r="A2077" t="inlineStr">
        <is>
          <t>ijaz8p</t>
        </is>
      </c>
      <c r="B2077" t="inlineStr">
        <is>
          <t>Is having your brightness too low actually bad for you?</t>
        </is>
      </c>
      <c r="C2077" t="inlineStr">
        <is>
          <t>When I was a kid and would play my DS in the car ride home after a night out at a relatives, I would turn down the brightness of my DS or phone because it would be night time and don't want to blind everyone with a full beam of light but my dad would constantly tell me to turn/keep the brightness up even if it's in the dark even if it would make my eyes squint and recently heard him say the same thing to me again but now I question whether if low brightness on your phone is actually bad for your eyes even though it feels better rather than the blindingness of when it's full brightness. (Btw my dad isn't a doctor/ he's just a classic Asian dad who believes in weird Asian stuff) Thank you!</t>
        </is>
      </c>
      <c r="D2077" t="n">
        <v>1</v>
      </c>
      <c r="E2077" t="n">
        <v>8</v>
      </c>
      <c r="F2077">
        <f>HYPERLINK("https://www.reddit.com/r/eyetriage/comments/ijaz8p/is_having_your_brightness_too_low_actually_bad/")</f>
        <v/>
      </c>
      <c r="G2077" t="inlineStr">
        <is>
          <t>2020-08-30 03:59:38</t>
        </is>
      </c>
      <c r="H2077" t="inlineStr"/>
    </row>
    <row r="2078">
      <c r="A2078" t="inlineStr">
        <is>
          <t>ijq9dp</t>
        </is>
      </c>
      <c r="B2078" t="inlineStr">
        <is>
          <t>Out of options for suspected accommodative spasm treatment? What next</t>
        </is>
      </c>
      <c r="C2078" t="inlineStr">
        <is>
          <t xml:space="preserve">
First and foremost, on mobile, so sorry. And I post too much in here but I need any idea to help me out. As you can see, I’ve been dealing with a suspected accommodative spasm for over a few years now, but it noticeably got worse after my concussion in April of 2019. I’m a 19y/o female with no other health factors that would affect the eyes. 
After doing visual therapy for months, we had to give up and switch to Cyclopentolate drops. Those only helped my mid range vision (and stopped the constant focus/unfocusing that happens 24/7). I told my opthalmologist I’m willing to trying to lower my prescription again (originally OS +5.75 and OD +6.00). He dropped both eyes down two powers. While I’m still trialing the lenses, my sight is just not holding up. It’s worse than it was with the higher powers. 
My ophthalmologist told me  “If this doesn’t work, we’re out of options.” I can see about 20/250 in the left, 20/90 in the right. My contacts correct only so much of it. Is there any other options for me? I’ve seen four different specialists, all left clueless. I would see a neuro optho but none of the specialists have a glimpse of something that would be disturbing my eyes neurologically. I’m not overly anxious or stressed, never to an amount that’s excessively abnormal. My stress/anxiety levels have never had an influence on my sight. 
What’s left for me to do? I can barely drive and walk alone. My depth perception has never been good, I can’t see in the dark well, very photophobic, and I have static like floaters. P.S. only reason I drive is because I’m legally allowed to, and I’m comfortable driving in the day. Not allowed to drive at night anymore. 
TL;DR: out of treatment options for accommodative spasm, what can I do next? Is there anything else beneficial out there for me.</t>
        </is>
      </c>
      <c r="D2078" t="n">
        <v>1</v>
      </c>
      <c r="E2078" t="n">
        <v>4</v>
      </c>
      <c r="F2078">
        <f>HYPERLINK("https://www.reddit.com/r/eyetriage/comments/ijq9dp/out_of_options_for_suspected_accommodative_spasm/")</f>
        <v/>
      </c>
      <c r="G2078" t="inlineStr">
        <is>
          <t>2020-08-30 20:00:55</t>
        </is>
      </c>
      <c r="H2078" t="inlineStr"/>
    </row>
    <row r="2079">
      <c r="A2079" t="inlineStr">
        <is>
          <t>ijsm6x</t>
        </is>
      </c>
      <c r="B2079" t="inlineStr">
        <is>
          <t>Atropine 1% eye drops... When will my eyes feel normal again?</t>
        </is>
      </c>
      <c r="C2079" t="inlineStr">
        <is>
          <t>Hi! This weekend I had an eye-related emergency as a result of a migraine preventative drug I just started about a week ago (Topamax). My knowledge of eye anatomy is pretty subpar, but my understanding is that my iris was swollen in a way that was resulting in an angle closure of the eye's fluid system (potentially causing secondary angle closure glaucoma?). Thankfully I saw my opthamologist soon enough (and stopped the medication that caused this!) and things seem to be improving.
I'm not necessarily asking for medical advice, but more so hoping for a better understanding of what I can expect with the Atropine Sulfate 1% eye drops that were prescribed to me (along with some steroid eye drops). My vision is super blurry up close and my pupils are huge and I'm extremely horribly light sensitive. I have chronic migraines and light sensitivity is a major issue for me already, so the extra light sensitivity is really hard to deal with. 
I was told my vision could be blurry for up to 7 days after my last dose, and my pupils could stay dialated for up to 14 days... Does it really take that long? Is it bad for my eyes to try and read text while my vision is blurry? And is eye pain normal with light sensitivity? I had plenty of eye pain when this whole thing started and this pain is nothing compared to that, but I can't tell if this pain is from what happened with my eyes, or part of having my eyes sooo sensitive to light right now. 
If I have any major concerns, I will definitely call my opthamologist's office, and I will definitely ask these questions during my recheck appointment as well. In the meantime, any help with understanding how long Atropine will impact my eyes would be appreciated! It's worth it if my eyes need it to heal, but the side effects are killing me :(
TLDR: Atropine sulfate 1% eye drops..... How long does it actually take for my eyes to return to normal?
Thanks so much in advance for any help!!</t>
        </is>
      </c>
      <c r="D2079" t="n">
        <v>1</v>
      </c>
      <c r="E2079" t="n">
        <v>2</v>
      </c>
      <c r="F2079">
        <f>HYPERLINK("https://www.reddit.com/r/eyetriage/comments/ijsm6x/atropine_1_eye_drops_when_will_my_eyes_feel/")</f>
        <v/>
      </c>
      <c r="G2079" t="inlineStr">
        <is>
          <t>2020-08-30 22:57:03</t>
        </is>
      </c>
      <c r="H2079" t="inlineStr"/>
    </row>
    <row r="2080">
      <c r="A2080" t="inlineStr">
        <is>
          <t>ijso3k</t>
        </is>
      </c>
      <c r="B2080" t="inlineStr">
        <is>
          <t>Eye irritation from wearing contacts</t>
        </is>
      </c>
      <c r="C2080" t="inlineStr">
        <is>
          <t>I’m not sure if this is the right subreddit as there are several that are eye related, but feel free to take it down. 
I wear acuvue one day moist for astigmatism contact lens. 
When I first got contacts, my eyes would feel dry after wearing contacts all day. Lately, my eyes get really irritated while I wear contacts. I noticed that there are blood vessels on my eye. What is this a sign of? 
When I wake up and wear glasses, my eyes feel fine until I switch to contacts. Once they start getting irritated after a few hours, I take the contacts off but the eye itchiness and irritation persists for hours until I feel asleep. 
Aside from this, I’ve been having really bad eye allergies lately (I think) or dry eye. I’m not sure what’s going on but the inner corners of my eyes are always itchy and it’s been really hard not to resist rubbing it. I think there’s a cut now on one inner corner. Also, the eyelid part of my skin feels itchy and sensitive too.</t>
        </is>
      </c>
      <c r="D2080" t="n">
        <v>1</v>
      </c>
      <c r="E2080" t="n">
        <v>11</v>
      </c>
      <c r="F2080">
        <f>HYPERLINK("https://www.reddit.com/r/eyetriage/comments/ijso3k/eye_irritation_from_wearing_contacts/")</f>
        <v/>
      </c>
      <c r="G2080" t="inlineStr">
        <is>
          <t>2020-08-30 23:01:42</t>
        </is>
      </c>
      <c r="H2080" t="inlineStr"/>
    </row>
    <row r="2081">
      <c r="A2081" t="inlineStr">
        <is>
          <t>ik0lrq</t>
        </is>
      </c>
      <c r="B2081" t="inlineStr">
        <is>
          <t>Chances of better than 20/20 vision with LASIK?</t>
        </is>
      </c>
      <c r="C2081" t="inlineStr">
        <is>
          <t>I posted this on r/lasik and got several replies from people who did get 20/15 but wanted a doctors opinion as well.
I hear people say all the time in radio ads and online testimonials they see better than 20/20 after Lasik. I’m starting to get pretty frustrated with contacts and considering lasik more and more. Is this common?
I’m a 30 year old female. My prescription isn’t too terrible but I do feel pretty dependent on contacts/glasses for most activities. Right now my contacts are -1.5 and my glasses -1.75 but I feel like I’m probably closer to -2 or -2.5 (current doctor says I was over corrected at the stronger prescription several years ago but I’m not completely satisfied with that as I do feel like my vision was sharper then. but I also haven’t had uncorrected 20/20 vision in at least 20 years so maybe by expectations are too high.
I guess I just want to know could I reasonably expect to see clearer than I do know with lasik. Obviously i know nothing is guaranteed but just wondering if this is an unrealistic expectation.</t>
        </is>
      </c>
      <c r="D2081" t="n">
        <v>1</v>
      </c>
      <c r="E2081" t="n">
        <v>7</v>
      </c>
      <c r="F2081">
        <f>HYPERLINK("https://www.reddit.com/r/eyetriage/comments/ik0lrq/chances_of_better_than_2020_vision_with_lasik/")</f>
        <v/>
      </c>
      <c r="G2081" t="inlineStr">
        <is>
          <t>2020-08-31 08:57:14</t>
        </is>
      </c>
      <c r="H2081" t="inlineStr"/>
    </row>
    <row r="2082">
      <c r="A2082" t="inlineStr">
        <is>
          <t>ik7dwd</t>
        </is>
      </c>
      <c r="B2082" t="inlineStr">
        <is>
          <t>Spots in vision for just over a year</t>
        </is>
      </c>
      <c r="C2082" t="inlineStr">
        <is>
          <t>I am wondering if anybody has ever heard of symptoms like this before. I’m 27 yo/f no past medical history. I am myopic -6.5 in the left -6 right no astigmatism. 
I am pretty worried about these symptoms. I see split second flashes of light it is a pinpoint it burns bright into my vision so quickly I can’t tell which eye it is from it’s like a burnt out pixel on a TV screen but like for 0.5 seconds. I’ve never noticed it happening in the same place it seems to occur randomly. Saw an optometrist and ophthalmologist who said I had normal eyes.
About a month ago I see another split second thing when I am in certain light like fluorescent in the hallway I’ll see an overlay on my vision for a split second in (I think) the upper and outer quadrants of my eye. It looks like a reflection off of a disco ball. It also only lasts a millisecond so I’ve never been able to pinpoint exactly which eye or what exactly triggers it. Saw an optometrist after this started for a dilated annual contacts exam he said everything looked fine.
No blurry vision, no color distortion, no other issues. My ocular pressure has been normal and my visual fields are also normal. 
Not sure what to think of it... have you guys ever had a patient with these symptoms?</t>
        </is>
      </c>
      <c r="D2082" t="n">
        <v>1</v>
      </c>
      <c r="E2082" t="n">
        <v>0</v>
      </c>
      <c r="F2082">
        <f>HYPERLINK("https://www.reddit.com/r/eyetriage/comments/ik7dwd/spots_in_vision_for_just_over_a_year/")</f>
        <v/>
      </c>
      <c r="G2082" t="inlineStr">
        <is>
          <t>2020-08-31 14:47:34</t>
        </is>
      </c>
      <c r="H2082" t="inlineStr"/>
    </row>
    <row r="2083">
      <c r="A2083" t="inlineStr">
        <is>
          <t>ik7mx8</t>
        </is>
      </c>
      <c r="B2083" t="inlineStr">
        <is>
          <t>Opiate required by Neuro Ophthalmologist</t>
        </is>
      </c>
      <c r="C2083" t="inlineStr">
        <is>
          <t>My buddy's Brother has a history of drug abuse and his current excuse for needing to stay on  Suboxone (A methadone type of drug that helps him avoid worse opiates) is that his Neuro Ophthalmologist tells him his vision would "fall apart" without Suboxone. Is it possible that there is any truth to this?</t>
        </is>
      </c>
      <c r="D2083" t="n">
        <v>1</v>
      </c>
      <c r="E2083" t="n">
        <v>2</v>
      </c>
      <c r="F2083">
        <f>HYPERLINK("https://www.reddit.com/r/eyetriage/comments/ik7mx8/opiate_required_by_neuro_ophthalmologist/")</f>
        <v/>
      </c>
      <c r="G2083" t="inlineStr">
        <is>
          <t>2020-08-31 15:01:26</t>
        </is>
      </c>
      <c r="H2083"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2020-09-05T12:22:09Z</dcterms:created>
  <dcterms:modified xsi:type="dcterms:W3CDTF">2020-09-05T12:22:09Z</dcterms:modified>
</cp:coreProperties>
</file>