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Thesis.N\FreshStart_trans\Field_trans\"/>
    </mc:Choice>
  </mc:AlternateContent>
  <bookViews>
    <workbookView xWindow="0" yWindow="0" windowWidth="14385" windowHeight="5445" tabRatio="868" firstSheet="1" activeTab="4"/>
  </bookViews>
  <sheets>
    <sheet name="Discharge" sheetId="13" r:id="rId1"/>
    <sheet name="Canopy" sheetId="17" r:id="rId2"/>
    <sheet name="Wwidth" sheetId="18" r:id="rId3"/>
    <sheet name="Depth" sheetId="19" r:id="rId4"/>
    <sheet name="Fish" sheetId="12" r:id="rId5"/>
    <sheet name="TempLight" sheetId="22" r:id="rId6"/>
    <sheet name="trans" sheetId="16" r:id="rId7"/>
    <sheet name="BP" sheetId="2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16" i="12" l="1"/>
  <c r="R145" i="12"/>
  <c r="T145" i="12" s="1"/>
  <c r="R173" i="12"/>
  <c r="R197" i="12"/>
  <c r="S197" i="12"/>
  <c r="S173" i="12"/>
  <c r="S145" i="12"/>
  <c r="S116" i="12"/>
  <c r="S95" i="12"/>
  <c r="T95" i="12" s="1"/>
  <c r="R95" i="12"/>
  <c r="R85" i="12"/>
  <c r="S85" i="12"/>
  <c r="S68" i="12"/>
  <c r="S50" i="12"/>
  <c r="S27" i="12"/>
  <c r="R68" i="12"/>
  <c r="R50" i="12"/>
  <c r="T27" i="12"/>
  <c r="R27" i="12"/>
  <c r="T173" i="12" l="1"/>
  <c r="T197" i="12"/>
  <c r="T116" i="12"/>
  <c r="T85" i="12"/>
  <c r="T68" i="12"/>
  <c r="T50" i="12"/>
  <c r="W200" i="12"/>
  <c r="V200" i="12"/>
  <c r="X200" i="12"/>
  <c r="X176" i="12"/>
  <c r="W176" i="12"/>
  <c r="V176" i="12"/>
  <c r="W148" i="12"/>
  <c r="V148" i="12"/>
  <c r="X148" i="12"/>
  <c r="W121" i="12"/>
  <c r="V121" i="12"/>
  <c r="X121" i="12"/>
  <c r="W119" i="12"/>
  <c r="V119" i="12"/>
  <c r="X119" i="12"/>
  <c r="Z102" i="12"/>
  <c r="Y102" i="12"/>
  <c r="AA102" i="12"/>
  <c r="W88" i="12"/>
  <c r="V88" i="12"/>
  <c r="X88" i="12"/>
  <c r="W71" i="12"/>
  <c r="V71" i="12"/>
  <c r="X71" i="12"/>
  <c r="W53" i="12"/>
  <c r="V53" i="12"/>
  <c r="X53" i="12"/>
  <c r="W30" i="12"/>
  <c r="X30" i="12"/>
  <c r="V30" i="12"/>
  <c r="AE148" i="12"/>
  <c r="AI148" i="12"/>
  <c r="T200" i="12"/>
  <c r="S176" i="12"/>
  <c r="T176" i="12"/>
  <c r="T148" i="12"/>
  <c r="Z121" i="12"/>
  <c r="AD121" i="12"/>
  <c r="AC121" i="12"/>
  <c r="AG121" i="12"/>
  <c r="AB121" i="12"/>
  <c r="T119" i="12"/>
  <c r="V102" i="12"/>
  <c r="T88" i="12"/>
  <c r="T71" i="12"/>
  <c r="T53" i="12"/>
  <c r="T30" i="12"/>
  <c r="AC176" i="12"/>
  <c r="AG176" i="12"/>
  <c r="N200" i="12"/>
  <c r="AE200" i="12"/>
  <c r="AD200" i="12"/>
  <c r="AB200" i="12"/>
  <c r="AA200" i="12"/>
  <c r="Z200" i="12"/>
  <c r="AH200" i="12"/>
  <c r="AC200" i="12"/>
  <c r="AG200" i="12"/>
  <c r="AE176" i="12"/>
  <c r="AA176" i="12"/>
  <c r="Z176" i="12"/>
  <c r="AD176" i="12"/>
  <c r="AH176" i="12"/>
  <c r="AB176" i="12"/>
  <c r="AF148" i="12"/>
  <c r="AB148" i="12"/>
  <c r="AA148" i="12"/>
  <c r="AD148" i="12"/>
  <c r="AH148" i="12"/>
  <c r="AC148" i="12"/>
  <c r="AD119" i="12"/>
  <c r="AH119" i="12"/>
  <c r="AC119" i="12"/>
  <c r="AG119" i="12"/>
  <c r="AE119" i="12"/>
  <c r="AB119" i="12"/>
  <c r="AA119" i="12"/>
  <c r="Z119" i="12"/>
  <c r="S200" i="12"/>
  <c r="S148" i="12"/>
  <c r="S119" i="12"/>
  <c r="O119" i="12"/>
  <c r="N119" i="12"/>
  <c r="S53" i="12"/>
  <c r="O53" i="12"/>
  <c r="S71" i="12"/>
  <c r="N30" i="12"/>
  <c r="N53" i="12"/>
  <c r="N71" i="12"/>
  <c r="N88" i="12"/>
  <c r="N102" i="12"/>
  <c r="N121" i="12"/>
  <c r="N148" i="12"/>
  <c r="N176" i="12"/>
  <c r="O30" i="12"/>
  <c r="R30" i="12"/>
  <c r="S30" i="12"/>
  <c r="R121" i="12"/>
  <c r="Q121" i="12"/>
  <c r="U121" i="12"/>
  <c r="O176" i="12"/>
  <c r="R176" i="12"/>
  <c r="Q176" i="12"/>
  <c r="U176" i="12"/>
  <c r="O148" i="12"/>
  <c r="R200" i="12"/>
  <c r="Q200" i="12"/>
  <c r="U200" i="12"/>
  <c r="R148" i="12"/>
  <c r="Q148" i="12"/>
  <c r="U148" i="12"/>
  <c r="R119" i="12"/>
  <c r="Q119" i="12"/>
  <c r="U119" i="12"/>
  <c r="O102" i="12"/>
  <c r="P102" i="12"/>
  <c r="Q102" i="12"/>
  <c r="X96" i="12"/>
  <c r="T97" i="12"/>
  <c r="U97" i="12"/>
  <c r="R102" i="12"/>
  <c r="S102" i="12"/>
  <c r="Y96" i="12"/>
  <c r="Y97" i="12"/>
  <c r="W97" i="12"/>
  <c r="X97" i="12"/>
  <c r="U102" i="12"/>
  <c r="W102" i="12"/>
  <c r="X102" i="12"/>
  <c r="O88" i="12"/>
  <c r="R88" i="12"/>
  <c r="S88" i="12"/>
  <c r="Q88" i="12"/>
  <c r="U88" i="12"/>
  <c r="O71" i="12"/>
  <c r="R71" i="12"/>
  <c r="Q71" i="12"/>
  <c r="U71" i="12"/>
  <c r="R53" i="12"/>
  <c r="Q53" i="12"/>
  <c r="U53" i="12"/>
  <c r="Q30" i="12"/>
  <c r="U30" i="12"/>
  <c r="K20" i="16"/>
  <c r="P200" i="12"/>
  <c r="P176" i="12"/>
  <c r="P148" i="12"/>
  <c r="P121" i="12"/>
  <c r="P119" i="12"/>
  <c r="W100" i="12"/>
  <c r="W99" i="12"/>
  <c r="T100" i="12"/>
  <c r="T99" i="12"/>
  <c r="R100" i="12"/>
  <c r="R99" i="12"/>
  <c r="P100" i="12"/>
  <c r="P99" i="12"/>
  <c r="P88" i="12"/>
  <c r="Q99" i="12"/>
  <c r="U99" i="12"/>
  <c r="S99" i="12"/>
  <c r="X99" i="12"/>
  <c r="P71" i="12"/>
  <c r="P53" i="12"/>
  <c r="P30" i="12"/>
  <c r="Y99" i="12"/>
</calcChain>
</file>

<file path=xl/sharedStrings.xml><?xml version="1.0" encoding="utf-8"?>
<sst xmlns="http://schemas.openxmlformats.org/spreadsheetml/2006/main" count="779" uniqueCount="83">
  <si>
    <t>site</t>
  </si>
  <si>
    <t>Date</t>
  </si>
  <si>
    <t>pass</t>
  </si>
  <si>
    <t>seconds</t>
  </si>
  <si>
    <t>species</t>
  </si>
  <si>
    <t>count</t>
  </si>
  <si>
    <t>SW</t>
  </si>
  <si>
    <t>#</t>
  </si>
  <si>
    <t>Cut</t>
  </si>
  <si>
    <t>HYB</t>
  </si>
  <si>
    <t>_</t>
  </si>
  <si>
    <t>HU</t>
  </si>
  <si>
    <t>Y Cut</t>
  </si>
  <si>
    <t>IR</t>
  </si>
  <si>
    <t>BL</t>
  </si>
  <si>
    <t>HO</t>
  </si>
  <si>
    <t>JA</t>
  </si>
  <si>
    <t>ST</t>
  </si>
  <si>
    <t>MI</t>
  </si>
  <si>
    <t>FR</t>
  </si>
  <si>
    <t>FI</t>
  </si>
  <si>
    <t>Stream</t>
  </si>
  <si>
    <t>C1</t>
  </si>
  <si>
    <t>C2</t>
  </si>
  <si>
    <t>P</t>
  </si>
  <si>
    <t>N</t>
  </si>
  <si>
    <t>N var</t>
  </si>
  <si>
    <t>C3</t>
  </si>
  <si>
    <t>T</t>
  </si>
  <si>
    <t>X</t>
  </si>
  <si>
    <t>tot</t>
  </si>
  <si>
    <t>p</t>
  </si>
  <si>
    <t>Q (L/s)</t>
  </si>
  <si>
    <t>Psc</t>
  </si>
  <si>
    <t>RBT</t>
  </si>
  <si>
    <t>Ssc</t>
  </si>
  <si>
    <t>Hurley</t>
  </si>
  <si>
    <t>First</t>
  </si>
  <si>
    <t>Hovey</t>
  </si>
  <si>
    <t>Jack</t>
  </si>
  <si>
    <t>Frost</t>
  </si>
  <si>
    <t>Blue</t>
  </si>
  <si>
    <t>Iron</t>
  </si>
  <si>
    <t>Swauk</t>
  </si>
  <si>
    <t>Standup</t>
  </si>
  <si>
    <t>Miller</t>
  </si>
  <si>
    <t>Discharge (L/s)</t>
  </si>
  <si>
    <t>trout population</t>
  </si>
  <si>
    <t>population  StdErr</t>
  </si>
  <si>
    <t>mean trout mass (g)</t>
  </si>
  <si>
    <t>average moths per trap</t>
  </si>
  <si>
    <t>trout biomass in site (g/m2)</t>
  </si>
  <si>
    <t>site length (m)</t>
  </si>
  <si>
    <t>Length (mm)</t>
  </si>
  <si>
    <t>Weight (g)</t>
  </si>
  <si>
    <t>BP (mmHg)</t>
  </si>
  <si>
    <t>Mean D (m)</t>
  </si>
  <si>
    <t>mean Weight</t>
  </si>
  <si>
    <t>biomass per meter</t>
  </si>
  <si>
    <t>biomass var?</t>
  </si>
  <si>
    <t>sum</t>
  </si>
  <si>
    <t>%open canopy</t>
  </si>
  <si>
    <t>CUT</t>
  </si>
  <si>
    <t>Only from flow</t>
  </si>
  <si>
    <t>mean with flow measurement</t>
  </si>
  <si>
    <t>depth</t>
  </si>
  <si>
    <t>only from flow</t>
  </si>
  <si>
    <t>Wet Width</t>
  </si>
  <si>
    <t>SCP</t>
  </si>
  <si>
    <t>var.s weight</t>
  </si>
  <si>
    <t>additive PAR*2</t>
  </si>
  <si>
    <t>mean PAR</t>
  </si>
  <si>
    <t>max par</t>
  </si>
  <si>
    <t>max temp</t>
  </si>
  <si>
    <t>min temp</t>
  </si>
  <si>
    <t>mean temp</t>
  </si>
  <si>
    <t>biomass var</t>
  </si>
  <si>
    <t>Biomass SE</t>
  </si>
  <si>
    <t>Biomass SE per meter</t>
  </si>
  <si>
    <t>se</t>
  </si>
  <si>
    <t>sqrt count</t>
  </si>
  <si>
    <t>sd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</si>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</sst>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5" fontId="0" fillId="0" borderId="0" xfId="0" applyNumberFormat="1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 vertical="center"/>
    </xf>
    <xf numFmtId="165" fontId="0" fillId="0" borderId="0" xfId="0" applyNumberFormat="1"/>
    <xf numFmtId="166" fontId="0" fillId="0" borderId="0" xfId="0" applyNumberFormat="1"/>
    <xf numFmtId="0" fontId="0" fillId="0" borderId="1" xfId="0" applyBorder="1" applyAlignment="1">
      <alignment horizontal="left"/>
    </xf>
    <xf numFmtId="165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15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11</xdr:row>
      <xdr:rowOff>114300</xdr:rowOff>
    </xdr:from>
    <xdr:to>
      <xdr:col>7</xdr:col>
      <xdr:colOff>1543050</xdr:colOff>
      <xdr:row>22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87905B-91CE-4BEA-8E9D-602FA6D15CA2}"/>
            </a:ext>
          </a:extLst>
        </xdr:cNvPr>
        <xdr:cNvSpPr txBox="1"/>
      </xdr:nvSpPr>
      <xdr:spPr>
        <a:xfrm>
          <a:off x="520700" y="2139950"/>
          <a:ext cx="6470650" cy="198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</a:t>
          </a:r>
          <a:r>
            <a:rPr lang="en-US" sz="1100" baseline="0"/>
            <a:t> numbers are not quite official yet because I still need to go back and get measurements for average stream width and depth.</a:t>
          </a:r>
        </a:p>
        <a:p>
          <a:endParaRPr lang="en-US" sz="1100" baseline="0"/>
        </a:p>
        <a:p>
          <a:r>
            <a:rPr lang="en-US" sz="1100" baseline="0"/>
            <a:t>for trout biomass I just multiplied the population by the average mass of fish and divided by the site length and approximate width.  This may not be the best way to do it though.</a:t>
          </a:r>
        </a:p>
        <a:p>
          <a:endParaRPr lang="en-US" sz="1100" baseline="0"/>
        </a:p>
        <a:p>
          <a:r>
            <a:rPr lang="en-US" sz="1100" baseline="0"/>
            <a:t>Not represented here is the DO, temp and light data because I have not calculated anything meaningful from it yet.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sqref="A1:F11"/>
    </sheetView>
  </sheetViews>
  <sheetFormatPr defaultColWidth="8.7109375" defaultRowHeight="15" x14ac:dyDescent="0.25"/>
  <cols>
    <col min="1" max="1" width="7.28515625" style="2" bestFit="1" customWidth="1"/>
    <col min="2" max="2" width="4.7109375" style="2" bestFit="1" customWidth="1"/>
    <col min="3" max="3" width="3" style="2" bestFit="1" customWidth="1"/>
    <col min="4" max="4" width="8.85546875" style="6" bestFit="1" customWidth="1"/>
    <col min="5" max="5" width="9" style="2" bestFit="1" customWidth="1"/>
    <col min="6" max="6" width="10.85546875" style="2" bestFit="1" customWidth="1"/>
    <col min="7" max="16384" width="8.7109375" style="2"/>
  </cols>
  <sheetData>
    <row r="1" spans="1:6" x14ac:dyDescent="0.25">
      <c r="A1" s="2" t="s">
        <v>21</v>
      </c>
      <c r="D1" s="6" t="s">
        <v>1</v>
      </c>
      <c r="E1" s="2" t="s">
        <v>32</v>
      </c>
      <c r="F1" s="2" t="s">
        <v>55</v>
      </c>
    </row>
    <row r="2" spans="1:6" x14ac:dyDescent="0.25">
      <c r="A2" s="2" t="s">
        <v>11</v>
      </c>
      <c r="B2" s="2" t="s">
        <v>60</v>
      </c>
      <c r="C2" s="2">
        <v>17</v>
      </c>
      <c r="D2" s="6">
        <v>42937</v>
      </c>
      <c r="E2" s="2">
        <v>0.27599999999999997</v>
      </c>
      <c r="F2" s="2">
        <v>724</v>
      </c>
    </row>
    <row r="3" spans="1:6" x14ac:dyDescent="0.25">
      <c r="A3" s="2" t="s">
        <v>20</v>
      </c>
      <c r="B3" s="2" t="s">
        <v>60</v>
      </c>
      <c r="C3" s="2">
        <v>17</v>
      </c>
      <c r="D3" s="6">
        <v>42944</v>
      </c>
      <c r="E3" s="2">
        <v>0.33299999999999996</v>
      </c>
      <c r="F3" s="2">
        <v>725</v>
      </c>
    </row>
    <row r="4" spans="1:6" x14ac:dyDescent="0.25">
      <c r="A4" s="2" t="s">
        <v>15</v>
      </c>
      <c r="B4" s="2" t="s">
        <v>60</v>
      </c>
      <c r="C4" s="2">
        <v>17</v>
      </c>
      <c r="D4" s="6">
        <v>42935</v>
      </c>
      <c r="E4" s="2">
        <v>4.3560000000000008</v>
      </c>
      <c r="F4" s="2">
        <v>725</v>
      </c>
    </row>
    <row r="5" spans="1:6" x14ac:dyDescent="0.25">
      <c r="A5" s="2" t="s">
        <v>16</v>
      </c>
      <c r="B5" s="2" t="s">
        <v>60</v>
      </c>
      <c r="C5" s="2">
        <v>17</v>
      </c>
      <c r="D5" s="6">
        <v>42939</v>
      </c>
      <c r="E5" s="2">
        <v>5.1680000000000001</v>
      </c>
      <c r="F5" s="2">
        <v>719</v>
      </c>
    </row>
    <row r="6" spans="1:6" x14ac:dyDescent="0.25">
      <c r="A6" s="2" t="s">
        <v>19</v>
      </c>
      <c r="B6" s="2" t="s">
        <v>60</v>
      </c>
      <c r="C6" s="2">
        <v>17</v>
      </c>
      <c r="D6" s="6">
        <v>42944</v>
      </c>
      <c r="E6" s="2">
        <v>6.966685</v>
      </c>
      <c r="F6" s="2">
        <v>723</v>
      </c>
    </row>
    <row r="7" spans="1:6" x14ac:dyDescent="0.25">
      <c r="A7" s="2" t="s">
        <v>14</v>
      </c>
      <c r="B7" s="2" t="s">
        <v>60</v>
      </c>
      <c r="C7" s="2">
        <v>17</v>
      </c>
      <c r="D7" s="6">
        <v>42935</v>
      </c>
      <c r="E7" s="2">
        <v>9.0180000000000007</v>
      </c>
      <c r="F7" s="2">
        <v>727</v>
      </c>
    </row>
    <row r="8" spans="1:6" x14ac:dyDescent="0.25">
      <c r="A8" s="2" t="s">
        <v>13</v>
      </c>
      <c r="B8" s="2" t="s">
        <v>60</v>
      </c>
      <c r="C8" s="2">
        <v>17</v>
      </c>
      <c r="D8" s="6">
        <v>42937</v>
      </c>
      <c r="E8" s="2">
        <v>9.7600000000000016</v>
      </c>
      <c r="F8" s="2">
        <v>723</v>
      </c>
    </row>
    <row r="9" spans="1:6" x14ac:dyDescent="0.25">
      <c r="A9" s="2" t="s">
        <v>6</v>
      </c>
      <c r="B9" s="2" t="s">
        <v>60</v>
      </c>
      <c r="C9" s="2">
        <v>17</v>
      </c>
      <c r="D9" s="6">
        <v>42939</v>
      </c>
      <c r="E9" s="2">
        <v>23.8</v>
      </c>
      <c r="F9" s="2">
        <v>710</v>
      </c>
    </row>
    <row r="10" spans="1:6" x14ac:dyDescent="0.25">
      <c r="A10" s="2" t="s">
        <v>17</v>
      </c>
      <c r="B10" s="2" t="s">
        <v>60</v>
      </c>
      <c r="C10" s="2">
        <v>17</v>
      </c>
      <c r="D10" s="6">
        <v>42941</v>
      </c>
      <c r="E10" s="2">
        <v>44.704000000000001</v>
      </c>
      <c r="F10" s="2">
        <v>727</v>
      </c>
    </row>
    <row r="11" spans="1:6" x14ac:dyDescent="0.25">
      <c r="A11" s="2" t="s">
        <v>18</v>
      </c>
      <c r="B11" s="2" t="s">
        <v>60</v>
      </c>
      <c r="C11" s="2">
        <v>17</v>
      </c>
      <c r="D11" s="6">
        <v>42941</v>
      </c>
      <c r="E11" s="2">
        <v>49.47</v>
      </c>
      <c r="F11" s="2">
        <v>717</v>
      </c>
    </row>
  </sheetData>
  <sortState ref="A1:AI45">
    <sortCondition ref="E1:E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5" x14ac:dyDescent="0.25"/>
  <cols>
    <col min="1" max="1" width="3.85546875" bestFit="1" customWidth="1"/>
    <col min="2" max="2" width="4.7109375" bestFit="1" customWidth="1"/>
    <col min="3" max="3" width="3" bestFit="1" customWidth="1"/>
    <col min="4" max="4" width="9.85546875" bestFit="1" customWidth="1"/>
  </cols>
  <sheetData>
    <row r="1" spans="1:5" x14ac:dyDescent="0.25">
      <c r="E1" t="s">
        <v>61</v>
      </c>
    </row>
    <row r="2" spans="1:5" x14ac:dyDescent="0.25">
      <c r="A2" t="s">
        <v>14</v>
      </c>
      <c r="B2" t="s">
        <v>60</v>
      </c>
      <c r="C2">
        <v>17</v>
      </c>
      <c r="D2" s="1">
        <v>42975</v>
      </c>
      <c r="E2">
        <v>32.552083333333336</v>
      </c>
    </row>
    <row r="3" spans="1:5" x14ac:dyDescent="0.25">
      <c r="A3" t="s">
        <v>20</v>
      </c>
      <c r="B3" t="s">
        <v>60</v>
      </c>
      <c r="C3">
        <v>17</v>
      </c>
      <c r="D3" s="1">
        <v>42989</v>
      </c>
      <c r="E3">
        <v>22.135416666666668</v>
      </c>
    </row>
    <row r="4" spans="1:5" x14ac:dyDescent="0.25">
      <c r="A4" t="s">
        <v>19</v>
      </c>
      <c r="B4" t="s">
        <v>60</v>
      </c>
      <c r="C4">
        <v>17</v>
      </c>
      <c r="D4" s="1">
        <v>42989</v>
      </c>
      <c r="E4">
        <v>4.947916666666667</v>
      </c>
    </row>
    <row r="5" spans="1:5" x14ac:dyDescent="0.25">
      <c r="A5" t="s">
        <v>15</v>
      </c>
      <c r="B5" t="s">
        <v>60</v>
      </c>
      <c r="C5">
        <v>17</v>
      </c>
      <c r="D5" s="1">
        <v>42989</v>
      </c>
      <c r="E5">
        <v>26.822916666666668</v>
      </c>
    </row>
    <row r="6" spans="1:5" x14ac:dyDescent="0.25">
      <c r="A6" t="s">
        <v>11</v>
      </c>
      <c r="B6" t="s">
        <v>60</v>
      </c>
      <c r="C6">
        <v>17</v>
      </c>
      <c r="D6" s="1">
        <v>42989</v>
      </c>
      <c r="E6">
        <v>40.104166666666671</v>
      </c>
    </row>
    <row r="7" spans="1:5" x14ac:dyDescent="0.25">
      <c r="A7" t="s">
        <v>13</v>
      </c>
      <c r="B7" t="s">
        <v>60</v>
      </c>
      <c r="C7">
        <v>17</v>
      </c>
      <c r="D7" s="1">
        <v>42989</v>
      </c>
      <c r="E7">
        <v>6.7708333333333339</v>
      </c>
    </row>
    <row r="8" spans="1:5" x14ac:dyDescent="0.25">
      <c r="A8" t="s">
        <v>16</v>
      </c>
      <c r="B8" t="s">
        <v>60</v>
      </c>
      <c r="C8">
        <v>17</v>
      </c>
      <c r="D8" s="1">
        <v>42975</v>
      </c>
      <c r="E8">
        <v>50.781250000000007</v>
      </c>
    </row>
    <row r="9" spans="1:5" x14ac:dyDescent="0.25">
      <c r="A9" t="s">
        <v>18</v>
      </c>
      <c r="B9" t="s">
        <v>60</v>
      </c>
      <c r="C9">
        <v>17</v>
      </c>
      <c r="D9" s="1">
        <v>42975</v>
      </c>
      <c r="E9">
        <v>15.885416666666668</v>
      </c>
    </row>
    <row r="10" spans="1:5" x14ac:dyDescent="0.25">
      <c r="A10" t="s">
        <v>17</v>
      </c>
      <c r="B10" t="s">
        <v>60</v>
      </c>
      <c r="C10">
        <v>17</v>
      </c>
      <c r="D10" s="1">
        <v>42975</v>
      </c>
      <c r="E10">
        <v>46.875</v>
      </c>
    </row>
    <row r="11" spans="1:5" x14ac:dyDescent="0.25">
      <c r="A11" t="s">
        <v>6</v>
      </c>
      <c r="B11" t="s">
        <v>60</v>
      </c>
      <c r="C11">
        <v>17</v>
      </c>
      <c r="D11" s="1">
        <v>42989</v>
      </c>
      <c r="E11">
        <v>29.166666666666668</v>
      </c>
    </row>
  </sheetData>
  <sortState ref="A1:E10">
    <sortCondition ref="A1:A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cols>
    <col min="1" max="1" width="3.85546875" bestFit="1" customWidth="1"/>
    <col min="2" max="2" width="4.7109375" bestFit="1" customWidth="1"/>
    <col min="3" max="3" width="3" bestFit="1" customWidth="1"/>
    <col min="4" max="4" width="9.85546875" style="8" bestFit="1" customWidth="1"/>
    <col min="5" max="5" width="5.5703125" bestFit="1" customWidth="1"/>
    <col min="6" max="6" width="28.28515625" bestFit="1" customWidth="1"/>
  </cols>
  <sheetData>
    <row r="1" spans="1:6" x14ac:dyDescent="0.25">
      <c r="E1" t="s">
        <v>67</v>
      </c>
    </row>
    <row r="2" spans="1:6" x14ac:dyDescent="0.25">
      <c r="A2" t="s">
        <v>20</v>
      </c>
      <c r="E2" s="7">
        <v>0.37</v>
      </c>
      <c r="F2" t="s">
        <v>63</v>
      </c>
    </row>
    <row r="3" spans="1:6" x14ac:dyDescent="0.25">
      <c r="A3" t="s">
        <v>19</v>
      </c>
      <c r="E3" s="7">
        <v>0.38</v>
      </c>
      <c r="F3" t="s">
        <v>63</v>
      </c>
    </row>
    <row r="4" spans="1:6" x14ac:dyDescent="0.25">
      <c r="A4" t="s">
        <v>11</v>
      </c>
      <c r="E4" s="7">
        <v>0.6</v>
      </c>
      <c r="F4" t="s">
        <v>63</v>
      </c>
    </row>
    <row r="5" spans="1:6" x14ac:dyDescent="0.25">
      <c r="A5" t="s">
        <v>14</v>
      </c>
      <c r="B5" t="s">
        <v>60</v>
      </c>
      <c r="C5">
        <v>17</v>
      </c>
      <c r="D5" s="8">
        <v>42975</v>
      </c>
      <c r="E5" s="7">
        <v>1.2333333333333334</v>
      </c>
      <c r="F5" t="s">
        <v>64</v>
      </c>
    </row>
    <row r="6" spans="1:6" x14ac:dyDescent="0.25">
      <c r="A6" t="s">
        <v>15</v>
      </c>
      <c r="E6" s="7">
        <v>0.9</v>
      </c>
      <c r="F6" t="s">
        <v>63</v>
      </c>
    </row>
    <row r="7" spans="1:6" x14ac:dyDescent="0.25">
      <c r="A7" t="s">
        <v>18</v>
      </c>
      <c r="B7" t="s">
        <v>60</v>
      </c>
      <c r="C7">
        <v>17</v>
      </c>
      <c r="D7" s="8">
        <v>42975</v>
      </c>
      <c r="E7" s="7">
        <v>2.5833333333333335</v>
      </c>
      <c r="F7" t="s">
        <v>64</v>
      </c>
    </row>
    <row r="8" spans="1:6" x14ac:dyDescent="0.25">
      <c r="A8" t="s">
        <v>16</v>
      </c>
      <c r="B8" t="s">
        <v>60</v>
      </c>
      <c r="C8">
        <v>17</v>
      </c>
      <c r="D8" s="8">
        <v>42975</v>
      </c>
      <c r="E8" s="7">
        <v>1.9500000000000002</v>
      </c>
      <c r="F8" t="s">
        <v>64</v>
      </c>
    </row>
    <row r="9" spans="1:6" x14ac:dyDescent="0.25">
      <c r="A9" t="s">
        <v>13</v>
      </c>
      <c r="E9" s="7">
        <v>2</v>
      </c>
      <c r="F9" t="s">
        <v>63</v>
      </c>
    </row>
    <row r="10" spans="1:6" x14ac:dyDescent="0.25">
      <c r="A10" t="s">
        <v>6</v>
      </c>
      <c r="E10" s="7">
        <v>2</v>
      </c>
      <c r="F10" t="s">
        <v>63</v>
      </c>
    </row>
    <row r="11" spans="1:6" x14ac:dyDescent="0.25">
      <c r="A11" t="s">
        <v>17</v>
      </c>
      <c r="B11" t="s">
        <v>60</v>
      </c>
      <c r="C11">
        <v>17</v>
      </c>
      <c r="D11" s="8">
        <v>42975</v>
      </c>
      <c r="E11" s="7">
        <v>2.75</v>
      </c>
      <c r="F11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ColWidth="8.7109375" defaultRowHeight="15" x14ac:dyDescent="0.25"/>
  <cols>
    <col min="1" max="1" width="3.85546875" style="2" bestFit="1" customWidth="1"/>
    <col min="2" max="2" width="4.7109375" style="2" bestFit="1" customWidth="1"/>
    <col min="3" max="3" width="3" style="2" bestFit="1" customWidth="1"/>
    <col min="4" max="4" width="8.85546875" style="2" bestFit="1" customWidth="1"/>
    <col min="5" max="5" width="13.140625" style="2" bestFit="1" customWidth="1"/>
    <col min="6" max="6" width="14.140625" style="2" bestFit="1" customWidth="1"/>
    <col min="7" max="16384" width="8.7109375" style="2"/>
  </cols>
  <sheetData>
    <row r="1" spans="1:6" x14ac:dyDescent="0.25">
      <c r="E1" s="2" t="s">
        <v>65</v>
      </c>
    </row>
    <row r="2" spans="1:6" x14ac:dyDescent="0.25">
      <c r="A2" s="2" t="s">
        <v>11</v>
      </c>
      <c r="B2" s="2" t="s">
        <v>60</v>
      </c>
      <c r="C2" s="2">
        <v>17</v>
      </c>
      <c r="D2" s="3">
        <v>42937</v>
      </c>
      <c r="E2" s="10">
        <v>4.5999999999999999E-2</v>
      </c>
      <c r="F2" s="2" t="s">
        <v>66</v>
      </c>
    </row>
    <row r="3" spans="1:6" x14ac:dyDescent="0.25">
      <c r="A3" s="2" t="s">
        <v>14</v>
      </c>
      <c r="B3" s="2" t="s">
        <v>60</v>
      </c>
      <c r="C3" s="2">
        <v>17</v>
      </c>
      <c r="D3" s="3">
        <v>42935</v>
      </c>
      <c r="E3" s="10">
        <v>4.8000000000000001E-2</v>
      </c>
      <c r="F3" s="2" t="s">
        <v>66</v>
      </c>
    </row>
    <row r="4" spans="1:6" x14ac:dyDescent="0.25">
      <c r="A4" s="2" t="s">
        <v>20</v>
      </c>
      <c r="B4" s="2" t="s">
        <v>60</v>
      </c>
      <c r="C4" s="2">
        <v>17</v>
      </c>
      <c r="D4" s="3">
        <v>42944</v>
      </c>
      <c r="E4" s="10">
        <v>0.06</v>
      </c>
      <c r="F4" s="2" t="s">
        <v>66</v>
      </c>
    </row>
    <row r="5" spans="1:6" x14ac:dyDescent="0.25">
      <c r="A5" s="2" t="s">
        <v>15</v>
      </c>
      <c r="B5" s="2" t="s">
        <v>60</v>
      </c>
      <c r="C5" s="2">
        <v>17</v>
      </c>
      <c r="D5" s="3">
        <v>42935</v>
      </c>
      <c r="E5" s="10">
        <v>7.0000000000000007E-2</v>
      </c>
      <c r="F5" s="2" t="s">
        <v>66</v>
      </c>
    </row>
    <row r="6" spans="1:6" x14ac:dyDescent="0.25">
      <c r="A6" s="2" t="s">
        <v>19</v>
      </c>
      <c r="B6" s="2" t="s">
        <v>60</v>
      </c>
      <c r="C6" s="2">
        <v>17</v>
      </c>
      <c r="D6" s="3">
        <v>42944</v>
      </c>
      <c r="E6" s="10">
        <v>7.3333333333333334E-2</v>
      </c>
      <c r="F6" s="2" t="s">
        <v>66</v>
      </c>
    </row>
    <row r="7" spans="1:6" x14ac:dyDescent="0.25">
      <c r="A7" s="2" t="s">
        <v>16</v>
      </c>
      <c r="B7" s="2" t="s">
        <v>60</v>
      </c>
      <c r="C7" s="2">
        <v>17</v>
      </c>
      <c r="D7" s="3">
        <v>42939</v>
      </c>
      <c r="E7" s="10">
        <v>9.4E-2</v>
      </c>
      <c r="F7" s="2" t="s">
        <v>66</v>
      </c>
    </row>
    <row r="8" spans="1:6" x14ac:dyDescent="0.25">
      <c r="A8" s="2" t="s">
        <v>18</v>
      </c>
      <c r="B8" s="2" t="s">
        <v>60</v>
      </c>
      <c r="C8" s="2">
        <v>17</v>
      </c>
      <c r="D8" s="3">
        <v>42941</v>
      </c>
      <c r="E8" s="10">
        <v>0.1</v>
      </c>
      <c r="F8" s="2" t="s">
        <v>66</v>
      </c>
    </row>
    <row r="9" spans="1:6" x14ac:dyDescent="0.25">
      <c r="A9" s="2" t="s">
        <v>13</v>
      </c>
      <c r="B9" s="2" t="s">
        <v>60</v>
      </c>
      <c r="C9" s="2">
        <v>17</v>
      </c>
      <c r="D9" s="3">
        <v>42937</v>
      </c>
      <c r="E9" s="10">
        <v>0.10200000000000001</v>
      </c>
      <c r="F9" s="2" t="s">
        <v>66</v>
      </c>
    </row>
    <row r="10" spans="1:6" x14ac:dyDescent="0.25">
      <c r="A10" s="2" t="s">
        <v>6</v>
      </c>
      <c r="B10" s="2" t="s">
        <v>60</v>
      </c>
      <c r="C10" s="2">
        <v>17</v>
      </c>
      <c r="D10" s="3">
        <v>42939</v>
      </c>
      <c r="E10" s="10">
        <v>0.12000000000000002</v>
      </c>
      <c r="F10" s="2" t="s">
        <v>66</v>
      </c>
    </row>
    <row r="11" spans="1:6" x14ac:dyDescent="0.25">
      <c r="A11" s="2" t="s">
        <v>17</v>
      </c>
      <c r="B11" s="2" t="s">
        <v>60</v>
      </c>
      <c r="C11" s="2">
        <v>17</v>
      </c>
      <c r="D11" s="3">
        <v>42941</v>
      </c>
      <c r="E11" s="10">
        <v>0.13</v>
      </c>
      <c r="F11" s="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"/>
  <sheetViews>
    <sheetView tabSelected="1" zoomScaleNormal="100" workbookViewId="0">
      <pane ySplit="1" topLeftCell="A2" activePane="bottomLeft" state="frozen"/>
      <selection pane="bottomLeft" activeCell="R26" sqref="R26:T27"/>
    </sheetView>
  </sheetViews>
  <sheetFormatPr defaultRowHeight="15" x14ac:dyDescent="0.25"/>
  <cols>
    <col min="1" max="1" width="4" style="5" bestFit="1" customWidth="1"/>
    <col min="2" max="2" width="3" style="5" bestFit="1" customWidth="1"/>
    <col min="3" max="3" width="4.28515625" style="5" bestFit="1" customWidth="1"/>
    <col min="4" max="4" width="9.85546875" style="5" bestFit="1" customWidth="1"/>
    <col min="5" max="5" width="14.140625" style="12" bestFit="1" customWidth="1"/>
    <col min="6" max="6" width="4.85546875" style="5" bestFit="1" customWidth="1"/>
    <col min="7" max="7" width="8.140625" style="5" bestFit="1" customWidth="1"/>
    <col min="8" max="8" width="6" style="5" bestFit="1" customWidth="1"/>
    <col min="9" max="9" width="7.5703125" style="5" bestFit="1" customWidth="1"/>
    <col min="10" max="10" width="12.28515625" style="5" bestFit="1" customWidth="1"/>
    <col min="11" max="11" width="10.28515625" style="5" bestFit="1" customWidth="1"/>
    <col min="12" max="12" width="10.28515625" style="5" hidden="1" customWidth="1"/>
    <col min="13" max="13" width="4.42578125" style="5" bestFit="1" customWidth="1"/>
    <col min="14" max="15" width="3.140625" style="5" bestFit="1" customWidth="1"/>
    <col min="16" max="18" width="12" style="5" bestFit="1" customWidth="1"/>
    <col min="19" max="19" width="12.85546875" style="5" bestFit="1" customWidth="1"/>
    <col min="20" max="20" width="12" style="5" bestFit="1" customWidth="1"/>
    <col min="21" max="21" width="17.85546875" style="5" bestFit="1" customWidth="1"/>
    <col min="22" max="22" width="12" style="5" bestFit="1" customWidth="1"/>
    <col min="23" max="23" width="12.85546875" style="5" bestFit="1" customWidth="1"/>
    <col min="24" max="24" width="20.28515625" style="5" bestFit="1" customWidth="1"/>
    <col min="25" max="26" width="12" style="5" bestFit="1" customWidth="1"/>
    <col min="27" max="27" width="20.28515625" style="5" bestFit="1" customWidth="1"/>
    <col min="28" max="30" width="12" style="5" bestFit="1" customWidth="1"/>
    <col min="31" max="32" width="12.85546875" style="5" bestFit="1" customWidth="1"/>
    <col min="33" max="34" width="17.85546875" style="5" bestFit="1" customWidth="1"/>
    <col min="35" max="35" width="12.42578125" style="5" bestFit="1" customWidth="1"/>
    <col min="36" max="16384" width="9.140625" style="5"/>
  </cols>
  <sheetData>
    <row r="1" spans="1:18" x14ac:dyDescent="0.25">
      <c r="A1" s="5">
        <v>1</v>
      </c>
      <c r="B1" s="5" t="s">
        <v>7</v>
      </c>
      <c r="C1" s="5" t="s">
        <v>0</v>
      </c>
      <c r="D1" s="5" t="s">
        <v>1</v>
      </c>
      <c r="E1" s="12" t="s">
        <v>52</v>
      </c>
      <c r="F1" s="5" t="s">
        <v>2</v>
      </c>
      <c r="G1" s="5" t="s">
        <v>3</v>
      </c>
      <c r="H1" s="5" t="s">
        <v>5</v>
      </c>
      <c r="I1" s="5" t="s">
        <v>4</v>
      </c>
      <c r="J1" s="5" t="s">
        <v>53</v>
      </c>
      <c r="K1" s="5" t="s">
        <v>54</v>
      </c>
    </row>
    <row r="2" spans="1:18" x14ac:dyDescent="0.25">
      <c r="A2" s="5">
        <v>2</v>
      </c>
      <c r="B2" s="5">
        <v>1</v>
      </c>
      <c r="C2" s="5" t="s">
        <v>6</v>
      </c>
      <c r="D2" s="13">
        <v>42951</v>
      </c>
      <c r="E2" s="12">
        <v>25</v>
      </c>
      <c r="F2" s="5">
        <v>1</v>
      </c>
      <c r="G2" s="5">
        <v>266</v>
      </c>
      <c r="H2" s="5">
        <v>1</v>
      </c>
      <c r="I2" s="5" t="s">
        <v>8</v>
      </c>
      <c r="J2" s="5">
        <v>135</v>
      </c>
      <c r="K2" s="5">
        <v>28.8</v>
      </c>
    </row>
    <row r="3" spans="1:18" x14ac:dyDescent="0.25">
      <c r="A3" s="5">
        <v>3</v>
      </c>
      <c r="B3" s="5">
        <v>2</v>
      </c>
      <c r="C3" s="5" t="s">
        <v>6</v>
      </c>
      <c r="D3" s="13">
        <v>42951</v>
      </c>
      <c r="E3" s="12">
        <v>25</v>
      </c>
      <c r="F3" s="5">
        <v>1</v>
      </c>
      <c r="G3" s="5">
        <v>266</v>
      </c>
      <c r="H3" s="5">
        <v>1</v>
      </c>
      <c r="I3" s="5" t="s">
        <v>8</v>
      </c>
      <c r="J3" s="5">
        <v>116</v>
      </c>
      <c r="K3" s="5">
        <v>18.3</v>
      </c>
    </row>
    <row r="4" spans="1:18" x14ac:dyDescent="0.25">
      <c r="A4" s="5">
        <v>4</v>
      </c>
      <c r="B4" s="5">
        <v>3</v>
      </c>
      <c r="C4" s="5" t="s">
        <v>6</v>
      </c>
      <c r="D4" s="13">
        <v>42951</v>
      </c>
      <c r="E4" s="12">
        <v>25</v>
      </c>
      <c r="F4" s="5">
        <v>1</v>
      </c>
      <c r="G4" s="5">
        <v>266</v>
      </c>
      <c r="H4" s="5">
        <v>1</v>
      </c>
      <c r="I4" s="5" t="s">
        <v>8</v>
      </c>
      <c r="J4" s="5">
        <v>79</v>
      </c>
      <c r="K4" s="5">
        <v>5.4</v>
      </c>
    </row>
    <row r="5" spans="1:18" x14ac:dyDescent="0.25">
      <c r="A5" s="5">
        <v>5</v>
      </c>
      <c r="B5" s="5">
        <v>4</v>
      </c>
      <c r="C5" s="5" t="s">
        <v>6</v>
      </c>
      <c r="D5" s="13">
        <v>42951</v>
      </c>
      <c r="E5" s="12">
        <v>25</v>
      </c>
      <c r="F5" s="5">
        <v>1</v>
      </c>
      <c r="G5" s="5">
        <v>266</v>
      </c>
      <c r="H5" s="5">
        <v>1</v>
      </c>
      <c r="I5" s="5" t="s">
        <v>9</v>
      </c>
      <c r="J5" s="5">
        <v>85</v>
      </c>
      <c r="K5" s="5">
        <v>6.6</v>
      </c>
    </row>
    <row r="6" spans="1:18" x14ac:dyDescent="0.25">
      <c r="A6" s="5">
        <v>6</v>
      </c>
      <c r="B6" s="5">
        <v>5</v>
      </c>
      <c r="C6" s="5" t="s">
        <v>6</v>
      </c>
      <c r="D6" s="13">
        <v>42951</v>
      </c>
      <c r="E6" s="12">
        <v>25</v>
      </c>
      <c r="F6" s="5">
        <v>1</v>
      </c>
      <c r="G6" s="5">
        <v>266</v>
      </c>
      <c r="H6" s="5">
        <v>1</v>
      </c>
      <c r="I6" s="5" t="s">
        <v>8</v>
      </c>
      <c r="J6" s="5">
        <v>63</v>
      </c>
      <c r="K6" s="5">
        <v>2.6</v>
      </c>
      <c r="N6" s="14"/>
      <c r="O6" s="14"/>
      <c r="P6" s="14"/>
      <c r="Q6" s="14"/>
      <c r="R6" s="14"/>
    </row>
    <row r="7" spans="1:18" x14ac:dyDescent="0.25">
      <c r="A7" s="5">
        <v>7</v>
      </c>
      <c r="B7" s="5">
        <v>6</v>
      </c>
      <c r="C7" s="5" t="s">
        <v>6</v>
      </c>
      <c r="D7" s="13">
        <v>42951</v>
      </c>
      <c r="E7" s="12">
        <v>25</v>
      </c>
      <c r="F7" s="5">
        <v>1</v>
      </c>
      <c r="G7" s="5">
        <v>266</v>
      </c>
      <c r="H7" s="5">
        <v>1</v>
      </c>
      <c r="I7" s="5" t="s">
        <v>8</v>
      </c>
      <c r="J7" s="5">
        <v>63</v>
      </c>
      <c r="K7" s="5">
        <v>2.6</v>
      </c>
      <c r="N7" s="14"/>
      <c r="O7" s="14"/>
      <c r="P7" s="15"/>
      <c r="Q7" s="15"/>
      <c r="R7" s="14"/>
    </row>
    <row r="8" spans="1:18" x14ac:dyDescent="0.25">
      <c r="A8" s="5">
        <v>8</v>
      </c>
      <c r="B8" s="5">
        <v>7</v>
      </c>
      <c r="C8" s="5" t="s">
        <v>6</v>
      </c>
      <c r="D8" s="13">
        <v>42951</v>
      </c>
      <c r="E8" s="12">
        <v>25</v>
      </c>
      <c r="F8" s="5">
        <v>1</v>
      </c>
      <c r="G8" s="5">
        <v>266</v>
      </c>
      <c r="H8" s="5">
        <v>1</v>
      </c>
      <c r="I8" s="5" t="s">
        <v>8</v>
      </c>
      <c r="J8" s="5">
        <v>70</v>
      </c>
      <c r="K8" s="5">
        <v>3.8</v>
      </c>
      <c r="N8" s="14"/>
      <c r="O8" s="14"/>
      <c r="P8" s="16"/>
      <c r="Q8" s="16"/>
      <c r="R8" s="14"/>
    </row>
    <row r="9" spans="1:18" x14ac:dyDescent="0.25">
      <c r="A9" s="5">
        <v>9</v>
      </c>
      <c r="B9" s="5">
        <v>8</v>
      </c>
      <c r="C9" s="5" t="s">
        <v>6</v>
      </c>
      <c r="D9" s="13">
        <v>42951</v>
      </c>
      <c r="E9" s="12">
        <v>25</v>
      </c>
      <c r="F9" s="5">
        <v>1</v>
      </c>
      <c r="G9" s="5">
        <v>266</v>
      </c>
      <c r="H9" s="5">
        <v>1</v>
      </c>
      <c r="I9" s="5" t="s">
        <v>8</v>
      </c>
      <c r="J9" s="5">
        <v>82</v>
      </c>
      <c r="K9" s="5">
        <v>6.5</v>
      </c>
      <c r="N9" s="14"/>
      <c r="O9" s="14"/>
      <c r="P9" s="16"/>
      <c r="Q9" s="16"/>
      <c r="R9" s="14"/>
    </row>
    <row r="10" spans="1:18" x14ac:dyDescent="0.25">
      <c r="A10" s="5">
        <v>10</v>
      </c>
      <c r="B10" s="5">
        <v>9</v>
      </c>
      <c r="C10" s="5" t="s">
        <v>6</v>
      </c>
      <c r="D10" s="13">
        <v>42951</v>
      </c>
      <c r="E10" s="12">
        <v>25</v>
      </c>
      <c r="F10" s="5">
        <v>1</v>
      </c>
      <c r="G10" s="5">
        <v>266</v>
      </c>
      <c r="H10" s="5">
        <v>1</v>
      </c>
      <c r="I10" s="5" t="s">
        <v>8</v>
      </c>
      <c r="J10" s="5">
        <v>70</v>
      </c>
      <c r="K10" s="5">
        <v>3.6</v>
      </c>
      <c r="N10" s="14"/>
      <c r="O10" s="14"/>
      <c r="P10" s="16"/>
      <c r="Q10" s="16"/>
      <c r="R10" s="14"/>
    </row>
    <row r="11" spans="1:18" x14ac:dyDescent="0.25">
      <c r="A11" s="5">
        <v>11</v>
      </c>
      <c r="B11" s="5">
        <v>10</v>
      </c>
      <c r="C11" s="5" t="s">
        <v>6</v>
      </c>
      <c r="D11" s="13">
        <v>42951</v>
      </c>
      <c r="E11" s="12">
        <v>25</v>
      </c>
      <c r="F11" s="5">
        <v>1</v>
      </c>
      <c r="G11" s="5">
        <v>266</v>
      </c>
      <c r="H11" s="5">
        <v>1</v>
      </c>
      <c r="I11" s="5" t="s">
        <v>8</v>
      </c>
      <c r="J11" s="5">
        <v>60</v>
      </c>
      <c r="K11" s="5">
        <v>2.2999999999999998</v>
      </c>
      <c r="N11" s="14"/>
      <c r="O11" s="14"/>
      <c r="P11" s="16"/>
      <c r="Q11" s="16"/>
      <c r="R11" s="14"/>
    </row>
    <row r="12" spans="1:18" x14ac:dyDescent="0.25">
      <c r="A12" s="5">
        <v>12</v>
      </c>
      <c r="B12" s="5">
        <v>11</v>
      </c>
      <c r="C12" s="5" t="s">
        <v>6</v>
      </c>
      <c r="D12" s="13">
        <v>42951</v>
      </c>
      <c r="E12" s="12">
        <v>25</v>
      </c>
      <c r="F12" s="5">
        <v>1</v>
      </c>
      <c r="G12" s="5">
        <v>266</v>
      </c>
      <c r="H12" s="5">
        <v>1</v>
      </c>
      <c r="I12" s="5" t="s">
        <v>8</v>
      </c>
      <c r="J12" s="5">
        <v>58</v>
      </c>
      <c r="K12" s="5">
        <v>2.6</v>
      </c>
      <c r="N12" s="14"/>
      <c r="O12" s="14"/>
      <c r="P12" s="16"/>
      <c r="Q12" s="16"/>
      <c r="R12" s="14"/>
    </row>
    <row r="13" spans="1:18" x14ac:dyDescent="0.25">
      <c r="A13" s="5">
        <v>13</v>
      </c>
      <c r="B13" s="5">
        <v>12</v>
      </c>
      <c r="C13" s="5" t="s">
        <v>6</v>
      </c>
      <c r="D13" s="13">
        <v>42951</v>
      </c>
      <c r="E13" s="12">
        <v>25</v>
      </c>
      <c r="F13" s="5">
        <v>1</v>
      </c>
      <c r="G13" s="5">
        <v>266</v>
      </c>
      <c r="H13" s="5">
        <v>1</v>
      </c>
      <c r="I13" s="5" t="s">
        <v>8</v>
      </c>
      <c r="J13" s="5">
        <v>86</v>
      </c>
      <c r="K13" s="5">
        <v>6.3</v>
      </c>
      <c r="N13" s="14"/>
      <c r="O13" s="14"/>
      <c r="P13" s="16"/>
      <c r="Q13" s="16"/>
      <c r="R13" s="14"/>
    </row>
    <row r="14" spans="1:18" x14ac:dyDescent="0.25">
      <c r="A14" s="5">
        <v>14</v>
      </c>
      <c r="B14" s="5">
        <v>13</v>
      </c>
      <c r="C14" s="5" t="s">
        <v>6</v>
      </c>
      <c r="D14" s="13">
        <v>42951</v>
      </c>
      <c r="E14" s="12">
        <v>25</v>
      </c>
      <c r="F14" s="5">
        <v>1</v>
      </c>
      <c r="G14" s="5">
        <v>266</v>
      </c>
      <c r="H14" s="5">
        <v>1</v>
      </c>
      <c r="I14" s="5" t="s">
        <v>8</v>
      </c>
      <c r="J14" s="5">
        <v>111</v>
      </c>
      <c r="K14" s="5">
        <v>14.7</v>
      </c>
      <c r="N14" s="14"/>
      <c r="O14" s="14"/>
      <c r="P14" s="16"/>
      <c r="Q14" s="16"/>
      <c r="R14" s="14"/>
    </row>
    <row r="15" spans="1:18" x14ac:dyDescent="0.25">
      <c r="A15" s="5">
        <v>15</v>
      </c>
      <c r="B15" s="5">
        <v>14</v>
      </c>
      <c r="C15" s="5" t="s">
        <v>6</v>
      </c>
      <c r="D15" s="13">
        <v>42951</v>
      </c>
      <c r="E15" s="12">
        <v>25</v>
      </c>
      <c r="F15" s="5">
        <v>1</v>
      </c>
      <c r="G15" s="5">
        <v>266</v>
      </c>
      <c r="H15" s="5">
        <v>1</v>
      </c>
      <c r="I15" s="5" t="s">
        <v>8</v>
      </c>
      <c r="J15" s="5">
        <v>95</v>
      </c>
      <c r="K15" s="5">
        <v>10.1</v>
      </c>
      <c r="N15" s="14"/>
      <c r="O15" s="14"/>
      <c r="P15" s="16"/>
      <c r="Q15" s="16"/>
      <c r="R15" s="14"/>
    </row>
    <row r="16" spans="1:18" x14ac:dyDescent="0.25">
      <c r="A16" s="5">
        <v>16</v>
      </c>
      <c r="B16" s="5">
        <v>15</v>
      </c>
      <c r="C16" s="5" t="s">
        <v>6</v>
      </c>
      <c r="D16" s="13">
        <v>42951</v>
      </c>
      <c r="E16" s="12">
        <v>25</v>
      </c>
      <c r="F16" s="5">
        <v>1</v>
      </c>
      <c r="G16" s="5">
        <v>266</v>
      </c>
      <c r="H16" s="5">
        <v>1</v>
      </c>
      <c r="I16" s="5" t="s">
        <v>8</v>
      </c>
      <c r="J16" s="5">
        <v>95</v>
      </c>
      <c r="K16" s="5">
        <v>9.1999999999999993</v>
      </c>
      <c r="N16" s="14"/>
      <c r="O16" s="14"/>
      <c r="P16" s="16"/>
      <c r="Q16" s="16"/>
      <c r="R16" s="14"/>
    </row>
    <row r="17" spans="1:24" x14ac:dyDescent="0.25">
      <c r="A17" s="5">
        <v>17</v>
      </c>
      <c r="B17" s="5">
        <v>16</v>
      </c>
      <c r="C17" s="5" t="s">
        <v>6</v>
      </c>
      <c r="D17" s="13">
        <v>42951</v>
      </c>
      <c r="E17" s="12">
        <v>25</v>
      </c>
      <c r="F17" s="5">
        <v>1</v>
      </c>
      <c r="G17" s="5">
        <v>266</v>
      </c>
      <c r="H17" s="5">
        <v>1</v>
      </c>
      <c r="I17" s="5" t="s">
        <v>8</v>
      </c>
      <c r="J17" s="5">
        <v>79</v>
      </c>
      <c r="K17" s="5">
        <v>6.1</v>
      </c>
      <c r="N17" s="14"/>
      <c r="O17" s="14"/>
      <c r="P17" s="16"/>
      <c r="Q17" s="16"/>
      <c r="R17" s="14"/>
    </row>
    <row r="18" spans="1:24" x14ac:dyDescent="0.25">
      <c r="A18" s="5">
        <v>18</v>
      </c>
      <c r="B18" s="5">
        <v>17</v>
      </c>
      <c r="C18" s="5" t="s">
        <v>6</v>
      </c>
      <c r="D18" s="13">
        <v>42951</v>
      </c>
      <c r="E18" s="12">
        <v>25</v>
      </c>
      <c r="F18" s="5">
        <v>1</v>
      </c>
      <c r="G18" s="5">
        <v>266</v>
      </c>
      <c r="H18" s="5">
        <v>1</v>
      </c>
      <c r="I18" s="5" t="s">
        <v>8</v>
      </c>
      <c r="J18" s="5">
        <v>82</v>
      </c>
      <c r="K18" s="5">
        <v>6.1</v>
      </c>
      <c r="N18" s="14"/>
      <c r="O18" s="14"/>
      <c r="P18" s="16"/>
      <c r="Q18" s="16"/>
      <c r="R18" s="14"/>
    </row>
    <row r="19" spans="1:24" x14ac:dyDescent="0.25">
      <c r="A19" s="5">
        <v>19</v>
      </c>
      <c r="B19" s="5">
        <v>18</v>
      </c>
      <c r="C19" s="5" t="s">
        <v>6</v>
      </c>
      <c r="D19" s="13">
        <v>42951</v>
      </c>
      <c r="E19" s="12">
        <v>25</v>
      </c>
      <c r="F19" s="5">
        <v>1</v>
      </c>
      <c r="G19" s="5">
        <v>266</v>
      </c>
      <c r="H19" s="5">
        <v>1</v>
      </c>
      <c r="I19" s="5" t="s">
        <v>8</v>
      </c>
      <c r="J19" s="5">
        <v>64</v>
      </c>
      <c r="K19" s="5">
        <v>2.7</v>
      </c>
      <c r="N19" s="14"/>
      <c r="O19" s="14"/>
      <c r="P19" s="16"/>
      <c r="Q19" s="16"/>
      <c r="R19" s="14"/>
    </row>
    <row r="20" spans="1:24" x14ac:dyDescent="0.25">
      <c r="A20" s="5">
        <v>20</v>
      </c>
      <c r="B20" s="5">
        <v>19</v>
      </c>
      <c r="C20" s="5" t="s">
        <v>6</v>
      </c>
      <c r="D20" s="13">
        <v>42951</v>
      </c>
      <c r="E20" s="12">
        <v>25</v>
      </c>
      <c r="F20" s="5">
        <v>1</v>
      </c>
      <c r="G20" s="5">
        <v>266</v>
      </c>
      <c r="H20" s="5">
        <v>1</v>
      </c>
      <c r="I20" s="5" t="s">
        <v>8</v>
      </c>
      <c r="J20" s="5">
        <v>65</v>
      </c>
      <c r="K20" s="5">
        <v>3.4</v>
      </c>
      <c r="N20" s="14"/>
      <c r="O20" s="14"/>
      <c r="P20" s="16"/>
      <c r="Q20" s="16"/>
      <c r="R20" s="14"/>
    </row>
    <row r="21" spans="1:24" x14ac:dyDescent="0.25">
      <c r="A21" s="5">
        <v>21</v>
      </c>
      <c r="B21" s="5">
        <v>20</v>
      </c>
      <c r="C21" s="5" t="s">
        <v>6</v>
      </c>
      <c r="D21" s="13">
        <v>42951</v>
      </c>
      <c r="E21" s="12">
        <v>25</v>
      </c>
      <c r="F21" s="5">
        <v>1</v>
      </c>
      <c r="G21" s="5">
        <v>266</v>
      </c>
      <c r="H21" s="5">
        <v>1</v>
      </c>
      <c r="I21" s="5" t="s">
        <v>8</v>
      </c>
      <c r="J21" s="5">
        <v>70</v>
      </c>
      <c r="K21" s="5">
        <v>3.4</v>
      </c>
      <c r="O21" s="14"/>
      <c r="P21" s="16"/>
      <c r="Q21" s="16"/>
      <c r="R21" s="14"/>
    </row>
    <row r="22" spans="1:24" x14ac:dyDescent="0.25">
      <c r="A22" s="5">
        <v>22</v>
      </c>
      <c r="B22" s="5">
        <v>21</v>
      </c>
      <c r="C22" s="5" t="s">
        <v>6</v>
      </c>
      <c r="D22" s="13">
        <v>42951</v>
      </c>
      <c r="E22" s="12">
        <v>25</v>
      </c>
      <c r="F22" s="5">
        <v>1</v>
      </c>
      <c r="G22" s="5">
        <v>266</v>
      </c>
      <c r="H22" s="5">
        <v>1</v>
      </c>
      <c r="I22" s="5" t="s">
        <v>8</v>
      </c>
      <c r="J22" s="5">
        <v>65</v>
      </c>
      <c r="K22" s="5">
        <v>2.4</v>
      </c>
      <c r="O22" s="14"/>
      <c r="P22" s="14"/>
      <c r="Q22" s="14"/>
      <c r="R22" s="14"/>
    </row>
    <row r="23" spans="1:24" x14ac:dyDescent="0.25">
      <c r="A23" s="5">
        <v>23</v>
      </c>
      <c r="B23" s="5">
        <v>22</v>
      </c>
      <c r="C23" s="5" t="s">
        <v>6</v>
      </c>
      <c r="D23" s="13">
        <v>42951</v>
      </c>
      <c r="E23" s="12">
        <v>25</v>
      </c>
      <c r="F23" s="5">
        <v>1</v>
      </c>
      <c r="G23" s="5">
        <v>266</v>
      </c>
      <c r="H23" s="5">
        <v>1</v>
      </c>
      <c r="I23" s="5" t="s">
        <v>8</v>
      </c>
      <c r="J23" s="5">
        <v>71</v>
      </c>
      <c r="K23" s="5">
        <v>3.9</v>
      </c>
      <c r="N23" s="14"/>
      <c r="O23" s="14"/>
      <c r="P23" s="14"/>
      <c r="Q23" s="14"/>
      <c r="R23" s="14"/>
    </row>
    <row r="24" spans="1:24" x14ac:dyDescent="0.25">
      <c r="A24" s="5">
        <v>24</v>
      </c>
      <c r="B24" s="5">
        <v>23</v>
      </c>
      <c r="C24" s="5" t="s">
        <v>6</v>
      </c>
      <c r="D24" s="13">
        <v>42951</v>
      </c>
      <c r="E24" s="12">
        <v>25</v>
      </c>
      <c r="F24" s="5">
        <v>1</v>
      </c>
      <c r="G24" s="5">
        <v>266</v>
      </c>
      <c r="H24" s="5">
        <v>1</v>
      </c>
      <c r="I24" s="5" t="s">
        <v>8</v>
      </c>
      <c r="J24" s="5">
        <v>84</v>
      </c>
      <c r="K24" s="5">
        <v>6.4</v>
      </c>
      <c r="N24" s="14"/>
      <c r="O24" s="14"/>
      <c r="P24" s="14"/>
      <c r="Q24" s="14"/>
      <c r="R24" s="14"/>
    </row>
    <row r="25" spans="1:24" x14ac:dyDescent="0.25">
      <c r="A25" s="5">
        <v>25</v>
      </c>
      <c r="B25" s="5">
        <v>24</v>
      </c>
      <c r="C25" s="5" t="s">
        <v>6</v>
      </c>
      <c r="D25" s="13">
        <v>42951</v>
      </c>
      <c r="E25" s="12">
        <v>25</v>
      </c>
      <c r="F25" s="5">
        <v>1</v>
      </c>
      <c r="G25" s="5">
        <v>266</v>
      </c>
      <c r="H25" s="5">
        <v>1</v>
      </c>
      <c r="I25" s="5" t="s">
        <v>8</v>
      </c>
      <c r="J25" s="5">
        <v>81</v>
      </c>
      <c r="K25" s="5">
        <v>6.5</v>
      </c>
      <c r="O25" s="14"/>
      <c r="P25" s="14"/>
      <c r="Q25" s="14"/>
      <c r="R25" s="14"/>
      <c r="T25" s="5" t="s">
        <v>6</v>
      </c>
    </row>
    <row r="26" spans="1:24" x14ac:dyDescent="0.25">
      <c r="A26" s="5">
        <v>26</v>
      </c>
      <c r="B26" s="5">
        <v>25</v>
      </c>
      <c r="C26" s="5" t="s">
        <v>6</v>
      </c>
      <c r="D26" s="13">
        <v>42951</v>
      </c>
      <c r="E26" s="12">
        <v>25</v>
      </c>
      <c r="F26" s="5">
        <v>1</v>
      </c>
      <c r="G26" s="5">
        <v>266</v>
      </c>
      <c r="H26" s="5">
        <v>1</v>
      </c>
      <c r="I26" s="5" t="s">
        <v>8</v>
      </c>
      <c r="J26" s="5">
        <v>69</v>
      </c>
      <c r="K26" s="5">
        <v>3.9</v>
      </c>
      <c r="R26" s="5" t="s">
        <v>81</v>
      </c>
      <c r="S26" s="5" t="s">
        <v>80</v>
      </c>
      <c r="T26" s="5" t="s">
        <v>79</v>
      </c>
    </row>
    <row r="27" spans="1:24" x14ac:dyDescent="0.25">
      <c r="A27" s="5">
        <v>27</v>
      </c>
      <c r="B27" s="5">
        <v>26</v>
      </c>
      <c r="C27" s="5" t="s">
        <v>6</v>
      </c>
      <c r="D27" s="13">
        <v>42951</v>
      </c>
      <c r="E27" s="12">
        <v>25</v>
      </c>
      <c r="F27" s="5">
        <v>1</v>
      </c>
      <c r="G27" s="5">
        <v>266</v>
      </c>
      <c r="H27" s="5">
        <v>1</v>
      </c>
      <c r="I27" s="5" t="s">
        <v>8</v>
      </c>
      <c r="J27" s="5">
        <v>85</v>
      </c>
      <c r="K27" s="5">
        <v>7.4</v>
      </c>
      <c r="M27" s="14" t="s">
        <v>68</v>
      </c>
      <c r="N27" s="14">
        <v>0</v>
      </c>
      <c r="R27" s="5">
        <f>_xlfn.STDEV.S(K2:K31)</f>
        <v>6.4843764488988826</v>
      </c>
      <c r="S27" s="5">
        <f>SQRT(N30+O30)</f>
        <v>5.4772255750516612</v>
      </c>
      <c r="T27" s="5">
        <f>R27/S27</f>
        <v>1.1838797508057211</v>
      </c>
    </row>
    <row r="28" spans="1:24" x14ac:dyDescent="0.25">
      <c r="A28" s="5">
        <v>28</v>
      </c>
      <c r="B28" s="5">
        <v>1</v>
      </c>
      <c r="C28" s="5" t="s">
        <v>6</v>
      </c>
      <c r="D28" s="13">
        <v>42951</v>
      </c>
      <c r="E28" s="12">
        <v>25</v>
      </c>
      <c r="F28" s="11">
        <v>2</v>
      </c>
      <c r="G28" s="5">
        <v>166</v>
      </c>
      <c r="H28" s="5">
        <v>1</v>
      </c>
      <c r="I28" s="5" t="s">
        <v>8</v>
      </c>
      <c r="J28" s="5">
        <v>67</v>
      </c>
      <c r="K28" s="5">
        <v>2.8</v>
      </c>
    </row>
    <row r="29" spans="1:24" x14ac:dyDescent="0.25">
      <c r="A29" s="5">
        <v>29</v>
      </c>
      <c r="B29" s="5">
        <v>2</v>
      </c>
      <c r="C29" s="5" t="s">
        <v>6</v>
      </c>
      <c r="D29" s="13">
        <v>42951</v>
      </c>
      <c r="E29" s="12">
        <v>25</v>
      </c>
      <c r="F29" s="11">
        <v>2</v>
      </c>
      <c r="G29" s="5">
        <v>166</v>
      </c>
      <c r="H29" s="5">
        <v>1</v>
      </c>
      <c r="I29" s="5" t="s">
        <v>8</v>
      </c>
      <c r="J29" s="5">
        <v>132</v>
      </c>
      <c r="K29" s="5">
        <v>24.6</v>
      </c>
      <c r="N29" s="5" t="s">
        <v>22</v>
      </c>
      <c r="O29" s="5" t="s">
        <v>23</v>
      </c>
      <c r="P29" s="5" t="s">
        <v>24</v>
      </c>
      <c r="Q29" s="5" t="s">
        <v>25</v>
      </c>
      <c r="R29" s="5" t="s">
        <v>26</v>
      </c>
      <c r="S29" s="5" t="s">
        <v>57</v>
      </c>
      <c r="T29" s="5" t="s">
        <v>69</v>
      </c>
      <c r="U29" s="5" t="s">
        <v>58</v>
      </c>
      <c r="V29" s="5" t="s">
        <v>76</v>
      </c>
      <c r="W29" s="5" t="s">
        <v>77</v>
      </c>
      <c r="X29" s="5" t="s">
        <v>78</v>
      </c>
    </row>
    <row r="30" spans="1:24" x14ac:dyDescent="0.25">
      <c r="A30" s="5">
        <v>30</v>
      </c>
      <c r="B30" s="5">
        <v>3</v>
      </c>
      <c r="C30" s="5" t="s">
        <v>6</v>
      </c>
      <c r="D30" s="13">
        <v>42951</v>
      </c>
      <c r="E30" s="12">
        <v>25</v>
      </c>
      <c r="F30" s="11">
        <v>2</v>
      </c>
      <c r="G30" s="5">
        <v>166</v>
      </c>
      <c r="H30" s="5">
        <v>1</v>
      </c>
      <c r="I30" s="5" t="s">
        <v>8</v>
      </c>
      <c r="J30" s="5">
        <v>65</v>
      </c>
      <c r="K30" s="5">
        <v>3.3</v>
      </c>
      <c r="M30" s="5" t="s">
        <v>62</v>
      </c>
      <c r="N30" s="5">
        <f>COUNT(F2:F27)</f>
        <v>26</v>
      </c>
      <c r="O30" s="5">
        <f>COUNT(F28:F31)</f>
        <v>4</v>
      </c>
      <c r="P30" s="5">
        <f>(N30-O30)/N30</f>
        <v>0.84615384615384615</v>
      </c>
      <c r="Q30" s="5">
        <f>((N30)^2)/(N30-O30)</f>
        <v>30.727272727272727</v>
      </c>
      <c r="R30" s="5">
        <f>((N30^2)*(O30^2)*(N30-O30))/((N30-O30)^4)</f>
        <v>1.0157776108189331</v>
      </c>
      <c r="S30" s="5">
        <f>AVERAGE(K2:K31)</f>
        <v>7.0100000000000007</v>
      </c>
      <c r="T30" s="9">
        <f>_xlfn.VAR.S(K5:K31)</f>
        <v>22.224102564102552</v>
      </c>
      <c r="U30" s="5">
        <f>(Q30*S30/25)</f>
        <v>8.6159272727272729</v>
      </c>
      <c r="V30" s="5">
        <f>((S30^2)*R30)+((Q30^2)*T30)-(R30*T30)</f>
        <v>21010.566893463551</v>
      </c>
      <c r="W30" s="5">
        <f>(SQRT(V30))/(SQRT(COUNT(K2:K31)))</f>
        <v>26.464168790689769</v>
      </c>
      <c r="X30" s="24">
        <f>W30/25</f>
        <v>1.0585667516275907</v>
      </c>
    </row>
    <row r="31" spans="1:24" s="9" customFormat="1" x14ac:dyDescent="0.25">
      <c r="A31" s="9">
        <v>31</v>
      </c>
      <c r="B31" s="9">
        <v>4</v>
      </c>
      <c r="C31" s="9" t="s">
        <v>6</v>
      </c>
      <c r="D31" s="17">
        <v>42951</v>
      </c>
      <c r="E31" s="18">
        <v>25</v>
      </c>
      <c r="F31" s="19">
        <v>2</v>
      </c>
      <c r="G31" s="9">
        <v>166</v>
      </c>
      <c r="H31" s="9">
        <v>1</v>
      </c>
      <c r="I31" s="9" t="s">
        <v>8</v>
      </c>
      <c r="J31" s="9">
        <v>70</v>
      </c>
      <c r="K31" s="9">
        <v>4</v>
      </c>
    </row>
    <row r="32" spans="1:24" x14ac:dyDescent="0.25">
      <c r="A32" s="5">
        <v>35</v>
      </c>
      <c r="B32" s="5">
        <v>1</v>
      </c>
      <c r="C32" s="5" t="s">
        <v>11</v>
      </c>
      <c r="D32" s="13">
        <v>42951</v>
      </c>
      <c r="E32" s="12">
        <v>25</v>
      </c>
      <c r="F32" s="5">
        <v>1</v>
      </c>
      <c r="G32" s="5">
        <v>205</v>
      </c>
      <c r="H32" s="5">
        <v>1</v>
      </c>
      <c r="I32" s="5" t="s">
        <v>8</v>
      </c>
      <c r="J32" s="5">
        <v>99</v>
      </c>
      <c r="K32" s="5">
        <v>10.4</v>
      </c>
    </row>
    <row r="33" spans="1:20" x14ac:dyDescent="0.25">
      <c r="A33" s="5">
        <v>36</v>
      </c>
      <c r="B33" s="5">
        <v>2</v>
      </c>
      <c r="C33" s="5" t="s">
        <v>11</v>
      </c>
      <c r="D33" s="13">
        <v>42951</v>
      </c>
      <c r="E33" s="12">
        <v>25</v>
      </c>
      <c r="F33" s="5">
        <v>1</v>
      </c>
      <c r="G33" s="5">
        <v>205</v>
      </c>
      <c r="H33" s="5">
        <v>1</v>
      </c>
      <c r="I33" s="5" t="s">
        <v>8</v>
      </c>
      <c r="J33" s="5">
        <v>83</v>
      </c>
      <c r="K33" s="5">
        <v>5.9</v>
      </c>
    </row>
    <row r="34" spans="1:20" x14ac:dyDescent="0.25">
      <c r="A34" s="5">
        <v>37</v>
      </c>
      <c r="B34" s="5">
        <v>3</v>
      </c>
      <c r="C34" s="5" t="s">
        <v>11</v>
      </c>
      <c r="D34" s="13">
        <v>42951</v>
      </c>
      <c r="E34" s="12">
        <v>25</v>
      </c>
      <c r="F34" s="5">
        <v>1</v>
      </c>
      <c r="G34" s="5">
        <v>205</v>
      </c>
      <c r="H34" s="5">
        <v>1</v>
      </c>
      <c r="I34" s="5" t="s">
        <v>8</v>
      </c>
      <c r="J34" s="5">
        <v>76</v>
      </c>
      <c r="K34" s="5">
        <v>3.8</v>
      </c>
    </row>
    <row r="35" spans="1:20" x14ac:dyDescent="0.25">
      <c r="A35" s="5">
        <v>38</v>
      </c>
      <c r="B35" s="5">
        <v>4</v>
      </c>
      <c r="C35" s="5" t="s">
        <v>11</v>
      </c>
      <c r="D35" s="13">
        <v>42951</v>
      </c>
      <c r="E35" s="12">
        <v>25</v>
      </c>
      <c r="F35" s="5">
        <v>1</v>
      </c>
      <c r="G35" s="5">
        <v>205</v>
      </c>
      <c r="H35" s="5">
        <v>1</v>
      </c>
      <c r="I35" s="5" t="s">
        <v>8</v>
      </c>
      <c r="J35" s="5">
        <v>89</v>
      </c>
      <c r="K35" s="5">
        <v>7.5</v>
      </c>
    </row>
    <row r="36" spans="1:20" x14ac:dyDescent="0.25">
      <c r="A36" s="5">
        <v>39</v>
      </c>
      <c r="B36" s="5">
        <v>5</v>
      </c>
      <c r="C36" s="5" t="s">
        <v>11</v>
      </c>
      <c r="D36" s="13">
        <v>42951</v>
      </c>
      <c r="E36" s="12">
        <v>25</v>
      </c>
      <c r="F36" s="5">
        <v>1</v>
      </c>
      <c r="G36" s="5">
        <v>205</v>
      </c>
      <c r="H36" s="5">
        <v>1</v>
      </c>
      <c r="I36" s="5" t="s">
        <v>8</v>
      </c>
      <c r="J36" s="5">
        <v>85</v>
      </c>
      <c r="K36" s="5">
        <v>6.7</v>
      </c>
    </row>
    <row r="37" spans="1:20" x14ac:dyDescent="0.25">
      <c r="A37" s="5">
        <v>40</v>
      </c>
      <c r="B37" s="5">
        <v>6</v>
      </c>
      <c r="C37" s="5" t="s">
        <v>11</v>
      </c>
      <c r="D37" s="13">
        <v>42951</v>
      </c>
      <c r="E37" s="12">
        <v>25</v>
      </c>
      <c r="F37" s="5">
        <v>1</v>
      </c>
      <c r="G37" s="5">
        <v>205</v>
      </c>
      <c r="H37" s="5">
        <v>1</v>
      </c>
      <c r="I37" s="5" t="s">
        <v>8</v>
      </c>
      <c r="J37" s="5">
        <v>80</v>
      </c>
      <c r="K37" s="5">
        <v>5</v>
      </c>
    </row>
    <row r="38" spans="1:20" x14ac:dyDescent="0.25">
      <c r="A38" s="5">
        <v>41</v>
      </c>
      <c r="B38" s="5">
        <v>7</v>
      </c>
      <c r="C38" s="5" t="s">
        <v>11</v>
      </c>
      <c r="D38" s="13">
        <v>42951</v>
      </c>
      <c r="E38" s="12">
        <v>25</v>
      </c>
      <c r="F38" s="5">
        <v>1</v>
      </c>
      <c r="G38" s="5">
        <v>205</v>
      </c>
      <c r="H38" s="5">
        <v>1</v>
      </c>
      <c r="I38" s="5" t="s">
        <v>8</v>
      </c>
      <c r="J38" s="5">
        <v>74</v>
      </c>
      <c r="K38" s="5">
        <v>3.5</v>
      </c>
    </row>
    <row r="39" spans="1:20" x14ac:dyDescent="0.25">
      <c r="A39" s="5">
        <v>42</v>
      </c>
      <c r="B39" s="5">
        <v>8</v>
      </c>
      <c r="C39" s="5" t="s">
        <v>11</v>
      </c>
      <c r="D39" s="13">
        <v>42951</v>
      </c>
      <c r="E39" s="12">
        <v>25</v>
      </c>
      <c r="F39" s="5">
        <v>1</v>
      </c>
      <c r="G39" s="5">
        <v>205</v>
      </c>
      <c r="H39" s="5">
        <v>1</v>
      </c>
      <c r="I39" s="5" t="s">
        <v>8</v>
      </c>
      <c r="J39" s="5">
        <v>91</v>
      </c>
      <c r="K39" s="5">
        <v>7.4</v>
      </c>
    </row>
    <row r="40" spans="1:20" x14ac:dyDescent="0.25">
      <c r="A40" s="5">
        <v>43</v>
      </c>
      <c r="B40" s="5">
        <v>9</v>
      </c>
      <c r="C40" s="5" t="s">
        <v>11</v>
      </c>
      <c r="D40" s="13">
        <v>42951</v>
      </c>
      <c r="E40" s="12">
        <v>25</v>
      </c>
      <c r="F40" s="5">
        <v>1</v>
      </c>
      <c r="G40" s="5">
        <v>205</v>
      </c>
      <c r="H40" s="5">
        <v>1</v>
      </c>
      <c r="I40" s="5" t="s">
        <v>9</v>
      </c>
      <c r="J40" s="5">
        <v>82</v>
      </c>
      <c r="K40" s="5">
        <v>5.6</v>
      </c>
    </row>
    <row r="41" spans="1:20" x14ac:dyDescent="0.25">
      <c r="A41" s="5">
        <v>44</v>
      </c>
      <c r="B41" s="5">
        <v>10</v>
      </c>
      <c r="C41" s="5" t="s">
        <v>11</v>
      </c>
      <c r="D41" s="13">
        <v>42951</v>
      </c>
      <c r="E41" s="12">
        <v>25</v>
      </c>
      <c r="F41" s="5">
        <v>1</v>
      </c>
      <c r="G41" s="5">
        <v>205</v>
      </c>
      <c r="H41" s="5">
        <v>1</v>
      </c>
      <c r="I41" s="5" t="s">
        <v>8</v>
      </c>
      <c r="J41" s="5">
        <v>75</v>
      </c>
      <c r="K41" s="5">
        <v>3.5</v>
      </c>
    </row>
    <row r="42" spans="1:20" x14ac:dyDescent="0.25">
      <c r="A42" s="5">
        <v>45</v>
      </c>
      <c r="B42" s="5">
        <v>11</v>
      </c>
      <c r="C42" s="5" t="s">
        <v>11</v>
      </c>
      <c r="D42" s="13">
        <v>42951</v>
      </c>
      <c r="E42" s="12">
        <v>25</v>
      </c>
      <c r="F42" s="5">
        <v>1</v>
      </c>
      <c r="G42" s="5">
        <v>205</v>
      </c>
      <c r="H42" s="5">
        <v>1</v>
      </c>
      <c r="I42" s="5" t="s">
        <v>8</v>
      </c>
      <c r="J42" s="5">
        <v>80</v>
      </c>
      <c r="K42" s="5">
        <v>5.2</v>
      </c>
    </row>
    <row r="43" spans="1:20" x14ac:dyDescent="0.25">
      <c r="A43" s="5">
        <v>46</v>
      </c>
      <c r="B43" s="5">
        <v>12</v>
      </c>
      <c r="C43" s="5" t="s">
        <v>11</v>
      </c>
      <c r="D43" s="13">
        <v>42951</v>
      </c>
      <c r="E43" s="12">
        <v>25</v>
      </c>
      <c r="F43" s="5">
        <v>1</v>
      </c>
      <c r="G43" s="5">
        <v>205</v>
      </c>
      <c r="H43" s="5">
        <v>1</v>
      </c>
      <c r="I43" s="5" t="s">
        <v>8</v>
      </c>
      <c r="J43" s="5">
        <v>78</v>
      </c>
      <c r="K43" s="5">
        <v>5</v>
      </c>
    </row>
    <row r="44" spans="1:20" x14ac:dyDescent="0.25">
      <c r="A44" s="5">
        <v>47</v>
      </c>
      <c r="B44" s="5">
        <v>13</v>
      </c>
      <c r="C44" s="5" t="s">
        <v>11</v>
      </c>
      <c r="D44" s="13">
        <v>42951</v>
      </c>
      <c r="E44" s="12">
        <v>25</v>
      </c>
      <c r="F44" s="5">
        <v>1</v>
      </c>
      <c r="G44" s="5">
        <v>205</v>
      </c>
      <c r="H44" s="5">
        <v>1</v>
      </c>
      <c r="I44" s="5" t="s">
        <v>8</v>
      </c>
      <c r="J44" s="5">
        <v>74</v>
      </c>
      <c r="K44" s="5">
        <v>3.7</v>
      </c>
    </row>
    <row r="45" spans="1:20" x14ac:dyDescent="0.25">
      <c r="A45" s="5">
        <v>48</v>
      </c>
      <c r="B45" s="5">
        <v>14</v>
      </c>
      <c r="C45" s="5" t="s">
        <v>11</v>
      </c>
      <c r="D45" s="13">
        <v>42951</v>
      </c>
      <c r="E45" s="12">
        <v>25</v>
      </c>
      <c r="F45" s="5">
        <v>1</v>
      </c>
      <c r="G45" s="5">
        <v>205</v>
      </c>
      <c r="H45" s="5">
        <v>1</v>
      </c>
      <c r="I45" s="5" t="s">
        <v>8</v>
      </c>
      <c r="J45" s="5">
        <v>76</v>
      </c>
      <c r="K45" s="5">
        <v>4.5999999999999996</v>
      </c>
    </row>
    <row r="46" spans="1:20" x14ac:dyDescent="0.25">
      <c r="A46" s="5">
        <v>49</v>
      </c>
      <c r="B46" s="5">
        <v>15</v>
      </c>
      <c r="C46" s="5" t="s">
        <v>11</v>
      </c>
      <c r="D46" s="13">
        <v>42951</v>
      </c>
      <c r="E46" s="12">
        <v>25</v>
      </c>
      <c r="F46" s="5">
        <v>1</v>
      </c>
      <c r="G46" s="5">
        <v>205</v>
      </c>
      <c r="H46" s="11">
        <v>12</v>
      </c>
      <c r="I46" s="11" t="s">
        <v>12</v>
      </c>
      <c r="J46" s="5" t="s">
        <v>10</v>
      </c>
      <c r="K46" s="5">
        <v>6.5</v>
      </c>
    </row>
    <row r="47" spans="1:20" x14ac:dyDescent="0.25">
      <c r="A47" s="5">
        <v>50</v>
      </c>
      <c r="B47" s="5">
        <v>1</v>
      </c>
      <c r="C47" s="5" t="s">
        <v>11</v>
      </c>
      <c r="D47" s="13">
        <v>42951</v>
      </c>
      <c r="E47" s="12">
        <v>25</v>
      </c>
      <c r="F47" s="11">
        <v>2</v>
      </c>
      <c r="G47" s="5">
        <v>148</v>
      </c>
      <c r="H47" s="5">
        <v>1</v>
      </c>
      <c r="I47" s="5" t="s">
        <v>9</v>
      </c>
      <c r="J47" s="5">
        <v>86</v>
      </c>
      <c r="K47" s="5">
        <v>6.6</v>
      </c>
    </row>
    <row r="48" spans="1:20" x14ac:dyDescent="0.25">
      <c r="A48" s="5">
        <v>51</v>
      </c>
      <c r="B48" s="5">
        <v>2</v>
      </c>
      <c r="C48" s="5" t="s">
        <v>11</v>
      </c>
      <c r="D48" s="13">
        <v>42951</v>
      </c>
      <c r="E48" s="12">
        <v>25</v>
      </c>
      <c r="F48" s="11">
        <v>2</v>
      </c>
      <c r="G48" s="5">
        <v>148</v>
      </c>
      <c r="H48" s="5">
        <v>1</v>
      </c>
      <c r="I48" s="5" t="s">
        <v>8</v>
      </c>
      <c r="J48" s="5">
        <v>68</v>
      </c>
      <c r="K48" s="5">
        <v>3.2</v>
      </c>
      <c r="T48" s="5" t="s">
        <v>11</v>
      </c>
    </row>
    <row r="49" spans="1:24" x14ac:dyDescent="0.25">
      <c r="A49" s="5">
        <v>52</v>
      </c>
      <c r="B49" s="5">
        <v>3</v>
      </c>
      <c r="C49" s="5" t="s">
        <v>11</v>
      </c>
      <c r="D49" s="13">
        <v>42951</v>
      </c>
      <c r="E49" s="12">
        <v>25</v>
      </c>
      <c r="F49" s="11">
        <v>2</v>
      </c>
      <c r="G49" s="5">
        <v>148</v>
      </c>
      <c r="H49" s="5">
        <v>1</v>
      </c>
      <c r="I49" s="5" t="s">
        <v>8</v>
      </c>
      <c r="J49" s="5">
        <v>76</v>
      </c>
      <c r="K49" s="5">
        <v>3.9</v>
      </c>
      <c r="R49" s="5" t="s">
        <v>81</v>
      </c>
      <c r="S49" s="5" t="s">
        <v>80</v>
      </c>
      <c r="T49" s="5" t="s">
        <v>79</v>
      </c>
    </row>
    <row r="50" spans="1:24" x14ac:dyDescent="0.25">
      <c r="A50" s="5">
        <v>53</v>
      </c>
      <c r="B50" s="5">
        <v>4</v>
      </c>
      <c r="C50" s="5" t="s">
        <v>11</v>
      </c>
      <c r="D50" s="13">
        <v>42951</v>
      </c>
      <c r="E50" s="12">
        <v>25</v>
      </c>
      <c r="F50" s="11">
        <v>2</v>
      </c>
      <c r="G50" s="5">
        <v>148</v>
      </c>
      <c r="H50" s="5">
        <v>1</v>
      </c>
      <c r="I50" s="5" t="s">
        <v>8</v>
      </c>
      <c r="J50" s="5">
        <v>76</v>
      </c>
      <c r="K50" s="5">
        <v>3.8</v>
      </c>
      <c r="M50" s="14" t="s">
        <v>68</v>
      </c>
      <c r="N50" s="14">
        <v>0</v>
      </c>
      <c r="R50" s="5">
        <f>_xlfn.STDEV.S(K32:K45,K47:K52)</f>
        <v>1.8725440055260605</v>
      </c>
      <c r="S50" s="5">
        <f>SQRT(N53+O53)</f>
        <v>4.4721359549995796</v>
      </c>
      <c r="T50" s="5">
        <f>R50/S50</f>
        <v>0.41871356872160131</v>
      </c>
    </row>
    <row r="51" spans="1:24" x14ac:dyDescent="0.25">
      <c r="A51" s="5">
        <v>54</v>
      </c>
      <c r="B51" s="5">
        <v>5</v>
      </c>
      <c r="C51" s="5" t="s">
        <v>11</v>
      </c>
      <c r="D51" s="13">
        <v>42951</v>
      </c>
      <c r="E51" s="12">
        <v>25</v>
      </c>
      <c r="F51" s="11">
        <v>2</v>
      </c>
      <c r="G51" s="5">
        <v>148</v>
      </c>
      <c r="H51" s="5">
        <v>1</v>
      </c>
      <c r="I51" s="5" t="s">
        <v>8</v>
      </c>
      <c r="J51" s="5">
        <v>68</v>
      </c>
      <c r="K51" s="5">
        <v>2.7</v>
      </c>
    </row>
    <row r="52" spans="1:24" x14ac:dyDescent="0.25">
      <c r="A52" s="5">
        <v>55</v>
      </c>
      <c r="B52" s="5">
        <v>6</v>
      </c>
      <c r="C52" s="5" t="s">
        <v>11</v>
      </c>
      <c r="D52" s="13">
        <v>42951</v>
      </c>
      <c r="E52" s="12">
        <v>25</v>
      </c>
      <c r="F52" s="11">
        <v>2</v>
      </c>
      <c r="G52" s="5">
        <v>148</v>
      </c>
      <c r="H52" s="5">
        <v>1</v>
      </c>
      <c r="I52" s="5" t="s">
        <v>8</v>
      </c>
      <c r="J52" s="5">
        <v>79</v>
      </c>
      <c r="K52" s="5">
        <v>4.5999999999999996</v>
      </c>
      <c r="N52" s="5" t="s">
        <v>22</v>
      </c>
      <c r="O52" s="5" t="s">
        <v>23</v>
      </c>
      <c r="P52" s="5" t="s">
        <v>24</v>
      </c>
      <c r="Q52" s="5" t="s">
        <v>25</v>
      </c>
      <c r="R52" s="5" t="s">
        <v>26</v>
      </c>
      <c r="S52" s="5" t="s">
        <v>57</v>
      </c>
      <c r="T52" s="5" t="s">
        <v>69</v>
      </c>
      <c r="U52" s="5" t="s">
        <v>58</v>
      </c>
      <c r="V52" s="5" t="s">
        <v>76</v>
      </c>
      <c r="W52" s="5" t="s">
        <v>77</v>
      </c>
      <c r="X52" s="5" t="s">
        <v>78</v>
      </c>
    </row>
    <row r="53" spans="1:24" s="9" customFormat="1" x14ac:dyDescent="0.25">
      <c r="A53" s="9">
        <v>56</v>
      </c>
      <c r="B53" s="9">
        <v>7</v>
      </c>
      <c r="C53" s="9" t="s">
        <v>11</v>
      </c>
      <c r="D53" s="17">
        <v>42951</v>
      </c>
      <c r="E53" s="18">
        <v>25</v>
      </c>
      <c r="F53" s="19">
        <v>2</v>
      </c>
      <c r="G53" s="9">
        <v>148</v>
      </c>
      <c r="H53" s="19">
        <v>7</v>
      </c>
      <c r="I53" s="19" t="s">
        <v>8</v>
      </c>
      <c r="J53" s="9" t="s">
        <v>10</v>
      </c>
      <c r="K53" s="9">
        <v>5.8</v>
      </c>
      <c r="M53" s="5" t="s">
        <v>62</v>
      </c>
      <c r="N53" s="9">
        <f>COUNT(F32:F45)</f>
        <v>14</v>
      </c>
      <c r="O53" s="9">
        <f>COUNT(F47:F52)</f>
        <v>6</v>
      </c>
      <c r="P53" s="9">
        <f>(N53-O53)/N53</f>
        <v>0.5714285714285714</v>
      </c>
      <c r="Q53" s="9">
        <f>((N53)^2)/(N53-O53)</f>
        <v>24.5</v>
      </c>
      <c r="R53" s="9">
        <f>((N53^2)*(O53^2)*(N53-O53))/((N53-O53)^4)</f>
        <v>13.78125</v>
      </c>
      <c r="S53" s="9">
        <f>AVERAGE(K32:K45,K47:K52)</f>
        <v>5.13</v>
      </c>
      <c r="T53" s="9">
        <f>_xlfn.VAR.S(K32:K45,K47:K52)</f>
        <v>3.5064210526315827</v>
      </c>
      <c r="U53" s="9">
        <f>(Q53*S53/25)</f>
        <v>5.0274000000000001</v>
      </c>
      <c r="V53" s="5">
        <f>((S53^2)*R53)+((Q53^2)*T53)-(R53*T53)</f>
        <v>2419.0861498355284</v>
      </c>
      <c r="W53" s="5">
        <f>(SQRT(V53))/(SQRT(COUNT(K32:K53)))</f>
        <v>10.486108017570693</v>
      </c>
      <c r="X53" s="24">
        <f>W53/25</f>
        <v>0.41944432070282772</v>
      </c>
    </row>
    <row r="54" spans="1:24" x14ac:dyDescent="0.25">
      <c r="A54" s="5">
        <v>57</v>
      </c>
      <c r="B54" s="5">
        <v>1</v>
      </c>
      <c r="C54" s="5" t="s">
        <v>13</v>
      </c>
      <c r="D54" s="13">
        <v>42951</v>
      </c>
      <c r="E54" s="12">
        <v>25</v>
      </c>
      <c r="F54" s="5">
        <v>1</v>
      </c>
      <c r="G54" s="5">
        <v>175</v>
      </c>
      <c r="H54" s="5">
        <v>1</v>
      </c>
      <c r="I54" s="5" t="s">
        <v>8</v>
      </c>
      <c r="J54" s="5">
        <v>133</v>
      </c>
      <c r="K54" s="5">
        <v>24.7</v>
      </c>
    </row>
    <row r="55" spans="1:24" x14ac:dyDescent="0.25">
      <c r="A55" s="5">
        <v>58</v>
      </c>
      <c r="B55" s="5">
        <v>2</v>
      </c>
      <c r="C55" s="5" t="s">
        <v>13</v>
      </c>
      <c r="D55" s="13">
        <v>42951</v>
      </c>
      <c r="E55" s="12">
        <v>25</v>
      </c>
      <c r="F55" s="5">
        <v>1</v>
      </c>
      <c r="G55" s="5">
        <v>175</v>
      </c>
      <c r="H55" s="5">
        <v>1</v>
      </c>
      <c r="I55" s="5" t="s">
        <v>8</v>
      </c>
      <c r="J55" s="5">
        <v>112</v>
      </c>
      <c r="K55" s="5">
        <v>15.4</v>
      </c>
    </row>
    <row r="56" spans="1:24" x14ac:dyDescent="0.25">
      <c r="A56" s="5">
        <v>59</v>
      </c>
      <c r="B56" s="5">
        <v>3</v>
      </c>
      <c r="C56" s="5" t="s">
        <v>13</v>
      </c>
      <c r="D56" s="13">
        <v>42951</v>
      </c>
      <c r="E56" s="12">
        <v>25</v>
      </c>
      <c r="F56" s="5">
        <v>1</v>
      </c>
      <c r="G56" s="5">
        <v>175</v>
      </c>
      <c r="H56" s="5">
        <v>1</v>
      </c>
      <c r="I56" s="5" t="s">
        <v>8</v>
      </c>
      <c r="J56" s="5">
        <v>92</v>
      </c>
      <c r="K56" s="5">
        <v>7.2</v>
      </c>
    </row>
    <row r="57" spans="1:24" x14ac:dyDescent="0.25">
      <c r="A57" s="5">
        <v>60</v>
      </c>
      <c r="B57" s="5">
        <v>4</v>
      </c>
      <c r="C57" s="5" t="s">
        <v>13</v>
      </c>
      <c r="D57" s="13">
        <v>42951</v>
      </c>
      <c r="E57" s="12">
        <v>25</v>
      </c>
      <c r="F57" s="5">
        <v>1</v>
      </c>
      <c r="G57" s="5">
        <v>175</v>
      </c>
      <c r="H57" s="5">
        <v>1</v>
      </c>
      <c r="I57" s="5" t="s">
        <v>8</v>
      </c>
      <c r="J57" s="5">
        <v>75</v>
      </c>
      <c r="K57" s="5">
        <v>4.7</v>
      </c>
    </row>
    <row r="58" spans="1:24" x14ac:dyDescent="0.25">
      <c r="A58" s="5">
        <v>61</v>
      </c>
      <c r="B58" s="5">
        <v>5</v>
      </c>
      <c r="C58" s="5" t="s">
        <v>13</v>
      </c>
      <c r="D58" s="13">
        <v>42951</v>
      </c>
      <c r="E58" s="12">
        <v>25</v>
      </c>
      <c r="F58" s="5">
        <v>1</v>
      </c>
      <c r="G58" s="5">
        <v>175</v>
      </c>
      <c r="H58" s="5">
        <v>1</v>
      </c>
      <c r="I58" s="5" t="s">
        <v>8</v>
      </c>
      <c r="J58" s="5">
        <v>70</v>
      </c>
      <c r="K58" s="5">
        <v>3.5</v>
      </c>
    </row>
    <row r="59" spans="1:24" x14ac:dyDescent="0.25">
      <c r="A59" s="5">
        <v>62</v>
      </c>
      <c r="B59" s="5">
        <v>6</v>
      </c>
      <c r="C59" s="5" t="s">
        <v>13</v>
      </c>
      <c r="D59" s="13">
        <v>42951</v>
      </c>
      <c r="E59" s="12">
        <v>25</v>
      </c>
      <c r="F59" s="5">
        <v>1</v>
      </c>
      <c r="G59" s="5">
        <v>175</v>
      </c>
      <c r="H59" s="5">
        <v>1</v>
      </c>
      <c r="I59" s="5" t="s">
        <v>8</v>
      </c>
      <c r="J59" s="5">
        <v>75</v>
      </c>
      <c r="K59" s="5">
        <v>4.5</v>
      </c>
    </row>
    <row r="60" spans="1:24" x14ac:dyDescent="0.25">
      <c r="A60" s="5">
        <v>63</v>
      </c>
      <c r="B60" s="5">
        <v>7</v>
      </c>
      <c r="C60" s="5" t="s">
        <v>13</v>
      </c>
      <c r="D60" s="13">
        <v>42951</v>
      </c>
      <c r="E60" s="12">
        <v>25</v>
      </c>
      <c r="F60" s="5">
        <v>1</v>
      </c>
      <c r="G60" s="5">
        <v>175</v>
      </c>
      <c r="H60" s="5">
        <v>1</v>
      </c>
      <c r="I60" s="5" t="s">
        <v>8</v>
      </c>
      <c r="J60" s="5">
        <v>68</v>
      </c>
      <c r="K60" s="5">
        <v>3.5</v>
      </c>
    </row>
    <row r="61" spans="1:24" x14ac:dyDescent="0.25">
      <c r="A61" s="5">
        <v>64</v>
      </c>
      <c r="B61" s="5">
        <v>8</v>
      </c>
      <c r="C61" s="5" t="s">
        <v>13</v>
      </c>
      <c r="D61" s="13">
        <v>42951</v>
      </c>
      <c r="E61" s="12">
        <v>25</v>
      </c>
      <c r="F61" s="5">
        <v>1</v>
      </c>
      <c r="G61" s="5">
        <v>175</v>
      </c>
      <c r="H61" s="5">
        <v>1</v>
      </c>
      <c r="I61" s="5" t="s">
        <v>8</v>
      </c>
      <c r="J61" s="5">
        <v>98</v>
      </c>
      <c r="K61" s="5">
        <v>10</v>
      </c>
    </row>
    <row r="62" spans="1:24" x14ac:dyDescent="0.25">
      <c r="A62" s="5">
        <v>65</v>
      </c>
      <c r="B62" s="5">
        <v>9</v>
      </c>
      <c r="C62" s="5" t="s">
        <v>13</v>
      </c>
      <c r="D62" s="13">
        <v>42951</v>
      </c>
      <c r="E62" s="12">
        <v>25</v>
      </c>
      <c r="F62" s="5">
        <v>1</v>
      </c>
      <c r="G62" s="5">
        <v>175</v>
      </c>
      <c r="H62" s="5">
        <v>1</v>
      </c>
      <c r="I62" s="5" t="s">
        <v>8</v>
      </c>
      <c r="J62" s="5">
        <v>72</v>
      </c>
      <c r="K62" s="5">
        <v>4</v>
      </c>
    </row>
    <row r="63" spans="1:24" x14ac:dyDescent="0.25">
      <c r="A63" s="5">
        <v>66</v>
      </c>
      <c r="B63" s="5">
        <v>10</v>
      </c>
      <c r="C63" s="5" t="s">
        <v>13</v>
      </c>
      <c r="D63" s="13">
        <v>42951</v>
      </c>
      <c r="E63" s="12">
        <v>25</v>
      </c>
      <c r="F63" s="5">
        <v>1</v>
      </c>
      <c r="G63" s="5">
        <v>175</v>
      </c>
      <c r="H63" s="5">
        <v>1</v>
      </c>
      <c r="I63" s="5" t="s">
        <v>8</v>
      </c>
      <c r="J63" s="5">
        <v>84</v>
      </c>
      <c r="K63" s="5">
        <v>5.9</v>
      </c>
    </row>
    <row r="64" spans="1:24" x14ac:dyDescent="0.25">
      <c r="A64" s="5">
        <v>67</v>
      </c>
      <c r="B64" s="5">
        <v>11</v>
      </c>
      <c r="C64" s="5" t="s">
        <v>13</v>
      </c>
      <c r="D64" s="13">
        <v>42951</v>
      </c>
      <c r="E64" s="12">
        <v>25</v>
      </c>
      <c r="F64" s="5">
        <v>1</v>
      </c>
      <c r="G64" s="5">
        <v>175</v>
      </c>
      <c r="H64" s="5">
        <v>1</v>
      </c>
      <c r="I64" s="5" t="s">
        <v>8</v>
      </c>
      <c r="J64" s="5">
        <v>73</v>
      </c>
      <c r="K64" s="5">
        <v>3.9</v>
      </c>
    </row>
    <row r="65" spans="1:24" x14ac:dyDescent="0.25">
      <c r="A65" s="5">
        <v>68</v>
      </c>
      <c r="B65" s="5">
        <v>12</v>
      </c>
      <c r="C65" s="5" t="s">
        <v>13</v>
      </c>
      <c r="D65" s="13">
        <v>42951</v>
      </c>
      <c r="E65" s="12">
        <v>25</v>
      </c>
      <c r="F65" s="5">
        <v>1</v>
      </c>
      <c r="G65" s="5">
        <v>175</v>
      </c>
      <c r="H65" s="5">
        <v>1</v>
      </c>
      <c r="I65" s="5" t="s">
        <v>8</v>
      </c>
      <c r="J65" s="5">
        <v>62</v>
      </c>
      <c r="K65" s="5">
        <v>2.2000000000000002</v>
      </c>
    </row>
    <row r="66" spans="1:24" x14ac:dyDescent="0.25">
      <c r="A66" s="5">
        <v>69</v>
      </c>
      <c r="B66" s="5">
        <v>13</v>
      </c>
      <c r="C66" s="5" t="s">
        <v>13</v>
      </c>
      <c r="D66" s="13">
        <v>42951</v>
      </c>
      <c r="E66" s="12">
        <v>25</v>
      </c>
      <c r="F66" s="5">
        <v>1</v>
      </c>
      <c r="G66" s="5">
        <v>175</v>
      </c>
      <c r="H66" s="5">
        <v>1</v>
      </c>
      <c r="I66" s="5" t="s">
        <v>8</v>
      </c>
      <c r="J66" s="5">
        <v>82</v>
      </c>
      <c r="K66" s="5">
        <v>5.3</v>
      </c>
      <c r="T66" s="5" t="s">
        <v>13</v>
      </c>
    </row>
    <row r="67" spans="1:24" x14ac:dyDescent="0.25">
      <c r="A67" s="5">
        <v>70</v>
      </c>
      <c r="B67" s="5">
        <v>14</v>
      </c>
      <c r="C67" s="5" t="s">
        <v>13</v>
      </c>
      <c r="D67" s="13">
        <v>42951</v>
      </c>
      <c r="E67" s="12">
        <v>25</v>
      </c>
      <c r="F67" s="5">
        <v>1</v>
      </c>
      <c r="G67" s="5">
        <v>175</v>
      </c>
      <c r="H67" s="5">
        <v>1</v>
      </c>
      <c r="I67" s="5" t="s">
        <v>8</v>
      </c>
      <c r="J67" s="5">
        <v>79</v>
      </c>
      <c r="K67" s="5">
        <v>5</v>
      </c>
      <c r="R67" s="5" t="s">
        <v>81</v>
      </c>
      <c r="S67" s="5" t="s">
        <v>80</v>
      </c>
      <c r="T67" s="5" t="s">
        <v>79</v>
      </c>
    </row>
    <row r="68" spans="1:24" x14ac:dyDescent="0.25">
      <c r="A68" s="5">
        <v>71</v>
      </c>
      <c r="B68" s="5">
        <v>15</v>
      </c>
      <c r="C68" s="5" t="s">
        <v>13</v>
      </c>
      <c r="D68" s="13">
        <v>42951</v>
      </c>
      <c r="E68" s="12">
        <v>25</v>
      </c>
      <c r="F68" s="5">
        <v>1</v>
      </c>
      <c r="G68" s="5">
        <v>175</v>
      </c>
      <c r="H68" s="5">
        <v>1</v>
      </c>
      <c r="I68" s="5" t="s">
        <v>8</v>
      </c>
      <c r="J68" s="5">
        <v>69</v>
      </c>
      <c r="K68" s="5">
        <v>3.3</v>
      </c>
      <c r="M68" s="14" t="s">
        <v>68</v>
      </c>
      <c r="N68" s="14">
        <v>0</v>
      </c>
      <c r="R68" s="5">
        <f>_xlfn.STDEV.S(K54:K66,K67:K72)</f>
        <v>5.4707889891443156</v>
      </c>
      <c r="S68" s="5">
        <f>SQRT(N71+O71)</f>
        <v>4.358898943540674</v>
      </c>
      <c r="T68" s="5">
        <f>R68/S68</f>
        <v>1.2550850707955319</v>
      </c>
    </row>
    <row r="69" spans="1:24" x14ac:dyDescent="0.25">
      <c r="A69" s="5">
        <v>72</v>
      </c>
      <c r="B69" s="5">
        <v>16</v>
      </c>
      <c r="C69" s="5" t="s">
        <v>13</v>
      </c>
      <c r="D69" s="13">
        <v>42951</v>
      </c>
      <c r="E69" s="12">
        <v>25</v>
      </c>
      <c r="F69" s="5">
        <v>1</v>
      </c>
      <c r="G69" s="5">
        <v>175</v>
      </c>
      <c r="H69" s="5">
        <v>1</v>
      </c>
      <c r="I69" s="5" t="s">
        <v>8</v>
      </c>
      <c r="J69" s="5">
        <v>61</v>
      </c>
      <c r="K69" s="5">
        <v>2.2000000000000002</v>
      </c>
    </row>
    <row r="70" spans="1:24" x14ac:dyDescent="0.25">
      <c r="A70" s="5">
        <v>73</v>
      </c>
      <c r="B70" s="5">
        <v>17</v>
      </c>
      <c r="C70" s="5" t="s">
        <v>13</v>
      </c>
      <c r="D70" s="13">
        <v>42951</v>
      </c>
      <c r="E70" s="12">
        <v>25</v>
      </c>
      <c r="F70" s="5">
        <v>1</v>
      </c>
      <c r="G70" s="5">
        <v>175</v>
      </c>
      <c r="H70" s="5">
        <v>1</v>
      </c>
      <c r="I70" s="5" t="s">
        <v>8</v>
      </c>
      <c r="J70" s="5">
        <v>62</v>
      </c>
      <c r="K70" s="5">
        <v>2.8</v>
      </c>
      <c r="N70" s="5" t="s">
        <v>22</v>
      </c>
      <c r="O70" s="5" t="s">
        <v>23</v>
      </c>
      <c r="P70" s="5" t="s">
        <v>24</v>
      </c>
      <c r="Q70" s="5" t="s">
        <v>25</v>
      </c>
      <c r="R70" s="5" t="s">
        <v>26</v>
      </c>
      <c r="S70" s="5" t="s">
        <v>57</v>
      </c>
      <c r="T70" s="5" t="s">
        <v>69</v>
      </c>
      <c r="U70" s="5" t="s">
        <v>58</v>
      </c>
      <c r="V70" s="5" t="s">
        <v>76</v>
      </c>
      <c r="W70" s="5" t="s">
        <v>77</v>
      </c>
      <c r="X70" s="5" t="s">
        <v>78</v>
      </c>
    </row>
    <row r="71" spans="1:24" x14ac:dyDescent="0.25">
      <c r="A71" s="5">
        <v>74</v>
      </c>
      <c r="B71" s="5">
        <v>1</v>
      </c>
      <c r="C71" s="5" t="s">
        <v>13</v>
      </c>
      <c r="D71" s="13">
        <v>42951</v>
      </c>
      <c r="E71" s="12">
        <v>25</v>
      </c>
      <c r="F71" s="11">
        <v>2</v>
      </c>
      <c r="G71" s="5">
        <v>148</v>
      </c>
      <c r="H71" s="5">
        <v>1</v>
      </c>
      <c r="I71" s="5" t="s">
        <v>8</v>
      </c>
      <c r="J71" s="5">
        <v>72</v>
      </c>
      <c r="K71" s="5">
        <v>3.8</v>
      </c>
      <c r="M71" s="5" t="s">
        <v>62</v>
      </c>
      <c r="N71" s="5">
        <f>COUNT(F54:F70)</f>
        <v>17</v>
      </c>
      <c r="O71" s="5">
        <f>COUNT(F71:F72)</f>
        <v>2</v>
      </c>
      <c r="P71" s="5">
        <f>(N71-O71)/N71</f>
        <v>0.88235294117647056</v>
      </c>
      <c r="Q71" s="5">
        <f>((N71)^2)/(N71-O71)</f>
        <v>19.266666666666666</v>
      </c>
      <c r="R71" s="5">
        <f>((N71^2)*(O71^2)*(N71-O71))/((N71-O71)^4)</f>
        <v>0.3425185185185185</v>
      </c>
      <c r="S71" s="5">
        <f>AVERAGE(K54:K72)</f>
        <v>6.0789473684210522</v>
      </c>
      <c r="T71" s="9">
        <f>_xlfn.VAR.S(K54:K63,K64:K72)</f>
        <v>29.929532163742685</v>
      </c>
      <c r="U71" s="5">
        <f>(Q71*S71/25)</f>
        <v>4.684842105263157</v>
      </c>
      <c r="V71" s="5">
        <f>((S71^2)*R71)+((Q71^2)*T71)-(R71*T71)</f>
        <v>11112.381233013004</v>
      </c>
      <c r="W71" s="5">
        <f>(SQRT(V71))/(SQRT(COUNT(K54:K72)))</f>
        <v>24.183923795748676</v>
      </c>
      <c r="X71" s="24">
        <f>W71/25</f>
        <v>0.96735695182994708</v>
      </c>
    </row>
    <row r="72" spans="1:24" s="9" customFormat="1" x14ac:dyDescent="0.25">
      <c r="A72" s="9">
        <v>75</v>
      </c>
      <c r="B72" s="9">
        <v>2</v>
      </c>
      <c r="C72" s="9" t="s">
        <v>13</v>
      </c>
      <c r="D72" s="17">
        <v>42951</v>
      </c>
      <c r="E72" s="18">
        <v>25</v>
      </c>
      <c r="F72" s="19">
        <v>2</v>
      </c>
      <c r="G72" s="9">
        <v>148</v>
      </c>
      <c r="H72" s="9">
        <v>1</v>
      </c>
      <c r="I72" s="9" t="s">
        <v>8</v>
      </c>
      <c r="J72" s="9">
        <v>68</v>
      </c>
      <c r="K72" s="9">
        <v>3.6</v>
      </c>
    </row>
    <row r="73" spans="1:24" x14ac:dyDescent="0.25">
      <c r="A73" s="5">
        <v>78</v>
      </c>
      <c r="B73" s="5">
        <v>1</v>
      </c>
      <c r="C73" s="5" t="s">
        <v>15</v>
      </c>
      <c r="D73" s="13">
        <v>42958</v>
      </c>
      <c r="E73" s="12">
        <v>25</v>
      </c>
      <c r="F73" s="5">
        <v>1</v>
      </c>
      <c r="G73" s="5">
        <v>145</v>
      </c>
      <c r="H73" s="5">
        <v>1</v>
      </c>
      <c r="I73" s="5" t="s">
        <v>8</v>
      </c>
      <c r="J73" s="5">
        <v>126</v>
      </c>
      <c r="K73" s="5">
        <v>16.399999999999999</v>
      </c>
    </row>
    <row r="74" spans="1:24" x14ac:dyDescent="0.25">
      <c r="A74" s="5">
        <v>79</v>
      </c>
      <c r="B74" s="5">
        <v>2</v>
      </c>
      <c r="C74" s="5" t="s">
        <v>15</v>
      </c>
      <c r="D74" s="13">
        <v>42958</v>
      </c>
      <c r="E74" s="12">
        <v>25</v>
      </c>
      <c r="F74" s="5">
        <v>1</v>
      </c>
      <c r="G74" s="5">
        <v>145</v>
      </c>
      <c r="H74" s="5">
        <v>1</v>
      </c>
      <c r="I74" s="5" t="s">
        <v>8</v>
      </c>
      <c r="J74" s="5">
        <v>73</v>
      </c>
      <c r="K74" s="5">
        <v>3.6</v>
      </c>
    </row>
    <row r="75" spans="1:24" x14ac:dyDescent="0.25">
      <c r="A75" s="5">
        <v>80</v>
      </c>
      <c r="B75" s="5">
        <v>3</v>
      </c>
      <c r="C75" s="5" t="s">
        <v>15</v>
      </c>
      <c r="D75" s="13">
        <v>42958</v>
      </c>
      <c r="E75" s="12">
        <v>25</v>
      </c>
      <c r="F75" s="5">
        <v>1</v>
      </c>
      <c r="G75" s="5">
        <v>145</v>
      </c>
      <c r="H75" s="5">
        <v>1</v>
      </c>
      <c r="I75" s="5" t="s">
        <v>8</v>
      </c>
      <c r="J75" s="5">
        <v>75</v>
      </c>
      <c r="K75" s="5">
        <v>4.2</v>
      </c>
    </row>
    <row r="76" spans="1:24" x14ac:dyDescent="0.25">
      <c r="A76" s="5">
        <v>81</v>
      </c>
      <c r="B76" s="5">
        <v>4</v>
      </c>
      <c r="C76" s="5" t="s">
        <v>15</v>
      </c>
      <c r="D76" s="13">
        <v>42958</v>
      </c>
      <c r="E76" s="12">
        <v>25</v>
      </c>
      <c r="F76" s="5">
        <v>1</v>
      </c>
      <c r="G76" s="5">
        <v>145</v>
      </c>
      <c r="H76" s="5">
        <v>1</v>
      </c>
      <c r="I76" s="5" t="s">
        <v>8</v>
      </c>
      <c r="J76" s="5">
        <v>85</v>
      </c>
      <c r="K76" s="5">
        <v>6.3</v>
      </c>
    </row>
    <row r="77" spans="1:24" x14ac:dyDescent="0.25">
      <c r="A77" s="5">
        <v>82</v>
      </c>
      <c r="B77" s="5">
        <v>5</v>
      </c>
      <c r="C77" s="5" t="s">
        <v>15</v>
      </c>
      <c r="D77" s="13">
        <v>42958</v>
      </c>
      <c r="E77" s="12">
        <v>25</v>
      </c>
      <c r="F77" s="5">
        <v>1</v>
      </c>
      <c r="G77" s="5">
        <v>145</v>
      </c>
      <c r="H77" s="5">
        <v>1</v>
      </c>
      <c r="I77" s="5" t="s">
        <v>8</v>
      </c>
      <c r="J77" s="5">
        <v>83</v>
      </c>
      <c r="K77" s="5">
        <v>5.4</v>
      </c>
    </row>
    <row r="78" spans="1:24" x14ac:dyDescent="0.25">
      <c r="A78" s="5">
        <v>83</v>
      </c>
      <c r="B78" s="5">
        <v>6</v>
      </c>
      <c r="C78" s="5" t="s">
        <v>15</v>
      </c>
      <c r="D78" s="13">
        <v>42958</v>
      </c>
      <c r="E78" s="12">
        <v>25</v>
      </c>
      <c r="F78" s="5">
        <v>1</v>
      </c>
      <c r="G78" s="5">
        <v>145</v>
      </c>
      <c r="H78" s="5">
        <v>1</v>
      </c>
      <c r="I78" s="5" t="s">
        <v>8</v>
      </c>
      <c r="J78" s="5">
        <v>83</v>
      </c>
      <c r="K78" s="5">
        <v>6.5</v>
      </c>
    </row>
    <row r="79" spans="1:24" x14ac:dyDescent="0.25">
      <c r="A79" s="5">
        <v>84</v>
      </c>
      <c r="B79" s="5">
        <v>7</v>
      </c>
      <c r="C79" s="5" t="s">
        <v>15</v>
      </c>
      <c r="D79" s="13">
        <v>42958</v>
      </c>
      <c r="E79" s="12">
        <v>25</v>
      </c>
      <c r="F79" s="5">
        <v>1</v>
      </c>
      <c r="G79" s="5">
        <v>145</v>
      </c>
      <c r="H79" s="5">
        <v>1</v>
      </c>
      <c r="I79" s="5" t="s">
        <v>8</v>
      </c>
      <c r="J79" s="5">
        <v>91</v>
      </c>
      <c r="K79" s="5">
        <v>7.3</v>
      </c>
    </row>
    <row r="80" spans="1:24" x14ac:dyDescent="0.25">
      <c r="A80" s="5">
        <v>85</v>
      </c>
      <c r="B80" s="5">
        <v>8</v>
      </c>
      <c r="C80" s="5" t="s">
        <v>15</v>
      </c>
      <c r="D80" s="13">
        <v>42958</v>
      </c>
      <c r="E80" s="12">
        <v>25</v>
      </c>
      <c r="F80" s="5">
        <v>1</v>
      </c>
      <c r="G80" s="5">
        <v>145</v>
      </c>
      <c r="H80" s="5">
        <v>1</v>
      </c>
      <c r="I80" s="5" t="s">
        <v>8</v>
      </c>
      <c r="J80" s="5">
        <v>78</v>
      </c>
      <c r="K80" s="5">
        <v>4.8</v>
      </c>
    </row>
    <row r="81" spans="1:25" x14ac:dyDescent="0.25">
      <c r="A81" s="5">
        <v>86</v>
      </c>
      <c r="B81" s="5">
        <v>9</v>
      </c>
      <c r="C81" s="5" t="s">
        <v>15</v>
      </c>
      <c r="D81" s="13">
        <v>42958</v>
      </c>
      <c r="E81" s="12">
        <v>25</v>
      </c>
      <c r="F81" s="5">
        <v>1</v>
      </c>
      <c r="G81" s="5">
        <v>145</v>
      </c>
      <c r="H81" s="5">
        <v>1</v>
      </c>
      <c r="I81" s="5" t="s">
        <v>8</v>
      </c>
      <c r="J81" s="5">
        <v>74</v>
      </c>
      <c r="K81" s="5">
        <v>4.3</v>
      </c>
    </row>
    <row r="82" spans="1:25" x14ac:dyDescent="0.25">
      <c r="A82" s="5">
        <v>87</v>
      </c>
      <c r="B82" s="5">
        <v>10</v>
      </c>
      <c r="C82" s="5" t="s">
        <v>15</v>
      </c>
      <c r="D82" s="13">
        <v>42958</v>
      </c>
      <c r="E82" s="12">
        <v>25</v>
      </c>
      <c r="F82" s="5">
        <v>1</v>
      </c>
      <c r="G82" s="5">
        <v>145</v>
      </c>
      <c r="H82" s="5">
        <v>1</v>
      </c>
      <c r="I82" s="5" t="s">
        <v>8</v>
      </c>
      <c r="J82" s="5">
        <v>75</v>
      </c>
      <c r="K82" s="5">
        <v>5</v>
      </c>
    </row>
    <row r="83" spans="1:25" x14ac:dyDescent="0.25">
      <c r="A83" s="5">
        <v>88</v>
      </c>
      <c r="B83" s="5">
        <v>11</v>
      </c>
      <c r="C83" s="5" t="s">
        <v>15</v>
      </c>
      <c r="D83" s="13">
        <v>42958</v>
      </c>
      <c r="E83" s="12">
        <v>25</v>
      </c>
      <c r="F83" s="5">
        <v>1</v>
      </c>
      <c r="G83" s="5">
        <v>145</v>
      </c>
      <c r="H83" s="5">
        <v>1</v>
      </c>
      <c r="I83" s="5" t="s">
        <v>8</v>
      </c>
      <c r="J83" s="5">
        <v>79</v>
      </c>
      <c r="K83" s="5">
        <v>5.2</v>
      </c>
      <c r="T83" s="5" t="s">
        <v>15</v>
      </c>
    </row>
    <row r="84" spans="1:25" x14ac:dyDescent="0.25">
      <c r="A84" s="5">
        <v>89</v>
      </c>
      <c r="B84" s="5">
        <v>12</v>
      </c>
      <c r="C84" s="5" t="s">
        <v>15</v>
      </c>
      <c r="D84" s="13">
        <v>42958</v>
      </c>
      <c r="E84" s="12">
        <v>25</v>
      </c>
      <c r="F84" s="5">
        <v>1</v>
      </c>
      <c r="G84" s="5">
        <v>145</v>
      </c>
      <c r="H84" s="5">
        <v>1</v>
      </c>
      <c r="I84" s="5" t="s">
        <v>8</v>
      </c>
      <c r="J84" s="5">
        <v>74</v>
      </c>
      <c r="K84" s="5">
        <v>4.5</v>
      </c>
      <c r="R84" s="5" t="s">
        <v>81</v>
      </c>
      <c r="S84" s="5" t="s">
        <v>80</v>
      </c>
      <c r="T84" s="5" t="s">
        <v>79</v>
      </c>
    </row>
    <row r="85" spans="1:25" x14ac:dyDescent="0.25">
      <c r="A85" s="5">
        <v>90</v>
      </c>
      <c r="B85" s="5">
        <v>13</v>
      </c>
      <c r="C85" s="5" t="s">
        <v>15</v>
      </c>
      <c r="D85" s="13">
        <v>42958</v>
      </c>
      <c r="E85" s="12">
        <v>25</v>
      </c>
      <c r="F85" s="5">
        <v>1</v>
      </c>
      <c r="G85" s="5">
        <v>145</v>
      </c>
      <c r="H85" s="5">
        <v>1</v>
      </c>
      <c r="I85" s="5" t="s">
        <v>8</v>
      </c>
      <c r="J85" s="5">
        <v>71</v>
      </c>
      <c r="K85" s="5">
        <v>2.7</v>
      </c>
      <c r="M85" s="14" t="s">
        <v>68</v>
      </c>
      <c r="N85" s="14">
        <v>0</v>
      </c>
      <c r="R85" s="5">
        <f>_xlfn.STDEV.S(K73:K83,K84:L88)</f>
        <v>3.4282587903093527</v>
      </c>
      <c r="S85" s="5">
        <f>SQRT(N88+O88)</f>
        <v>4</v>
      </c>
      <c r="T85" s="5">
        <f>R85/S85</f>
        <v>0.85706469757733816</v>
      </c>
    </row>
    <row r="86" spans="1:25" x14ac:dyDescent="0.25">
      <c r="A86" s="5">
        <v>91</v>
      </c>
      <c r="B86" s="5">
        <v>1</v>
      </c>
      <c r="C86" s="5" t="s">
        <v>15</v>
      </c>
      <c r="D86" s="13">
        <v>42958</v>
      </c>
      <c r="E86" s="12">
        <v>25</v>
      </c>
      <c r="F86" s="11">
        <v>2</v>
      </c>
      <c r="G86" s="5">
        <v>128</v>
      </c>
      <c r="H86" s="5">
        <v>1</v>
      </c>
      <c r="I86" s="5" t="s">
        <v>8</v>
      </c>
      <c r="J86" s="5">
        <v>104</v>
      </c>
      <c r="K86" s="5">
        <v>11.3</v>
      </c>
    </row>
    <row r="87" spans="1:25" x14ac:dyDescent="0.25">
      <c r="A87" s="5">
        <v>92</v>
      </c>
      <c r="B87" s="5">
        <v>2</v>
      </c>
      <c r="C87" s="5" t="s">
        <v>15</v>
      </c>
      <c r="D87" s="13">
        <v>42958</v>
      </c>
      <c r="E87" s="12">
        <v>25</v>
      </c>
      <c r="F87" s="11">
        <v>2</v>
      </c>
      <c r="G87" s="5">
        <v>128</v>
      </c>
      <c r="H87" s="5">
        <v>1</v>
      </c>
      <c r="I87" s="5" t="s">
        <v>8</v>
      </c>
      <c r="J87" s="5">
        <v>93</v>
      </c>
      <c r="K87" s="5">
        <v>7.8</v>
      </c>
      <c r="N87" s="5" t="s">
        <v>22</v>
      </c>
      <c r="O87" s="5" t="s">
        <v>23</v>
      </c>
      <c r="P87" s="5" t="s">
        <v>24</v>
      </c>
      <c r="Q87" s="5" t="s">
        <v>25</v>
      </c>
      <c r="R87" s="5" t="s">
        <v>26</v>
      </c>
      <c r="S87" s="5" t="s">
        <v>57</v>
      </c>
      <c r="T87" s="5" t="s">
        <v>69</v>
      </c>
      <c r="U87" s="5" t="s">
        <v>58</v>
      </c>
      <c r="V87" s="5" t="s">
        <v>76</v>
      </c>
      <c r="W87" s="5" t="s">
        <v>77</v>
      </c>
      <c r="X87" s="5" t="s">
        <v>78</v>
      </c>
    </row>
    <row r="88" spans="1:25" s="9" customFormat="1" x14ac:dyDescent="0.25">
      <c r="A88" s="9">
        <v>93</v>
      </c>
      <c r="B88" s="9">
        <v>3</v>
      </c>
      <c r="C88" s="9" t="s">
        <v>15</v>
      </c>
      <c r="D88" s="17">
        <v>42958</v>
      </c>
      <c r="E88" s="18">
        <v>25</v>
      </c>
      <c r="F88" s="19">
        <v>2</v>
      </c>
      <c r="G88" s="9">
        <v>128</v>
      </c>
      <c r="H88" s="9">
        <v>1</v>
      </c>
      <c r="I88" s="9" t="s">
        <v>8</v>
      </c>
      <c r="J88" s="9">
        <v>68</v>
      </c>
      <c r="K88" s="9">
        <v>3.4</v>
      </c>
      <c r="M88" s="5" t="s">
        <v>62</v>
      </c>
      <c r="N88" s="9">
        <f>COUNT(F73:F85)</f>
        <v>13</v>
      </c>
      <c r="O88" s="9">
        <f>COUNT(F86:F88)</f>
        <v>3</v>
      </c>
      <c r="P88" s="9">
        <f>(N88-O88)/N88</f>
        <v>0.76923076923076927</v>
      </c>
      <c r="Q88" s="9">
        <f>((N88)^2)/(N88-O88)</f>
        <v>16.899999999999999</v>
      </c>
      <c r="R88" s="9">
        <f>((N88^2)*(O88^2)*(N88-O88))/((N88-O88)^4)</f>
        <v>1.5209999999999999</v>
      </c>
      <c r="S88" s="9">
        <f>AVERAGE(K73:K88)</f>
        <v>6.1687499999999993</v>
      </c>
      <c r="T88" s="9">
        <f>_xlfn.VAR.S(K73:K80,K81:K88)</f>
        <v>11.752958333333344</v>
      </c>
      <c r="U88" s="9">
        <f>(Q88*S88/25)</f>
        <v>4.1700749999999998</v>
      </c>
      <c r="V88" s="5">
        <f>((S88^2)*R88)+((Q88^2)*T88)-(R88*T88)</f>
        <v>3396.7655178098985</v>
      </c>
      <c r="W88" s="5">
        <f>(SQRT(V88))/(SQRT(COUNT(K73:K88)))</f>
        <v>14.570444223259587</v>
      </c>
      <c r="X88" s="24">
        <f>W88/25</f>
        <v>0.58281776893038351</v>
      </c>
    </row>
    <row r="89" spans="1:25" x14ac:dyDescent="0.25">
      <c r="A89" s="5">
        <v>94</v>
      </c>
      <c r="B89" s="5">
        <v>1</v>
      </c>
      <c r="C89" s="5" t="s">
        <v>14</v>
      </c>
      <c r="D89" s="13">
        <v>42958</v>
      </c>
      <c r="E89" s="12">
        <v>25</v>
      </c>
      <c r="F89" s="5">
        <v>1</v>
      </c>
      <c r="G89" s="5">
        <v>159</v>
      </c>
      <c r="H89" s="5">
        <v>1</v>
      </c>
      <c r="I89" s="5" t="s">
        <v>8</v>
      </c>
      <c r="J89" s="5">
        <v>82</v>
      </c>
      <c r="K89" s="5">
        <v>5</v>
      </c>
    </row>
    <row r="90" spans="1:25" x14ac:dyDescent="0.25">
      <c r="A90" s="5">
        <v>95</v>
      </c>
      <c r="B90" s="5">
        <v>2</v>
      </c>
      <c r="C90" s="5" t="s">
        <v>14</v>
      </c>
      <c r="D90" s="13">
        <v>42958</v>
      </c>
      <c r="E90" s="12">
        <v>25</v>
      </c>
      <c r="F90" s="5">
        <v>1</v>
      </c>
      <c r="G90" s="5">
        <v>159</v>
      </c>
      <c r="H90" s="5">
        <v>1</v>
      </c>
      <c r="I90" s="5" t="s">
        <v>8</v>
      </c>
      <c r="J90" s="5">
        <v>58</v>
      </c>
      <c r="K90" s="5">
        <v>2.2999999999999998</v>
      </c>
    </row>
    <row r="91" spans="1:25" x14ac:dyDescent="0.25">
      <c r="A91" s="5">
        <v>96</v>
      </c>
      <c r="B91" s="5">
        <v>3</v>
      </c>
      <c r="C91" s="5" t="s">
        <v>14</v>
      </c>
      <c r="D91" s="13">
        <v>42958</v>
      </c>
      <c r="E91" s="12">
        <v>25</v>
      </c>
      <c r="F91" s="5">
        <v>1</v>
      </c>
      <c r="G91" s="5">
        <v>159</v>
      </c>
      <c r="H91" s="5">
        <v>1</v>
      </c>
      <c r="I91" s="5" t="s">
        <v>8</v>
      </c>
      <c r="J91" s="5">
        <v>135</v>
      </c>
      <c r="K91" s="5">
        <v>23</v>
      </c>
    </row>
    <row r="92" spans="1:25" x14ac:dyDescent="0.25">
      <c r="A92" s="5">
        <v>97</v>
      </c>
      <c r="B92" s="5">
        <v>4</v>
      </c>
      <c r="C92" s="5" t="s">
        <v>14</v>
      </c>
      <c r="D92" s="13">
        <v>42958</v>
      </c>
      <c r="E92" s="12">
        <v>25</v>
      </c>
      <c r="F92" s="5">
        <v>1</v>
      </c>
      <c r="G92" s="5">
        <v>159</v>
      </c>
      <c r="H92" s="5">
        <v>1</v>
      </c>
      <c r="I92" s="5" t="s">
        <v>8</v>
      </c>
      <c r="J92" s="5">
        <v>60</v>
      </c>
      <c r="K92" s="5">
        <v>2</v>
      </c>
    </row>
    <row r="93" spans="1:25" x14ac:dyDescent="0.25">
      <c r="A93" s="5">
        <v>98</v>
      </c>
      <c r="B93" s="5">
        <v>5</v>
      </c>
      <c r="C93" s="5" t="s">
        <v>14</v>
      </c>
      <c r="D93" s="13">
        <v>42958</v>
      </c>
      <c r="E93" s="12">
        <v>25</v>
      </c>
      <c r="F93" s="5">
        <v>1</v>
      </c>
      <c r="G93" s="5">
        <v>159</v>
      </c>
      <c r="H93" s="5">
        <v>1</v>
      </c>
      <c r="I93" s="5" t="s">
        <v>8</v>
      </c>
      <c r="J93" s="5">
        <v>90</v>
      </c>
      <c r="K93" s="5">
        <v>7</v>
      </c>
      <c r="T93" s="5" t="s">
        <v>14</v>
      </c>
    </row>
    <row r="94" spans="1:25" x14ac:dyDescent="0.25">
      <c r="A94" s="5">
        <v>99</v>
      </c>
      <c r="B94" s="5">
        <v>6</v>
      </c>
      <c r="C94" s="5" t="s">
        <v>14</v>
      </c>
      <c r="D94" s="13">
        <v>42958</v>
      </c>
      <c r="E94" s="12">
        <v>25</v>
      </c>
      <c r="F94" s="5">
        <v>1</v>
      </c>
      <c r="G94" s="5">
        <v>159</v>
      </c>
      <c r="H94" s="5">
        <v>1</v>
      </c>
      <c r="I94" s="5" t="s">
        <v>8</v>
      </c>
      <c r="J94" s="5">
        <v>79</v>
      </c>
      <c r="K94" s="5">
        <v>4.8</v>
      </c>
      <c r="R94" s="5" t="s">
        <v>81</v>
      </c>
      <c r="S94" s="5" t="s">
        <v>80</v>
      </c>
      <c r="T94" s="5" t="s">
        <v>79</v>
      </c>
    </row>
    <row r="95" spans="1:25" x14ac:dyDescent="0.25">
      <c r="A95" s="5">
        <v>100</v>
      </c>
      <c r="B95" s="5">
        <v>1</v>
      </c>
      <c r="C95" s="5" t="s">
        <v>14</v>
      </c>
      <c r="D95" s="13">
        <v>42958</v>
      </c>
      <c r="E95" s="12">
        <v>25</v>
      </c>
      <c r="F95" s="11">
        <v>2</v>
      </c>
      <c r="G95" s="5">
        <v>130</v>
      </c>
      <c r="H95" s="5">
        <v>1</v>
      </c>
      <c r="I95" s="5" t="s">
        <v>8</v>
      </c>
      <c r="J95" s="5">
        <v>75</v>
      </c>
      <c r="K95" s="5">
        <v>3.9</v>
      </c>
      <c r="R95" s="5">
        <f>_xlfn.STDEV.S(K89:K97,K98:L102)</f>
        <v>5.3424075734933103</v>
      </c>
      <c r="S95" s="5">
        <f>SQRT(N102+O102)</f>
        <v>3.4641016151377544</v>
      </c>
      <c r="T95" s="5">
        <f>R95/S95</f>
        <v>1.5422202253385291</v>
      </c>
    </row>
    <row r="96" spans="1:25" x14ac:dyDescent="0.25">
      <c r="A96" s="5">
        <v>101</v>
      </c>
      <c r="B96" s="5">
        <v>2</v>
      </c>
      <c r="C96" s="5" t="s">
        <v>14</v>
      </c>
      <c r="D96" s="13">
        <v>42958</v>
      </c>
      <c r="E96" s="12">
        <v>25</v>
      </c>
      <c r="F96" s="11">
        <v>2</v>
      </c>
      <c r="G96" s="5">
        <v>130</v>
      </c>
      <c r="H96" s="5">
        <v>1</v>
      </c>
      <c r="I96" s="5" t="s">
        <v>8</v>
      </c>
      <c r="J96" s="5">
        <v>70</v>
      </c>
      <c r="K96" s="5">
        <v>3.2</v>
      </c>
      <c r="M96" s="14" t="s">
        <v>68</v>
      </c>
      <c r="N96" s="14">
        <v>0</v>
      </c>
      <c r="X96" s="5">
        <f>T102*(T102-Q102)*Q102</f>
        <v>210</v>
      </c>
      <c r="Y96" s="5">
        <f>(3*S102)^2</f>
        <v>2.4197530864197523</v>
      </c>
    </row>
    <row r="97" spans="1:27" x14ac:dyDescent="0.25">
      <c r="A97" s="5">
        <v>102</v>
      </c>
      <c r="B97" s="5">
        <v>3</v>
      </c>
      <c r="C97" s="5" t="s">
        <v>14</v>
      </c>
      <c r="D97" s="13">
        <v>42958</v>
      </c>
      <c r="E97" s="12">
        <v>25</v>
      </c>
      <c r="F97" s="11">
        <v>2</v>
      </c>
      <c r="G97" s="5">
        <v>130</v>
      </c>
      <c r="H97" s="5">
        <v>1</v>
      </c>
      <c r="I97" s="5" t="s">
        <v>8</v>
      </c>
      <c r="J97" s="5">
        <v>71</v>
      </c>
      <c r="K97" s="5">
        <v>3.8</v>
      </c>
      <c r="T97" s="5">
        <f>(Q102^2)-T102</f>
        <v>181</v>
      </c>
      <c r="U97" s="5">
        <f>T102-Q102</f>
        <v>1</v>
      </c>
      <c r="W97" s="5">
        <f>Y96/Y97</f>
        <v>5.0256410256410238</v>
      </c>
      <c r="X97" s="5">
        <f>T97*U97*W97</f>
        <v>909.64102564102529</v>
      </c>
      <c r="Y97" s="5">
        <f>1-S102</f>
        <v>0.48148148148148151</v>
      </c>
    </row>
    <row r="98" spans="1:27" x14ac:dyDescent="0.25">
      <c r="A98" s="5">
        <v>103</v>
      </c>
      <c r="B98" s="5">
        <v>4</v>
      </c>
      <c r="C98" s="5" t="s">
        <v>14</v>
      </c>
      <c r="D98" s="13">
        <v>42958</v>
      </c>
      <c r="E98" s="12">
        <v>25</v>
      </c>
      <c r="F98" s="11">
        <v>2</v>
      </c>
      <c r="G98" s="5">
        <v>130</v>
      </c>
      <c r="H98" s="5">
        <v>1</v>
      </c>
      <c r="I98" s="5" t="s">
        <v>8</v>
      </c>
      <c r="J98" s="5">
        <v>72</v>
      </c>
      <c r="K98" s="5">
        <v>3.5</v>
      </c>
      <c r="P98" s="5">
        <v>1</v>
      </c>
      <c r="R98" s="5">
        <v>2</v>
      </c>
      <c r="T98" s="5">
        <v>3</v>
      </c>
      <c r="W98" s="5">
        <v>4</v>
      </c>
      <c r="Y98" s="5" t="s">
        <v>30</v>
      </c>
    </row>
    <row r="99" spans="1:27" x14ac:dyDescent="0.25">
      <c r="A99" s="5">
        <v>104</v>
      </c>
      <c r="B99" s="5">
        <v>5</v>
      </c>
      <c r="C99" s="5" t="s">
        <v>14</v>
      </c>
      <c r="D99" s="13">
        <v>42958</v>
      </c>
      <c r="E99" s="12">
        <v>25</v>
      </c>
      <c r="F99" s="11">
        <v>2</v>
      </c>
      <c r="G99" s="5">
        <v>130</v>
      </c>
      <c r="H99" s="5">
        <v>1</v>
      </c>
      <c r="I99" s="5" t="s">
        <v>8</v>
      </c>
      <c r="J99" s="5">
        <v>71</v>
      </c>
      <c r="K99" s="5">
        <v>3.6</v>
      </c>
      <c r="P99" s="5">
        <f>T102+1</f>
        <v>16</v>
      </c>
      <c r="Q99" s="5">
        <f>P99/P100</f>
        <v>8</v>
      </c>
      <c r="R99" s="5">
        <f>(3*T102)-R102-Q102+1+2</f>
        <v>16</v>
      </c>
      <c r="S99" s="5">
        <f>R99/R100</f>
        <v>0.5161290322580645</v>
      </c>
      <c r="T99" s="5">
        <f>(3*T102)-R102-Q102+1+1</f>
        <v>15</v>
      </c>
      <c r="U99" s="5">
        <f>T99/T100</f>
        <v>0.5</v>
      </c>
      <c r="W99" s="5">
        <f>(3*T102)-R102-Q102+1</f>
        <v>14</v>
      </c>
      <c r="X99" s="5">
        <f>W99/W100</f>
        <v>0.48275862068965519</v>
      </c>
      <c r="Y99" s="5">
        <f>Q99*S99*U99*X99</f>
        <v>0.99666295884315903</v>
      </c>
    </row>
    <row r="100" spans="1:27" x14ac:dyDescent="0.25">
      <c r="A100" s="5">
        <v>105</v>
      </c>
      <c r="B100" s="5">
        <v>6</v>
      </c>
      <c r="C100" s="5" t="s">
        <v>14</v>
      </c>
      <c r="D100" s="13">
        <v>42958</v>
      </c>
      <c r="E100" s="12">
        <v>25</v>
      </c>
      <c r="F100" s="11">
        <v>2</v>
      </c>
      <c r="G100" s="5">
        <v>130</v>
      </c>
      <c r="H100" s="5">
        <v>1</v>
      </c>
      <c r="I100" s="5" t="s">
        <v>8</v>
      </c>
      <c r="J100" s="5">
        <v>66</v>
      </c>
      <c r="K100" s="5">
        <v>3.4</v>
      </c>
      <c r="P100" s="5">
        <f>T102-Q102+1</f>
        <v>2</v>
      </c>
      <c r="R100" s="5">
        <f>(3*T102)-R102+2+2</f>
        <v>31</v>
      </c>
      <c r="T100" s="5">
        <f>(3*T102)-R102+2+1</f>
        <v>30</v>
      </c>
      <c r="W100" s="5">
        <f>(3*T102)-R102+2</f>
        <v>29</v>
      </c>
    </row>
    <row r="101" spans="1:27" x14ac:dyDescent="0.25">
      <c r="A101" s="5">
        <v>106</v>
      </c>
      <c r="B101" s="5">
        <v>1</v>
      </c>
      <c r="C101" s="5" t="s">
        <v>14</v>
      </c>
      <c r="D101" s="13">
        <v>42958</v>
      </c>
      <c r="E101" s="12">
        <v>25</v>
      </c>
      <c r="F101" s="5">
        <v>3</v>
      </c>
      <c r="G101" s="5">
        <v>143</v>
      </c>
      <c r="H101" s="5">
        <v>1</v>
      </c>
      <c r="I101" s="5" t="s">
        <v>8</v>
      </c>
      <c r="J101" s="5">
        <v>63</v>
      </c>
      <c r="K101" s="5">
        <v>2.2999999999999998</v>
      </c>
      <c r="N101" s="5" t="s">
        <v>22</v>
      </c>
      <c r="O101" s="5" t="s">
        <v>23</v>
      </c>
      <c r="P101" s="5" t="s">
        <v>27</v>
      </c>
      <c r="Q101" s="5" t="s">
        <v>28</v>
      </c>
      <c r="R101" s="5" t="s">
        <v>29</v>
      </c>
      <c r="S101" s="5" t="s">
        <v>31</v>
      </c>
      <c r="T101" s="5" t="s">
        <v>25</v>
      </c>
      <c r="U101" s="5" t="s">
        <v>26</v>
      </c>
      <c r="V101" s="5" t="s">
        <v>69</v>
      </c>
      <c r="W101" s="5" t="s">
        <v>57</v>
      </c>
      <c r="X101" s="5" t="s">
        <v>58</v>
      </c>
      <c r="Y101" s="5" t="s">
        <v>76</v>
      </c>
      <c r="Z101" s="5" t="s">
        <v>77</v>
      </c>
      <c r="AA101" s="5" t="s">
        <v>78</v>
      </c>
    </row>
    <row r="102" spans="1:27" s="9" customFormat="1" x14ac:dyDescent="0.25">
      <c r="A102" s="9">
        <v>107</v>
      </c>
      <c r="B102" s="9">
        <v>2</v>
      </c>
      <c r="C102" s="9" t="s">
        <v>14</v>
      </c>
      <c r="D102" s="17">
        <v>42958</v>
      </c>
      <c r="E102" s="18">
        <v>25</v>
      </c>
      <c r="F102" s="9">
        <v>3</v>
      </c>
      <c r="G102" s="9">
        <v>143</v>
      </c>
      <c r="H102" s="9">
        <v>1</v>
      </c>
      <c r="I102" s="9" t="s">
        <v>8</v>
      </c>
      <c r="J102" s="9">
        <v>63</v>
      </c>
      <c r="K102" s="9">
        <v>2.4</v>
      </c>
      <c r="M102" s="5" t="s">
        <v>62</v>
      </c>
      <c r="N102" s="9">
        <f>COUNT(F89:F94)</f>
        <v>6</v>
      </c>
      <c r="O102" s="9">
        <f>COUNT(F95:F100)</f>
        <v>6</v>
      </c>
      <c r="P102" s="9">
        <f>COUNT(F101:F102)</f>
        <v>2</v>
      </c>
      <c r="Q102" s="9">
        <f>SUM(N102:P102)</f>
        <v>14</v>
      </c>
      <c r="R102" s="9">
        <f>(2*N102)+(O102)</f>
        <v>18</v>
      </c>
      <c r="S102" s="9">
        <f>Q102/(3*T102-R102)</f>
        <v>0.51851851851851849</v>
      </c>
      <c r="T102" s="9">
        <v>15</v>
      </c>
      <c r="U102" s="9">
        <f>X96/X97</f>
        <v>0.23086029992107349</v>
      </c>
      <c r="V102" s="9">
        <f>_xlfn.VAR.S(K89:K94,K95:K102)</f>
        <v>28.541318681318678</v>
      </c>
      <c r="W102" s="9">
        <f>AVERAGE(K89:K102)</f>
        <v>5.0142857142857142</v>
      </c>
      <c r="X102" s="9">
        <f>(T102*W102/25)</f>
        <v>3.0085714285714285</v>
      </c>
      <c r="Y102" s="5">
        <f>((V102^2)*U102)+((T102^2)*W102)-(U102*W102)</f>
        <v>1315.1170730139181</v>
      </c>
      <c r="Z102" s="5">
        <f>(SQRT(Y102))/(SQRT(COUNT(K89:K102)))</f>
        <v>9.6921067775127412</v>
      </c>
      <c r="AA102" s="24">
        <f>Z102/25</f>
        <v>0.38768427110050963</v>
      </c>
    </row>
    <row r="103" spans="1:27" x14ac:dyDescent="0.25">
      <c r="A103" s="5">
        <v>108</v>
      </c>
      <c r="B103" s="5">
        <v>1</v>
      </c>
      <c r="C103" s="5" t="s">
        <v>19</v>
      </c>
      <c r="D103" s="13">
        <v>42961</v>
      </c>
      <c r="E103" s="12">
        <v>25</v>
      </c>
      <c r="F103" s="5">
        <v>1</v>
      </c>
      <c r="G103" s="5">
        <v>399</v>
      </c>
      <c r="H103" s="5">
        <v>1</v>
      </c>
      <c r="I103" s="5" t="s">
        <v>8</v>
      </c>
      <c r="J103" s="5">
        <v>78</v>
      </c>
      <c r="K103" s="5">
        <v>4.3</v>
      </c>
    </row>
    <row r="104" spans="1:27" x14ac:dyDescent="0.25">
      <c r="A104" s="5">
        <v>109</v>
      </c>
      <c r="B104" s="5">
        <v>2</v>
      </c>
      <c r="C104" s="5" t="s">
        <v>19</v>
      </c>
      <c r="D104" s="13">
        <v>42961</v>
      </c>
      <c r="E104" s="12">
        <v>25</v>
      </c>
      <c r="F104" s="5">
        <v>1</v>
      </c>
      <c r="G104" s="5">
        <v>399</v>
      </c>
      <c r="H104" s="5">
        <v>1</v>
      </c>
      <c r="I104" s="5" t="s">
        <v>8</v>
      </c>
      <c r="J104" s="5">
        <v>65</v>
      </c>
      <c r="K104" s="5">
        <v>2.2000000000000002</v>
      </c>
    </row>
    <row r="105" spans="1:27" x14ac:dyDescent="0.25">
      <c r="A105" s="5">
        <v>110</v>
      </c>
      <c r="B105" s="5">
        <v>3</v>
      </c>
      <c r="C105" s="5" t="s">
        <v>19</v>
      </c>
      <c r="D105" s="13">
        <v>42961</v>
      </c>
      <c r="E105" s="12">
        <v>25</v>
      </c>
      <c r="F105" s="5">
        <v>1</v>
      </c>
      <c r="G105" s="5">
        <v>399</v>
      </c>
      <c r="H105" s="5">
        <v>1</v>
      </c>
      <c r="I105" s="5" t="s">
        <v>8</v>
      </c>
      <c r="J105" s="5">
        <v>76</v>
      </c>
      <c r="K105" s="5">
        <v>3.4</v>
      </c>
    </row>
    <row r="106" spans="1:27" x14ac:dyDescent="0.25">
      <c r="A106" s="5">
        <v>111</v>
      </c>
      <c r="B106" s="5">
        <v>4</v>
      </c>
      <c r="C106" s="5" t="s">
        <v>19</v>
      </c>
      <c r="D106" s="13">
        <v>42961</v>
      </c>
      <c r="E106" s="12">
        <v>25</v>
      </c>
      <c r="F106" s="5">
        <v>1</v>
      </c>
      <c r="G106" s="5">
        <v>399</v>
      </c>
      <c r="H106" s="5">
        <v>1</v>
      </c>
      <c r="I106" s="5" t="s">
        <v>8</v>
      </c>
      <c r="J106" s="5">
        <v>76</v>
      </c>
      <c r="K106" s="5">
        <v>4.5999999999999996</v>
      </c>
    </row>
    <row r="107" spans="1:27" x14ac:dyDescent="0.25">
      <c r="A107" s="5">
        <v>112</v>
      </c>
      <c r="B107" s="5">
        <v>5</v>
      </c>
      <c r="C107" s="5" t="s">
        <v>19</v>
      </c>
      <c r="D107" s="13">
        <v>42961</v>
      </c>
      <c r="E107" s="12">
        <v>25</v>
      </c>
      <c r="F107" s="5">
        <v>1</v>
      </c>
      <c r="G107" s="5">
        <v>399</v>
      </c>
      <c r="H107" s="5">
        <v>1</v>
      </c>
      <c r="I107" s="5" t="s">
        <v>8</v>
      </c>
      <c r="J107" s="5">
        <v>66</v>
      </c>
      <c r="K107" s="5">
        <v>3</v>
      </c>
    </row>
    <row r="108" spans="1:27" x14ac:dyDescent="0.25">
      <c r="A108" s="5">
        <v>113</v>
      </c>
      <c r="B108" s="5">
        <v>6</v>
      </c>
      <c r="C108" s="5" t="s">
        <v>19</v>
      </c>
      <c r="D108" s="13">
        <v>42961</v>
      </c>
      <c r="E108" s="12">
        <v>25</v>
      </c>
      <c r="F108" s="5">
        <v>1</v>
      </c>
      <c r="G108" s="5">
        <v>399</v>
      </c>
      <c r="H108" s="5">
        <v>1</v>
      </c>
      <c r="I108" s="5" t="s">
        <v>8</v>
      </c>
      <c r="J108" s="5">
        <v>74</v>
      </c>
      <c r="K108" s="5">
        <v>3.9</v>
      </c>
    </row>
    <row r="109" spans="1:27" x14ac:dyDescent="0.25">
      <c r="A109" s="5">
        <v>114</v>
      </c>
      <c r="B109" s="5">
        <v>7</v>
      </c>
      <c r="C109" s="5" t="s">
        <v>19</v>
      </c>
      <c r="D109" s="13">
        <v>42961</v>
      </c>
      <c r="E109" s="12">
        <v>25</v>
      </c>
      <c r="F109" s="5">
        <v>1</v>
      </c>
      <c r="G109" s="5">
        <v>399</v>
      </c>
      <c r="H109" s="5">
        <v>1</v>
      </c>
      <c r="I109" s="5" t="s">
        <v>8</v>
      </c>
      <c r="J109" s="5">
        <v>74</v>
      </c>
      <c r="K109" s="5">
        <v>3.9</v>
      </c>
    </row>
    <row r="110" spans="1:27" x14ac:dyDescent="0.25">
      <c r="A110" s="5">
        <v>115</v>
      </c>
      <c r="B110" s="5">
        <v>8</v>
      </c>
      <c r="C110" s="5" t="s">
        <v>19</v>
      </c>
      <c r="D110" s="13">
        <v>42961</v>
      </c>
      <c r="E110" s="12">
        <v>25</v>
      </c>
      <c r="F110" s="5">
        <v>1</v>
      </c>
      <c r="G110" s="5">
        <v>399</v>
      </c>
      <c r="H110" s="5">
        <v>1</v>
      </c>
      <c r="I110" s="5" t="s">
        <v>8</v>
      </c>
      <c r="J110" s="5">
        <v>70</v>
      </c>
      <c r="K110" s="5">
        <v>3.4</v>
      </c>
    </row>
    <row r="111" spans="1:27" x14ac:dyDescent="0.25">
      <c r="A111" s="5">
        <v>116</v>
      </c>
      <c r="B111" s="5">
        <v>9</v>
      </c>
      <c r="C111" s="5" t="s">
        <v>19</v>
      </c>
      <c r="D111" s="13">
        <v>42961</v>
      </c>
      <c r="E111" s="12">
        <v>25</v>
      </c>
      <c r="F111" s="5">
        <v>1</v>
      </c>
      <c r="G111" s="5">
        <v>399</v>
      </c>
      <c r="H111" s="5">
        <v>1</v>
      </c>
      <c r="I111" s="5" t="s">
        <v>8</v>
      </c>
      <c r="J111" s="5">
        <v>68</v>
      </c>
      <c r="K111" s="5">
        <v>2.9</v>
      </c>
    </row>
    <row r="112" spans="1:27" x14ac:dyDescent="0.25">
      <c r="A112" s="5">
        <v>117</v>
      </c>
      <c r="B112" s="5">
        <v>10</v>
      </c>
      <c r="C112" s="5" t="s">
        <v>19</v>
      </c>
      <c r="D112" s="13">
        <v>42961</v>
      </c>
      <c r="E112" s="12">
        <v>25</v>
      </c>
      <c r="F112" s="5">
        <v>1</v>
      </c>
      <c r="G112" s="5">
        <v>399</v>
      </c>
      <c r="H112" s="5">
        <v>1</v>
      </c>
      <c r="I112" s="5" t="s">
        <v>8</v>
      </c>
      <c r="J112" s="5">
        <v>73</v>
      </c>
      <c r="K112" s="5">
        <v>3.9</v>
      </c>
    </row>
    <row r="113" spans="1:34" x14ac:dyDescent="0.25">
      <c r="A113" s="5">
        <v>118</v>
      </c>
      <c r="B113" s="5">
        <v>11</v>
      </c>
      <c r="C113" s="5" t="s">
        <v>19</v>
      </c>
      <c r="D113" s="13">
        <v>42961</v>
      </c>
      <c r="E113" s="12">
        <v>25</v>
      </c>
      <c r="F113" s="5">
        <v>1</v>
      </c>
      <c r="G113" s="5">
        <v>399</v>
      </c>
      <c r="H113" s="5">
        <v>1</v>
      </c>
      <c r="I113" s="5" t="s">
        <v>8</v>
      </c>
      <c r="J113" s="5">
        <v>75</v>
      </c>
      <c r="K113" s="5">
        <v>4.5</v>
      </c>
    </row>
    <row r="114" spans="1:34" x14ac:dyDescent="0.25">
      <c r="A114" s="5">
        <v>119</v>
      </c>
      <c r="B114" s="5">
        <v>12</v>
      </c>
      <c r="C114" s="5" t="s">
        <v>19</v>
      </c>
      <c r="D114" s="13">
        <v>42961</v>
      </c>
      <c r="E114" s="12">
        <v>25</v>
      </c>
      <c r="F114" s="5">
        <v>1</v>
      </c>
      <c r="G114" s="5">
        <v>399</v>
      </c>
      <c r="H114" s="5">
        <v>1</v>
      </c>
      <c r="I114" s="5" t="s">
        <v>8</v>
      </c>
      <c r="J114" s="5">
        <v>67</v>
      </c>
      <c r="K114" s="5">
        <v>2.5</v>
      </c>
      <c r="T114" s="5" t="s">
        <v>19</v>
      </c>
    </row>
    <row r="115" spans="1:34" x14ac:dyDescent="0.25">
      <c r="A115" s="5">
        <v>120</v>
      </c>
      <c r="B115" s="5">
        <v>13</v>
      </c>
      <c r="C115" s="5" t="s">
        <v>19</v>
      </c>
      <c r="D115" s="13">
        <v>42961</v>
      </c>
      <c r="E115" s="12">
        <v>25</v>
      </c>
      <c r="F115" s="5">
        <v>1</v>
      </c>
      <c r="G115" s="5">
        <v>399</v>
      </c>
      <c r="H115" s="5">
        <v>1</v>
      </c>
      <c r="I115" s="11" t="s">
        <v>33</v>
      </c>
      <c r="J115" s="5">
        <v>61</v>
      </c>
      <c r="K115" s="5">
        <v>2.2999999999999998</v>
      </c>
      <c r="R115" s="5" t="s">
        <v>81</v>
      </c>
      <c r="S115" s="5" t="s">
        <v>80</v>
      </c>
      <c r="T115" s="5" t="s">
        <v>79</v>
      </c>
    </row>
    <row r="116" spans="1:34" x14ac:dyDescent="0.25">
      <c r="A116" s="5">
        <v>121</v>
      </c>
      <c r="B116" s="5">
        <v>14</v>
      </c>
      <c r="C116" s="5" t="s">
        <v>19</v>
      </c>
      <c r="D116" s="13">
        <v>42961</v>
      </c>
      <c r="E116" s="12">
        <v>25</v>
      </c>
      <c r="F116" s="5">
        <v>1</v>
      </c>
      <c r="G116" s="5">
        <v>399</v>
      </c>
      <c r="H116" s="5">
        <v>1</v>
      </c>
      <c r="I116" s="11" t="s">
        <v>33</v>
      </c>
      <c r="J116" s="5">
        <v>53</v>
      </c>
      <c r="K116" s="5">
        <v>1.4</v>
      </c>
      <c r="R116" s="5">
        <f>_xlfn.STDEV.S(K103:L114,K118:L118)</f>
        <v>0.75404889999902858</v>
      </c>
      <c r="S116" s="5">
        <f>SQRT(N119+O119)</f>
        <v>3.6055512754639891</v>
      </c>
      <c r="T116" s="5">
        <f>R116/S116</f>
        <v>0.20913553639643967</v>
      </c>
    </row>
    <row r="117" spans="1:34" x14ac:dyDescent="0.25">
      <c r="A117" s="5">
        <v>122</v>
      </c>
      <c r="B117" s="5">
        <v>15</v>
      </c>
      <c r="C117" s="5" t="s">
        <v>19</v>
      </c>
      <c r="D117" s="13">
        <v>42961</v>
      </c>
      <c r="E117" s="12">
        <v>25</v>
      </c>
      <c r="F117" s="5">
        <v>1</v>
      </c>
      <c r="G117" s="5">
        <v>399</v>
      </c>
      <c r="H117" s="5">
        <v>1</v>
      </c>
      <c r="I117" s="11" t="s">
        <v>33</v>
      </c>
      <c r="J117" s="5">
        <v>45</v>
      </c>
      <c r="K117" s="5">
        <v>0.8</v>
      </c>
    </row>
    <row r="118" spans="1:34" x14ac:dyDescent="0.25">
      <c r="A118" s="5">
        <v>123</v>
      </c>
      <c r="B118" s="5">
        <v>1</v>
      </c>
      <c r="C118" s="5" t="s">
        <v>19</v>
      </c>
      <c r="D118" s="13">
        <v>42961</v>
      </c>
      <c r="E118" s="12">
        <v>25</v>
      </c>
      <c r="F118" s="11">
        <v>2</v>
      </c>
      <c r="G118" s="5">
        <v>345</v>
      </c>
      <c r="H118" s="5">
        <v>1</v>
      </c>
      <c r="I118" s="5" t="s">
        <v>8</v>
      </c>
      <c r="J118" s="5">
        <v>75</v>
      </c>
      <c r="K118" s="5">
        <v>4</v>
      </c>
      <c r="N118" s="5" t="s">
        <v>22</v>
      </c>
      <c r="O118" s="5" t="s">
        <v>23</v>
      </c>
      <c r="P118" s="5" t="s">
        <v>24</v>
      </c>
      <c r="Q118" s="5" t="s">
        <v>25</v>
      </c>
      <c r="R118" s="5" t="s">
        <v>26</v>
      </c>
      <c r="S118" s="5" t="s">
        <v>57</v>
      </c>
      <c r="T118" s="5" t="s">
        <v>69</v>
      </c>
      <c r="U118" s="5" t="s">
        <v>58</v>
      </c>
      <c r="V118" s="5" t="s">
        <v>76</v>
      </c>
      <c r="W118" s="5" t="s">
        <v>77</v>
      </c>
      <c r="X118" s="5" t="s">
        <v>78</v>
      </c>
      <c r="Z118" s="5" t="s">
        <v>22</v>
      </c>
      <c r="AA118" s="5" t="s">
        <v>23</v>
      </c>
      <c r="AB118" s="5" t="s">
        <v>24</v>
      </c>
      <c r="AC118" s="5" t="s">
        <v>25</v>
      </c>
      <c r="AD118" s="5" t="s">
        <v>26</v>
      </c>
      <c r="AE118" s="5" t="s">
        <v>57</v>
      </c>
      <c r="AG118" s="5" t="s">
        <v>58</v>
      </c>
      <c r="AH118" s="5" t="s">
        <v>59</v>
      </c>
    </row>
    <row r="119" spans="1:34" s="9" customFormat="1" x14ac:dyDescent="0.25">
      <c r="A119" s="9">
        <v>124</v>
      </c>
      <c r="B119" s="9">
        <v>2</v>
      </c>
      <c r="C119" s="9" t="s">
        <v>19</v>
      </c>
      <c r="D119" s="17">
        <v>42961</v>
      </c>
      <c r="E119" s="18">
        <v>25</v>
      </c>
      <c r="F119" s="19">
        <v>2</v>
      </c>
      <c r="G119" s="9">
        <v>345</v>
      </c>
      <c r="H119" s="9">
        <v>1</v>
      </c>
      <c r="I119" s="19" t="s">
        <v>33</v>
      </c>
      <c r="J119" s="9">
        <v>55</v>
      </c>
      <c r="K119" s="9">
        <v>1.5</v>
      </c>
      <c r="M119" s="5" t="s">
        <v>62</v>
      </c>
      <c r="N119" s="9">
        <f>COUNT(F103:F114)</f>
        <v>12</v>
      </c>
      <c r="O119" s="9">
        <f>COUNT(F118)</f>
        <v>1</v>
      </c>
      <c r="P119" s="9">
        <f>(N119-O119)/N119</f>
        <v>0.91666666666666663</v>
      </c>
      <c r="Q119" s="9">
        <f>((N119)^2)/(N119-O119)</f>
        <v>13.090909090909092</v>
      </c>
      <c r="R119" s="9">
        <f>((N119^2)*(O119^2)*(N119-O119))/((N119-O119)^4)</f>
        <v>0.10818933132982719</v>
      </c>
      <c r="S119" s="9">
        <f>AVERAGE(K103:K114,K118)</f>
        <v>3.5769230769230762</v>
      </c>
      <c r="T119" s="9">
        <f>_xlfn.VAR.S(K103:K114,K118)</f>
        <v>0.56858974358974501</v>
      </c>
      <c r="U119" s="9">
        <f>(Q119*S119/25)</f>
        <v>1.8730069930069928</v>
      </c>
      <c r="V119" s="5">
        <f>((S119^2)*R119)+((Q119^2)*T119)-(R119*T119)</f>
        <v>98.763005081377884</v>
      </c>
      <c r="W119" s="5">
        <f>(SQRT(V119))/(SQRT(COUNT(K103:K114,K118)))</f>
        <v>2.7562935687312171</v>
      </c>
      <c r="X119" s="24">
        <f>W119/25</f>
        <v>0.11025174274924869</v>
      </c>
      <c r="Y119" s="14" t="s">
        <v>68</v>
      </c>
      <c r="Z119" s="14">
        <f>SUM(H115:H117)</f>
        <v>3</v>
      </c>
      <c r="AA119" s="5">
        <f>SUM(H119)</f>
        <v>1</v>
      </c>
      <c r="AB119" s="9">
        <f>(Z119-AA119)/Z119</f>
        <v>0.66666666666666663</v>
      </c>
      <c r="AC119" s="9">
        <f>((Z119)^2)/(Z119-AA119)</f>
        <v>4.5</v>
      </c>
      <c r="AD119" s="9">
        <f>((Z119^2)*(AA119^2)*(Z119-AA119))/((Z119-AA119)^4)</f>
        <v>1.125</v>
      </c>
      <c r="AE119" s="5">
        <f>AVERAGE(K115:K117,K119)</f>
        <v>1.5</v>
      </c>
      <c r="AF119" s="5"/>
      <c r="AG119" s="9">
        <f>(AC119*AE119/25)</f>
        <v>0.27</v>
      </c>
      <c r="AH119" s="9">
        <f>AD119*AE119/25</f>
        <v>6.7500000000000004E-2</v>
      </c>
    </row>
    <row r="120" spans="1:34" s="11" customFormat="1" x14ac:dyDescent="0.25">
      <c r="A120" s="5">
        <v>125</v>
      </c>
      <c r="B120" s="11">
        <v>1</v>
      </c>
      <c r="C120" s="11" t="s">
        <v>20</v>
      </c>
      <c r="D120" s="20">
        <v>42961</v>
      </c>
      <c r="E120" s="12">
        <v>25</v>
      </c>
      <c r="F120" s="11">
        <v>1</v>
      </c>
      <c r="G120" s="11">
        <v>105</v>
      </c>
      <c r="H120" s="11">
        <v>1</v>
      </c>
      <c r="I120" s="21" t="s">
        <v>34</v>
      </c>
      <c r="J120" s="11">
        <v>90</v>
      </c>
      <c r="N120" s="5" t="s">
        <v>22</v>
      </c>
      <c r="O120" s="5" t="s">
        <v>23</v>
      </c>
      <c r="P120" s="5" t="s">
        <v>24</v>
      </c>
      <c r="Q120" s="5" t="s">
        <v>25</v>
      </c>
      <c r="R120" s="5" t="s">
        <v>26</v>
      </c>
      <c r="S120" s="5" t="s">
        <v>57</v>
      </c>
      <c r="T120" s="5" t="s">
        <v>69</v>
      </c>
      <c r="U120" s="5" t="s">
        <v>58</v>
      </c>
      <c r="V120" s="5" t="s">
        <v>76</v>
      </c>
      <c r="W120" s="5" t="s">
        <v>77</v>
      </c>
      <c r="X120" s="5" t="s">
        <v>78</v>
      </c>
      <c r="Z120" s="5" t="s">
        <v>22</v>
      </c>
      <c r="AA120" s="5" t="s">
        <v>23</v>
      </c>
      <c r="AB120" s="5" t="s">
        <v>24</v>
      </c>
      <c r="AC120" s="5" t="s">
        <v>25</v>
      </c>
      <c r="AD120" s="5" t="s">
        <v>26</v>
      </c>
      <c r="AE120" s="5" t="s">
        <v>57</v>
      </c>
      <c r="AF120" s="5"/>
      <c r="AG120" s="5" t="s">
        <v>58</v>
      </c>
    </row>
    <row r="121" spans="1:34" s="19" customFormat="1" x14ac:dyDescent="0.25">
      <c r="A121" s="9">
        <v>126</v>
      </c>
      <c r="B121" s="19">
        <v>2</v>
      </c>
      <c r="C121" s="19" t="s">
        <v>20</v>
      </c>
      <c r="D121" s="22">
        <v>42961</v>
      </c>
      <c r="E121" s="18">
        <v>25</v>
      </c>
      <c r="F121" s="19">
        <v>1</v>
      </c>
      <c r="G121" s="19">
        <v>105</v>
      </c>
      <c r="H121" s="19">
        <v>1</v>
      </c>
      <c r="I121" s="19" t="s">
        <v>33</v>
      </c>
      <c r="J121" s="19">
        <v>65</v>
      </c>
      <c r="N121" s="19">
        <f>COUNT(F120)</f>
        <v>1</v>
      </c>
      <c r="O121" s="19">
        <v>0</v>
      </c>
      <c r="P121" s="9">
        <f>(N121-O121)/N121</f>
        <v>1</v>
      </c>
      <c r="Q121" s="9">
        <f>((N121)^2)/(N121-O121)</f>
        <v>1</v>
      </c>
      <c r="R121" s="9">
        <f>((N121^2)*(O121^2)*(N121-O121))/((N121-O121)^4)</f>
        <v>0</v>
      </c>
      <c r="S121" s="23">
        <v>7</v>
      </c>
      <c r="T121" s="23">
        <v>0</v>
      </c>
      <c r="U121" s="9">
        <f>(Q121*S121/25)</f>
        <v>0.28000000000000003</v>
      </c>
      <c r="V121" s="5">
        <f>((S121^2)*R121)+((Q121^2)*T121)-(R121*T121)</f>
        <v>0</v>
      </c>
      <c r="W121" s="5">
        <f>(SQRT(V121))/(SQRT(COUNT(N121)))</f>
        <v>0</v>
      </c>
      <c r="X121" s="24">
        <f>W121/25</f>
        <v>0</v>
      </c>
      <c r="Y121" s="14" t="s">
        <v>68</v>
      </c>
      <c r="Z121" s="14">
        <f>SUM(H121)</f>
        <v>1</v>
      </c>
      <c r="AA121" s="5">
        <v>0</v>
      </c>
      <c r="AB121" s="9">
        <f>(Z121-AA121)/Z121</f>
        <v>1</v>
      </c>
      <c r="AC121" s="9">
        <f>((Z121)^2)/(Z121-AA121)</f>
        <v>1</v>
      </c>
      <c r="AD121" s="9">
        <f>((Z121^2)*(AA121^2)*(Z121-AA121))/((Z121-AA121)^4)</f>
        <v>0</v>
      </c>
      <c r="AE121" s="5">
        <v>2.9</v>
      </c>
      <c r="AF121" s="5"/>
      <c r="AG121" s="9">
        <f>(AC121*AE121/25)</f>
        <v>0.11599999999999999</v>
      </c>
    </row>
    <row r="122" spans="1:34" x14ac:dyDescent="0.25">
      <c r="A122" s="5">
        <v>127</v>
      </c>
      <c r="B122" s="5">
        <v>1</v>
      </c>
      <c r="C122" s="5" t="s">
        <v>18</v>
      </c>
      <c r="D122" s="13">
        <v>42962</v>
      </c>
      <c r="E122" s="12">
        <v>25</v>
      </c>
      <c r="F122" s="5">
        <v>1</v>
      </c>
      <c r="G122" s="5">
        <v>204</v>
      </c>
      <c r="H122" s="5">
        <v>1</v>
      </c>
      <c r="I122" s="5" t="s">
        <v>8</v>
      </c>
      <c r="J122" s="5">
        <v>155</v>
      </c>
      <c r="K122" s="5">
        <v>38.700000000000003</v>
      </c>
    </row>
    <row r="123" spans="1:34" x14ac:dyDescent="0.25">
      <c r="A123" s="5">
        <v>128</v>
      </c>
      <c r="B123" s="5">
        <v>2</v>
      </c>
      <c r="C123" s="5" t="s">
        <v>18</v>
      </c>
      <c r="D123" s="13">
        <v>42962</v>
      </c>
      <c r="E123" s="12">
        <v>25</v>
      </c>
      <c r="F123" s="5">
        <v>1</v>
      </c>
      <c r="G123" s="5">
        <v>204</v>
      </c>
      <c r="H123" s="5">
        <v>1</v>
      </c>
      <c r="I123" s="5" t="s">
        <v>8</v>
      </c>
      <c r="J123" s="5">
        <v>84</v>
      </c>
      <c r="K123" s="5">
        <v>5.6</v>
      </c>
      <c r="T123" s="5" t="s">
        <v>20</v>
      </c>
      <c r="Y123" s="14"/>
      <c r="Z123" s="14"/>
    </row>
    <row r="124" spans="1:34" x14ac:dyDescent="0.25">
      <c r="A124" s="5">
        <v>129</v>
      </c>
      <c r="B124" s="5">
        <v>3</v>
      </c>
      <c r="C124" s="5" t="s">
        <v>18</v>
      </c>
      <c r="D124" s="13">
        <v>42962</v>
      </c>
      <c r="E124" s="12">
        <v>25</v>
      </c>
      <c r="F124" s="5">
        <v>1</v>
      </c>
      <c r="G124" s="5">
        <v>204</v>
      </c>
      <c r="H124" s="5">
        <v>1</v>
      </c>
      <c r="I124" s="5" t="s">
        <v>8</v>
      </c>
      <c r="J124" s="5">
        <v>104</v>
      </c>
      <c r="K124" s="5">
        <v>10.7</v>
      </c>
      <c r="T124" s="5" t="s">
        <v>79</v>
      </c>
      <c r="Y124" s="14"/>
      <c r="Z124" s="14"/>
    </row>
    <row r="125" spans="1:34" x14ac:dyDescent="0.25">
      <c r="A125" s="5">
        <v>130</v>
      </c>
      <c r="B125" s="5">
        <v>4</v>
      </c>
      <c r="C125" s="5" t="s">
        <v>18</v>
      </c>
      <c r="D125" s="13">
        <v>42962</v>
      </c>
      <c r="E125" s="12">
        <v>25</v>
      </c>
      <c r="F125" s="5">
        <v>1</v>
      </c>
      <c r="G125" s="5">
        <v>204</v>
      </c>
      <c r="H125" s="5">
        <v>1</v>
      </c>
      <c r="I125" s="5" t="s">
        <v>8</v>
      </c>
      <c r="J125" s="5">
        <v>142</v>
      </c>
      <c r="K125" s="5">
        <v>25.9</v>
      </c>
      <c r="T125" s="5">
        <v>0</v>
      </c>
      <c r="X125" s="14"/>
      <c r="Y125" s="14"/>
    </row>
    <row r="126" spans="1:34" x14ac:dyDescent="0.25">
      <c r="A126" s="5">
        <v>131</v>
      </c>
      <c r="B126" s="5">
        <v>5</v>
      </c>
      <c r="C126" s="5" t="s">
        <v>18</v>
      </c>
      <c r="D126" s="13">
        <v>42962</v>
      </c>
      <c r="E126" s="12">
        <v>25</v>
      </c>
      <c r="F126" s="5">
        <v>1</v>
      </c>
      <c r="G126" s="5">
        <v>204</v>
      </c>
      <c r="H126" s="5">
        <v>1</v>
      </c>
      <c r="I126" s="5" t="s">
        <v>8</v>
      </c>
      <c r="J126" s="5">
        <v>138</v>
      </c>
      <c r="K126" s="5">
        <v>25.1</v>
      </c>
      <c r="X126" s="14"/>
      <c r="Y126" s="14"/>
    </row>
    <row r="127" spans="1:34" x14ac:dyDescent="0.25">
      <c r="A127" s="5">
        <v>132</v>
      </c>
      <c r="B127" s="5">
        <v>6</v>
      </c>
      <c r="C127" s="5" t="s">
        <v>18</v>
      </c>
      <c r="D127" s="13">
        <v>42962</v>
      </c>
      <c r="E127" s="12">
        <v>25</v>
      </c>
      <c r="F127" s="5">
        <v>1</v>
      </c>
      <c r="G127" s="5">
        <v>204</v>
      </c>
      <c r="H127" s="5">
        <v>1</v>
      </c>
      <c r="I127" s="5" t="s">
        <v>8</v>
      </c>
      <c r="J127" s="5">
        <v>98</v>
      </c>
      <c r="K127" s="5">
        <v>11.2</v>
      </c>
      <c r="X127" s="14"/>
      <c r="Y127" s="14"/>
    </row>
    <row r="128" spans="1:34" x14ac:dyDescent="0.25">
      <c r="A128" s="5">
        <v>133</v>
      </c>
      <c r="B128" s="5">
        <v>7</v>
      </c>
      <c r="C128" s="5" t="s">
        <v>18</v>
      </c>
      <c r="D128" s="13">
        <v>42962</v>
      </c>
      <c r="E128" s="12">
        <v>25</v>
      </c>
      <c r="F128" s="5">
        <v>1</v>
      </c>
      <c r="G128" s="5">
        <v>204</v>
      </c>
      <c r="H128" s="5">
        <v>1</v>
      </c>
      <c r="I128" s="11" t="s">
        <v>35</v>
      </c>
      <c r="J128" s="5">
        <v>80</v>
      </c>
      <c r="K128" s="5">
        <v>4.2</v>
      </c>
      <c r="X128" s="14"/>
      <c r="Y128" s="14"/>
    </row>
    <row r="129" spans="1:20" x14ac:dyDescent="0.25">
      <c r="A129" s="5">
        <v>134</v>
      </c>
      <c r="B129" s="5">
        <v>8</v>
      </c>
      <c r="C129" s="5" t="s">
        <v>18</v>
      </c>
      <c r="D129" s="13">
        <v>42962</v>
      </c>
      <c r="E129" s="12">
        <v>25</v>
      </c>
      <c r="F129" s="5">
        <v>1</v>
      </c>
      <c r="G129" s="5">
        <v>204</v>
      </c>
      <c r="H129" s="5">
        <v>1</v>
      </c>
      <c r="I129" s="11" t="s">
        <v>35</v>
      </c>
      <c r="J129" s="5">
        <v>87</v>
      </c>
      <c r="K129" s="5">
        <v>8.3000000000000007</v>
      </c>
    </row>
    <row r="130" spans="1:20" x14ac:dyDescent="0.25">
      <c r="A130" s="5">
        <v>135</v>
      </c>
      <c r="B130" s="5">
        <v>9</v>
      </c>
      <c r="C130" s="5" t="s">
        <v>18</v>
      </c>
      <c r="D130" s="13">
        <v>42962</v>
      </c>
      <c r="E130" s="12">
        <v>25</v>
      </c>
      <c r="F130" s="5">
        <v>1</v>
      </c>
      <c r="G130" s="5">
        <v>204</v>
      </c>
      <c r="H130" s="5">
        <v>1</v>
      </c>
      <c r="I130" s="11" t="s">
        <v>35</v>
      </c>
      <c r="J130" s="5">
        <v>80</v>
      </c>
      <c r="K130" s="5">
        <v>4.4000000000000004</v>
      </c>
    </row>
    <row r="131" spans="1:20" x14ac:dyDescent="0.25">
      <c r="A131" s="5">
        <v>136</v>
      </c>
      <c r="B131" s="5">
        <v>10</v>
      </c>
      <c r="C131" s="5" t="s">
        <v>18</v>
      </c>
      <c r="D131" s="13">
        <v>42962</v>
      </c>
      <c r="E131" s="12">
        <v>25</v>
      </c>
      <c r="F131" s="5">
        <v>1</v>
      </c>
      <c r="G131" s="5">
        <v>204</v>
      </c>
      <c r="H131" s="5">
        <v>1</v>
      </c>
      <c r="I131" s="11" t="s">
        <v>35</v>
      </c>
      <c r="J131" s="5">
        <v>74</v>
      </c>
      <c r="K131" s="5">
        <v>3.9</v>
      </c>
    </row>
    <row r="132" spans="1:20" x14ac:dyDescent="0.25">
      <c r="A132" s="5">
        <v>137</v>
      </c>
      <c r="B132" s="5">
        <v>11</v>
      </c>
      <c r="C132" s="5" t="s">
        <v>18</v>
      </c>
      <c r="D132" s="13">
        <v>42962</v>
      </c>
      <c r="E132" s="12">
        <v>25</v>
      </c>
      <c r="F132" s="5">
        <v>1</v>
      </c>
      <c r="G132" s="5">
        <v>204</v>
      </c>
      <c r="H132" s="5">
        <v>1</v>
      </c>
      <c r="I132" s="11" t="s">
        <v>35</v>
      </c>
      <c r="J132" s="5">
        <v>68</v>
      </c>
      <c r="K132" s="5">
        <v>3.4</v>
      </c>
    </row>
    <row r="133" spans="1:20" x14ac:dyDescent="0.25">
      <c r="A133" s="5">
        <v>138</v>
      </c>
      <c r="B133" s="5">
        <v>12</v>
      </c>
      <c r="C133" s="5" t="s">
        <v>18</v>
      </c>
      <c r="D133" s="13">
        <v>42962</v>
      </c>
      <c r="E133" s="12">
        <v>25</v>
      </c>
      <c r="F133" s="5">
        <v>1</v>
      </c>
      <c r="G133" s="5">
        <v>204</v>
      </c>
      <c r="H133" s="5">
        <v>1</v>
      </c>
      <c r="I133" s="11" t="s">
        <v>35</v>
      </c>
      <c r="J133" s="5">
        <v>53</v>
      </c>
      <c r="K133" s="5">
        <v>0.4</v>
      </c>
    </row>
    <row r="134" spans="1:20" x14ac:dyDescent="0.25">
      <c r="A134" s="5">
        <v>139</v>
      </c>
      <c r="B134" s="5">
        <v>13</v>
      </c>
      <c r="C134" s="5" t="s">
        <v>18</v>
      </c>
      <c r="D134" s="13">
        <v>42962</v>
      </c>
      <c r="E134" s="12">
        <v>25</v>
      </c>
      <c r="F134" s="5">
        <v>1</v>
      </c>
      <c r="G134" s="5">
        <v>204</v>
      </c>
      <c r="H134" s="5">
        <v>1</v>
      </c>
      <c r="I134" s="11" t="s">
        <v>35</v>
      </c>
      <c r="J134" s="5">
        <v>56</v>
      </c>
      <c r="K134" s="5">
        <v>1.4</v>
      </c>
    </row>
    <row r="135" spans="1:20" x14ac:dyDescent="0.25">
      <c r="A135" s="5">
        <v>140</v>
      </c>
      <c r="B135" s="5">
        <v>14</v>
      </c>
      <c r="C135" s="5" t="s">
        <v>18</v>
      </c>
      <c r="D135" s="13">
        <v>42962</v>
      </c>
      <c r="E135" s="12">
        <v>25</v>
      </c>
      <c r="F135" s="5">
        <v>1</v>
      </c>
      <c r="G135" s="5">
        <v>204</v>
      </c>
      <c r="H135" s="5">
        <v>1</v>
      </c>
      <c r="I135" s="11" t="s">
        <v>35</v>
      </c>
      <c r="J135" s="5">
        <v>41</v>
      </c>
      <c r="K135" s="5">
        <v>0.5</v>
      </c>
    </row>
    <row r="136" spans="1:20" x14ac:dyDescent="0.25">
      <c r="A136" s="5">
        <v>141</v>
      </c>
      <c r="B136" s="5">
        <v>15</v>
      </c>
      <c r="C136" s="5" t="s">
        <v>18</v>
      </c>
      <c r="D136" s="13">
        <v>42962</v>
      </c>
      <c r="E136" s="12">
        <v>25</v>
      </c>
      <c r="F136" s="5">
        <v>1</v>
      </c>
      <c r="G136" s="5">
        <v>204</v>
      </c>
      <c r="H136" s="5">
        <v>1</v>
      </c>
      <c r="I136" s="11" t="s">
        <v>35</v>
      </c>
      <c r="J136" s="5">
        <v>39</v>
      </c>
      <c r="K136" s="5">
        <v>1.8</v>
      </c>
    </row>
    <row r="137" spans="1:20" x14ac:dyDescent="0.25">
      <c r="A137" s="5">
        <v>142</v>
      </c>
      <c r="B137" s="5">
        <v>16</v>
      </c>
      <c r="C137" s="5" t="s">
        <v>18</v>
      </c>
      <c r="D137" s="13">
        <v>42962</v>
      </c>
      <c r="E137" s="12">
        <v>25</v>
      </c>
      <c r="F137" s="5">
        <v>1</v>
      </c>
      <c r="G137" s="5">
        <v>204</v>
      </c>
      <c r="H137" s="5">
        <v>1</v>
      </c>
      <c r="I137" s="11" t="s">
        <v>35</v>
      </c>
      <c r="J137" s="5">
        <v>89</v>
      </c>
      <c r="K137" s="5">
        <v>5.9</v>
      </c>
    </row>
    <row r="138" spans="1:20" x14ac:dyDescent="0.25">
      <c r="A138" s="5">
        <v>143</v>
      </c>
      <c r="B138" s="5">
        <v>17</v>
      </c>
      <c r="C138" s="5" t="s">
        <v>18</v>
      </c>
      <c r="D138" s="13">
        <v>42962</v>
      </c>
      <c r="E138" s="12">
        <v>25</v>
      </c>
      <c r="F138" s="5">
        <v>1</v>
      </c>
      <c r="G138" s="5">
        <v>204</v>
      </c>
      <c r="H138" s="5">
        <v>1</v>
      </c>
      <c r="I138" s="11" t="s">
        <v>35</v>
      </c>
      <c r="J138" s="5">
        <v>68</v>
      </c>
      <c r="K138" s="5">
        <v>2.5</v>
      </c>
    </row>
    <row r="139" spans="1:20" x14ac:dyDescent="0.25">
      <c r="A139" s="5">
        <v>144</v>
      </c>
      <c r="B139" s="5">
        <v>18</v>
      </c>
      <c r="C139" s="5" t="s">
        <v>18</v>
      </c>
      <c r="D139" s="13">
        <v>42962</v>
      </c>
      <c r="E139" s="12">
        <v>25</v>
      </c>
      <c r="F139" s="5">
        <v>1</v>
      </c>
      <c r="G139" s="5">
        <v>204</v>
      </c>
      <c r="H139" s="5">
        <v>1</v>
      </c>
      <c r="I139" s="11" t="s">
        <v>35</v>
      </c>
      <c r="J139" s="5">
        <v>41</v>
      </c>
      <c r="K139" s="5">
        <v>0.9</v>
      </c>
    </row>
    <row r="140" spans="1:20" x14ac:dyDescent="0.25">
      <c r="A140" s="5">
        <v>145</v>
      </c>
      <c r="B140" s="5">
        <v>19</v>
      </c>
      <c r="C140" s="5" t="s">
        <v>18</v>
      </c>
      <c r="D140" s="13">
        <v>42962</v>
      </c>
      <c r="E140" s="12">
        <v>25</v>
      </c>
      <c r="F140" s="5">
        <v>1</v>
      </c>
      <c r="G140" s="5">
        <v>204</v>
      </c>
      <c r="H140" s="5">
        <v>1</v>
      </c>
      <c r="I140" s="11" t="s">
        <v>35</v>
      </c>
      <c r="J140" s="5">
        <v>36</v>
      </c>
      <c r="K140" s="5">
        <v>0.2</v>
      </c>
    </row>
    <row r="141" spans="1:20" x14ac:dyDescent="0.25">
      <c r="A141" s="5">
        <v>146</v>
      </c>
      <c r="B141" s="5">
        <v>20</v>
      </c>
      <c r="C141" s="5" t="s">
        <v>18</v>
      </c>
      <c r="D141" s="13">
        <v>42962</v>
      </c>
      <c r="E141" s="12">
        <v>25</v>
      </c>
      <c r="F141" s="5">
        <v>1</v>
      </c>
      <c r="G141" s="5">
        <v>204</v>
      </c>
      <c r="H141" s="5">
        <v>1</v>
      </c>
      <c r="I141" s="11" t="s">
        <v>35</v>
      </c>
      <c r="J141" s="5">
        <v>41</v>
      </c>
      <c r="K141" s="5">
        <v>0.4</v>
      </c>
    </row>
    <row r="142" spans="1:20" x14ac:dyDescent="0.25">
      <c r="A142" s="5">
        <v>147</v>
      </c>
      <c r="B142" s="5">
        <v>1</v>
      </c>
      <c r="C142" s="5" t="s">
        <v>18</v>
      </c>
      <c r="D142" s="13">
        <v>42962</v>
      </c>
      <c r="E142" s="12">
        <v>25</v>
      </c>
      <c r="F142" s="11">
        <v>2</v>
      </c>
      <c r="G142" s="5">
        <v>215</v>
      </c>
      <c r="H142" s="5">
        <v>1</v>
      </c>
      <c r="I142" s="5" t="s">
        <v>8</v>
      </c>
      <c r="J142" s="5">
        <v>75</v>
      </c>
      <c r="K142" s="5">
        <v>4.4000000000000004</v>
      </c>
    </row>
    <row r="143" spans="1:20" x14ac:dyDescent="0.25">
      <c r="A143" s="5">
        <v>148</v>
      </c>
      <c r="B143" s="5">
        <v>2</v>
      </c>
      <c r="C143" s="5" t="s">
        <v>18</v>
      </c>
      <c r="D143" s="13">
        <v>42962</v>
      </c>
      <c r="E143" s="12">
        <v>25</v>
      </c>
      <c r="F143" s="11">
        <v>2</v>
      </c>
      <c r="G143" s="5">
        <v>215</v>
      </c>
      <c r="H143" s="5">
        <v>1</v>
      </c>
      <c r="I143" s="5" t="s">
        <v>8</v>
      </c>
      <c r="J143" s="5">
        <v>63</v>
      </c>
      <c r="K143" s="5">
        <v>2.5</v>
      </c>
      <c r="T143" s="5" t="s">
        <v>18</v>
      </c>
    </row>
    <row r="144" spans="1:20" x14ac:dyDescent="0.25">
      <c r="A144" s="5">
        <v>149</v>
      </c>
      <c r="B144" s="5">
        <v>3</v>
      </c>
      <c r="C144" s="5" t="s">
        <v>18</v>
      </c>
      <c r="D144" s="13">
        <v>42962</v>
      </c>
      <c r="E144" s="12">
        <v>25</v>
      </c>
      <c r="F144" s="11">
        <v>2</v>
      </c>
      <c r="G144" s="5">
        <v>215</v>
      </c>
      <c r="H144" s="5">
        <v>1</v>
      </c>
      <c r="I144" s="11" t="s">
        <v>35</v>
      </c>
      <c r="J144" s="5">
        <v>81</v>
      </c>
      <c r="K144" s="5">
        <v>5.2</v>
      </c>
      <c r="R144" s="5" t="s">
        <v>81</v>
      </c>
      <c r="S144" s="5" t="s">
        <v>80</v>
      </c>
      <c r="T144" s="5" t="s">
        <v>79</v>
      </c>
    </row>
    <row r="145" spans="1:35" x14ac:dyDescent="0.25">
      <c r="A145" s="5">
        <v>150</v>
      </c>
      <c r="B145" s="5">
        <v>4</v>
      </c>
      <c r="C145" s="5" t="s">
        <v>18</v>
      </c>
      <c r="D145" s="13">
        <v>42962</v>
      </c>
      <c r="E145" s="12">
        <v>25</v>
      </c>
      <c r="F145" s="11">
        <v>2</v>
      </c>
      <c r="G145" s="5">
        <v>215</v>
      </c>
      <c r="H145" s="5">
        <v>1</v>
      </c>
      <c r="I145" s="11" t="s">
        <v>35</v>
      </c>
      <c r="J145" s="5">
        <v>56</v>
      </c>
      <c r="K145" s="5">
        <v>1.8</v>
      </c>
      <c r="R145" s="5">
        <f>_xlfn.STDEV.S(K122:K127,K142:K143)</f>
        <v>12.930079825187251</v>
      </c>
      <c r="S145" s="5">
        <f>SQRT(N148+O148)</f>
        <v>2.8284271247461903</v>
      </c>
      <c r="T145" s="5">
        <f>R145/S145</f>
        <v>4.571473562836637</v>
      </c>
    </row>
    <row r="146" spans="1:35" x14ac:dyDescent="0.25">
      <c r="A146" s="5">
        <v>151</v>
      </c>
      <c r="B146" s="5">
        <v>5</v>
      </c>
      <c r="C146" s="5" t="s">
        <v>18</v>
      </c>
      <c r="D146" s="13">
        <v>42962</v>
      </c>
      <c r="E146" s="12">
        <v>25</v>
      </c>
      <c r="F146" s="11">
        <v>2</v>
      </c>
      <c r="G146" s="5">
        <v>215</v>
      </c>
      <c r="H146" s="5">
        <v>1</v>
      </c>
      <c r="I146" s="11" t="s">
        <v>35</v>
      </c>
      <c r="J146" s="5">
        <v>72</v>
      </c>
      <c r="K146" s="5">
        <v>4.4000000000000004</v>
      </c>
    </row>
    <row r="147" spans="1:35" x14ac:dyDescent="0.25">
      <c r="A147" s="5">
        <v>152</v>
      </c>
      <c r="B147" s="5">
        <v>6</v>
      </c>
      <c r="C147" s="5" t="s">
        <v>18</v>
      </c>
      <c r="D147" s="13">
        <v>42962</v>
      </c>
      <c r="E147" s="12">
        <v>25</v>
      </c>
      <c r="F147" s="11">
        <v>2</v>
      </c>
      <c r="G147" s="5">
        <v>215</v>
      </c>
      <c r="H147" s="5">
        <v>1</v>
      </c>
      <c r="I147" s="11" t="s">
        <v>35</v>
      </c>
      <c r="J147" s="5">
        <v>80</v>
      </c>
      <c r="K147" s="5">
        <v>3.9</v>
      </c>
      <c r="N147" s="5" t="s">
        <v>22</v>
      </c>
      <c r="O147" s="5" t="s">
        <v>23</v>
      </c>
      <c r="P147" s="5" t="s">
        <v>24</v>
      </c>
      <c r="Q147" s="5" t="s">
        <v>25</v>
      </c>
      <c r="R147" s="5" t="s">
        <v>26</v>
      </c>
      <c r="S147" s="5" t="s">
        <v>57</v>
      </c>
      <c r="T147" s="5" t="s">
        <v>69</v>
      </c>
      <c r="U147" s="5" t="s">
        <v>58</v>
      </c>
      <c r="V147" s="5" t="s">
        <v>76</v>
      </c>
      <c r="W147" s="5" t="s">
        <v>77</v>
      </c>
      <c r="X147" s="5" t="s">
        <v>78</v>
      </c>
      <c r="AA147" s="5" t="s">
        <v>22</v>
      </c>
      <c r="AB147" s="5" t="s">
        <v>23</v>
      </c>
      <c r="AC147" s="5" t="s">
        <v>24</v>
      </c>
      <c r="AD147" s="5" t="s">
        <v>25</v>
      </c>
      <c r="AE147" s="5" t="s">
        <v>26</v>
      </c>
      <c r="AF147" s="5" t="s">
        <v>57</v>
      </c>
      <c r="AH147" s="5" t="s">
        <v>58</v>
      </c>
      <c r="AI147" s="5" t="s">
        <v>59</v>
      </c>
    </row>
    <row r="148" spans="1:35" s="9" customFormat="1" x14ac:dyDescent="0.25">
      <c r="A148" s="9">
        <v>153</v>
      </c>
      <c r="B148" s="9">
        <v>7</v>
      </c>
      <c r="C148" s="9" t="s">
        <v>18</v>
      </c>
      <c r="D148" s="17">
        <v>42962</v>
      </c>
      <c r="E148" s="18">
        <v>25</v>
      </c>
      <c r="F148" s="19">
        <v>2</v>
      </c>
      <c r="G148" s="9">
        <v>215</v>
      </c>
      <c r="H148" s="9">
        <v>1</v>
      </c>
      <c r="I148" s="19" t="s">
        <v>35</v>
      </c>
      <c r="J148" s="9">
        <v>39</v>
      </c>
      <c r="K148" s="9">
        <v>0.6</v>
      </c>
      <c r="M148" s="5" t="s">
        <v>62</v>
      </c>
      <c r="N148" s="9">
        <f>COUNT(F122:F127)</f>
        <v>6</v>
      </c>
      <c r="O148" s="9">
        <f>COUNT(F142:F143)</f>
        <v>2</v>
      </c>
      <c r="P148" s="9">
        <f>(N148-O148)/N148</f>
        <v>0.66666666666666663</v>
      </c>
      <c r="Q148" s="9">
        <f>((N148)^2)/(N148-O148)</f>
        <v>9</v>
      </c>
      <c r="R148" s="9">
        <f>((N148^2)*(O148^2)*(N148-O148))/((N148-O148)^4)</f>
        <v>2.25</v>
      </c>
      <c r="S148" s="9">
        <f>AVERAGE(K122:K127,K142:K143)</f>
        <v>15.512500000000001</v>
      </c>
      <c r="T148" s="9">
        <f>_xlfn.VAR.S(K125:K127,K142:K143)</f>
        <v>124.22699999999998</v>
      </c>
      <c r="U148" s="9">
        <f>(Q148*S148/25)</f>
        <v>5.5845000000000002</v>
      </c>
      <c r="V148" s="5">
        <f>((S148^2)*R148)+((Q148^2)*T148)-(R148*T148)</f>
        <v>10324.310976562499</v>
      </c>
      <c r="W148" s="5">
        <f>(SQRT(V148))/(SQRT(COUNT(K122:K127,K142:K143)))</f>
        <v>35.924070928422246</v>
      </c>
      <c r="X148" s="24">
        <f>W148/25</f>
        <v>1.4369628371368899</v>
      </c>
      <c r="Z148" s="14" t="s">
        <v>68</v>
      </c>
      <c r="AA148" s="14">
        <f>SUM(H128:H141)</f>
        <v>14</v>
      </c>
      <c r="AB148" s="5">
        <f>SUM(H144:H148)</f>
        <v>5</v>
      </c>
      <c r="AC148" s="9">
        <f>(AA148-AB148)/AA148</f>
        <v>0.6428571428571429</v>
      </c>
      <c r="AD148" s="9">
        <f>((AA148)^2)/(AA148-AB148)</f>
        <v>21.777777777777779</v>
      </c>
      <c r="AE148" s="9">
        <f>((AA148^2)*(AB148^2)*(AA148-AB148))/((AA148-AB148)^4)</f>
        <v>6.7215363511659811</v>
      </c>
      <c r="AF148" s="5">
        <f>AVERAGE(K128:K141,K144:K148)</f>
        <v>2.8473684210526313</v>
      </c>
      <c r="AG148" s="5"/>
      <c r="AH148" s="9">
        <f>(AD148*AF148/25)</f>
        <v>2.4803742690058481</v>
      </c>
      <c r="AI148" s="5">
        <f>(AE148+AG148)/25</f>
        <v>0.26886145404663925</v>
      </c>
    </row>
    <row r="149" spans="1:35" x14ac:dyDescent="0.25">
      <c r="A149" s="5">
        <v>154</v>
      </c>
      <c r="B149" s="5">
        <v>1</v>
      </c>
      <c r="C149" s="5" t="s">
        <v>17</v>
      </c>
      <c r="D149" s="13">
        <v>42962</v>
      </c>
      <c r="E149" s="12">
        <v>35</v>
      </c>
      <c r="F149" s="5">
        <v>1</v>
      </c>
      <c r="G149" s="5">
        <v>310</v>
      </c>
      <c r="H149" s="5">
        <v>1</v>
      </c>
      <c r="I149" s="5" t="s">
        <v>8</v>
      </c>
      <c r="J149" s="5">
        <v>164</v>
      </c>
      <c r="K149" s="5">
        <v>35.4</v>
      </c>
    </row>
    <row r="150" spans="1:35" x14ac:dyDescent="0.25">
      <c r="A150" s="5">
        <v>155</v>
      </c>
      <c r="B150" s="5">
        <v>2</v>
      </c>
      <c r="C150" s="5" t="s">
        <v>17</v>
      </c>
      <c r="D150" s="13">
        <v>42962</v>
      </c>
      <c r="E150" s="12">
        <v>35</v>
      </c>
      <c r="F150" s="5">
        <v>1</v>
      </c>
      <c r="G150" s="5">
        <v>310</v>
      </c>
      <c r="H150" s="5">
        <v>1</v>
      </c>
      <c r="I150" s="5" t="s">
        <v>8</v>
      </c>
      <c r="J150" s="5">
        <v>94</v>
      </c>
      <c r="K150" s="5">
        <v>8</v>
      </c>
    </row>
    <row r="151" spans="1:35" x14ac:dyDescent="0.25">
      <c r="A151" s="5">
        <v>156</v>
      </c>
      <c r="B151" s="5">
        <v>3</v>
      </c>
      <c r="C151" s="5" t="s">
        <v>17</v>
      </c>
      <c r="D151" s="13">
        <v>42962</v>
      </c>
      <c r="E151" s="12">
        <v>35</v>
      </c>
      <c r="F151" s="5">
        <v>1</v>
      </c>
      <c r="G151" s="5">
        <v>310</v>
      </c>
      <c r="H151" s="5">
        <v>1</v>
      </c>
      <c r="I151" s="11" t="s">
        <v>35</v>
      </c>
      <c r="J151" s="5">
        <v>84</v>
      </c>
      <c r="K151" s="5">
        <v>9.5</v>
      </c>
    </row>
    <row r="152" spans="1:35" x14ac:dyDescent="0.25">
      <c r="A152" s="5">
        <v>157</v>
      </c>
      <c r="B152" s="5">
        <v>4</v>
      </c>
      <c r="C152" s="5" t="s">
        <v>17</v>
      </c>
      <c r="D152" s="13">
        <v>42962</v>
      </c>
      <c r="E152" s="12">
        <v>35</v>
      </c>
      <c r="F152" s="5">
        <v>1</v>
      </c>
      <c r="G152" s="5">
        <v>310</v>
      </c>
      <c r="H152" s="5">
        <v>1</v>
      </c>
      <c r="I152" s="11" t="s">
        <v>35</v>
      </c>
      <c r="J152" s="5">
        <v>87</v>
      </c>
      <c r="K152" s="5">
        <v>7.6</v>
      </c>
    </row>
    <row r="153" spans="1:35" x14ac:dyDescent="0.25">
      <c r="A153" s="5">
        <v>158</v>
      </c>
      <c r="B153" s="5">
        <v>5</v>
      </c>
      <c r="C153" s="5" t="s">
        <v>17</v>
      </c>
      <c r="D153" s="13">
        <v>42962</v>
      </c>
      <c r="E153" s="12">
        <v>35</v>
      </c>
      <c r="F153" s="5">
        <v>1</v>
      </c>
      <c r="G153" s="5">
        <v>310</v>
      </c>
      <c r="H153" s="5">
        <v>1</v>
      </c>
      <c r="I153" s="11" t="s">
        <v>35</v>
      </c>
      <c r="J153" s="5">
        <v>76</v>
      </c>
      <c r="K153" s="5">
        <v>9</v>
      </c>
    </row>
    <row r="154" spans="1:35" x14ac:dyDescent="0.25">
      <c r="A154" s="5">
        <v>159</v>
      </c>
      <c r="B154" s="5">
        <v>6</v>
      </c>
      <c r="C154" s="5" t="s">
        <v>17</v>
      </c>
      <c r="D154" s="13">
        <v>42962</v>
      </c>
      <c r="E154" s="12">
        <v>35</v>
      </c>
      <c r="F154" s="5">
        <v>1</v>
      </c>
      <c r="G154" s="5">
        <v>310</v>
      </c>
      <c r="H154" s="5">
        <v>1</v>
      </c>
      <c r="I154" s="11" t="s">
        <v>35</v>
      </c>
      <c r="J154" s="5">
        <v>76</v>
      </c>
      <c r="K154" s="5">
        <v>4.5999999999999996</v>
      </c>
    </row>
    <row r="155" spans="1:35" x14ac:dyDescent="0.25">
      <c r="A155" s="5">
        <v>160</v>
      </c>
      <c r="B155" s="5">
        <v>7</v>
      </c>
      <c r="C155" s="5" t="s">
        <v>17</v>
      </c>
      <c r="D155" s="13">
        <v>42962</v>
      </c>
      <c r="E155" s="12">
        <v>35</v>
      </c>
      <c r="F155" s="5">
        <v>1</v>
      </c>
      <c r="G155" s="5">
        <v>310</v>
      </c>
      <c r="H155" s="5">
        <v>1</v>
      </c>
      <c r="I155" s="11" t="s">
        <v>35</v>
      </c>
      <c r="J155" s="5">
        <v>80</v>
      </c>
      <c r="K155" s="5">
        <v>5</v>
      </c>
    </row>
    <row r="156" spans="1:35" x14ac:dyDescent="0.25">
      <c r="A156" s="5">
        <v>161</v>
      </c>
      <c r="B156" s="5">
        <v>8</v>
      </c>
      <c r="C156" s="5" t="s">
        <v>17</v>
      </c>
      <c r="D156" s="13">
        <v>42962</v>
      </c>
      <c r="E156" s="12">
        <v>35</v>
      </c>
      <c r="F156" s="5">
        <v>1</v>
      </c>
      <c r="G156" s="5">
        <v>310</v>
      </c>
      <c r="H156" s="5">
        <v>1</v>
      </c>
      <c r="I156" s="11" t="s">
        <v>35</v>
      </c>
      <c r="J156" s="5">
        <v>79</v>
      </c>
      <c r="K156" s="5">
        <v>5.0999999999999996</v>
      </c>
    </row>
    <row r="157" spans="1:35" x14ac:dyDescent="0.25">
      <c r="A157" s="5">
        <v>162</v>
      </c>
      <c r="B157" s="5">
        <v>9</v>
      </c>
      <c r="C157" s="5" t="s">
        <v>17</v>
      </c>
      <c r="D157" s="13">
        <v>42962</v>
      </c>
      <c r="E157" s="12">
        <v>35</v>
      </c>
      <c r="F157" s="5">
        <v>1</v>
      </c>
      <c r="G157" s="5">
        <v>310</v>
      </c>
      <c r="H157" s="5">
        <v>1</v>
      </c>
      <c r="I157" s="11" t="s">
        <v>35</v>
      </c>
      <c r="J157" s="5">
        <v>70</v>
      </c>
      <c r="K157" s="5">
        <v>2.9</v>
      </c>
    </row>
    <row r="158" spans="1:35" x14ac:dyDescent="0.25">
      <c r="A158" s="5">
        <v>163</v>
      </c>
      <c r="B158" s="5">
        <v>10</v>
      </c>
      <c r="C158" s="5" t="s">
        <v>17</v>
      </c>
      <c r="D158" s="13">
        <v>42962</v>
      </c>
      <c r="E158" s="12">
        <v>35</v>
      </c>
      <c r="F158" s="5">
        <v>1</v>
      </c>
      <c r="G158" s="5">
        <v>310</v>
      </c>
      <c r="H158" s="5">
        <v>1</v>
      </c>
      <c r="I158" s="11" t="s">
        <v>35</v>
      </c>
      <c r="J158" s="5">
        <v>59</v>
      </c>
      <c r="K158" s="5">
        <v>1.9</v>
      </c>
    </row>
    <row r="159" spans="1:35" x14ac:dyDescent="0.25">
      <c r="A159" s="5">
        <v>164</v>
      </c>
      <c r="B159" s="5">
        <v>11</v>
      </c>
      <c r="C159" s="5" t="s">
        <v>17</v>
      </c>
      <c r="D159" s="13">
        <v>42962</v>
      </c>
      <c r="E159" s="12">
        <v>35</v>
      </c>
      <c r="F159" s="5">
        <v>1</v>
      </c>
      <c r="G159" s="5">
        <v>310</v>
      </c>
      <c r="H159" s="5">
        <v>1</v>
      </c>
      <c r="I159" s="11" t="s">
        <v>35</v>
      </c>
      <c r="J159" s="5">
        <v>56</v>
      </c>
      <c r="K159" s="5">
        <v>1.9</v>
      </c>
    </row>
    <row r="160" spans="1:35" x14ac:dyDescent="0.25">
      <c r="A160" s="5">
        <v>165</v>
      </c>
      <c r="B160" s="5">
        <v>12</v>
      </c>
      <c r="C160" s="5" t="s">
        <v>17</v>
      </c>
      <c r="D160" s="13">
        <v>42962</v>
      </c>
      <c r="E160" s="12">
        <v>35</v>
      </c>
      <c r="F160" s="5">
        <v>1</v>
      </c>
      <c r="G160" s="5">
        <v>310</v>
      </c>
      <c r="H160" s="5">
        <v>1</v>
      </c>
      <c r="I160" s="11" t="s">
        <v>35</v>
      </c>
      <c r="J160" s="5">
        <v>54</v>
      </c>
      <c r="K160" s="5">
        <v>1.5</v>
      </c>
    </row>
    <row r="161" spans="1:34" x14ac:dyDescent="0.25">
      <c r="A161" s="5">
        <v>166</v>
      </c>
      <c r="B161" s="5">
        <v>13</v>
      </c>
      <c r="C161" s="5" t="s">
        <v>17</v>
      </c>
      <c r="D161" s="13">
        <v>42962</v>
      </c>
      <c r="E161" s="12">
        <v>35</v>
      </c>
      <c r="F161" s="5">
        <v>1</v>
      </c>
      <c r="G161" s="5">
        <v>310</v>
      </c>
      <c r="H161" s="5">
        <v>1</v>
      </c>
      <c r="I161" s="11" t="s">
        <v>35</v>
      </c>
      <c r="J161" s="5">
        <v>35</v>
      </c>
      <c r="K161" s="5">
        <v>0.3</v>
      </c>
    </row>
    <row r="162" spans="1:34" x14ac:dyDescent="0.25">
      <c r="A162" s="5">
        <v>167</v>
      </c>
      <c r="B162" s="5">
        <v>14</v>
      </c>
      <c r="C162" s="5" t="s">
        <v>17</v>
      </c>
      <c r="D162" s="13">
        <v>42962</v>
      </c>
      <c r="E162" s="12">
        <v>35</v>
      </c>
      <c r="F162" s="5">
        <v>1</v>
      </c>
      <c r="G162" s="5">
        <v>310</v>
      </c>
      <c r="H162" s="5">
        <v>1</v>
      </c>
      <c r="I162" s="11" t="s">
        <v>35</v>
      </c>
      <c r="J162" s="5">
        <v>35</v>
      </c>
      <c r="K162" s="5">
        <v>0.3</v>
      </c>
    </row>
    <row r="163" spans="1:34" x14ac:dyDescent="0.25">
      <c r="A163" s="5">
        <v>168</v>
      </c>
      <c r="B163" s="5">
        <v>15</v>
      </c>
      <c r="C163" s="5" t="s">
        <v>17</v>
      </c>
      <c r="D163" s="13">
        <v>42962</v>
      </c>
      <c r="E163" s="12">
        <v>35</v>
      </c>
      <c r="F163" s="5">
        <v>1</v>
      </c>
      <c r="G163" s="5">
        <v>310</v>
      </c>
      <c r="H163" s="5">
        <v>1</v>
      </c>
      <c r="I163" s="11" t="s">
        <v>35</v>
      </c>
      <c r="J163" s="5">
        <v>35</v>
      </c>
      <c r="K163" s="5">
        <v>0.3</v>
      </c>
    </row>
    <row r="164" spans="1:34" x14ac:dyDescent="0.25">
      <c r="A164" s="5">
        <v>169</v>
      </c>
      <c r="B164" s="5">
        <v>16</v>
      </c>
      <c r="C164" s="5" t="s">
        <v>17</v>
      </c>
      <c r="D164" s="13">
        <v>42962</v>
      </c>
      <c r="E164" s="12">
        <v>35</v>
      </c>
      <c r="F164" s="5">
        <v>1</v>
      </c>
      <c r="G164" s="5">
        <v>310</v>
      </c>
      <c r="H164" s="5">
        <v>1</v>
      </c>
      <c r="I164" s="11" t="s">
        <v>35</v>
      </c>
      <c r="J164" s="5">
        <v>35</v>
      </c>
      <c r="K164" s="5">
        <v>0.3</v>
      </c>
    </row>
    <row r="165" spans="1:34" x14ac:dyDescent="0.25">
      <c r="A165" s="5">
        <v>170</v>
      </c>
      <c r="B165" s="5">
        <v>1</v>
      </c>
      <c r="C165" s="5" t="s">
        <v>17</v>
      </c>
      <c r="D165" s="13">
        <v>42962</v>
      </c>
      <c r="E165" s="12">
        <v>35</v>
      </c>
      <c r="F165" s="11">
        <v>2</v>
      </c>
      <c r="G165" s="5">
        <v>212</v>
      </c>
      <c r="H165" s="5">
        <v>1</v>
      </c>
      <c r="I165" s="5" t="s">
        <v>8</v>
      </c>
      <c r="J165" s="5">
        <v>88</v>
      </c>
      <c r="K165" s="5">
        <v>8.6</v>
      </c>
    </row>
    <row r="166" spans="1:34" x14ac:dyDescent="0.25">
      <c r="A166" s="5">
        <v>171</v>
      </c>
      <c r="B166" s="5">
        <v>2</v>
      </c>
      <c r="C166" s="5" t="s">
        <v>17</v>
      </c>
      <c r="D166" s="13">
        <v>42962</v>
      </c>
      <c r="E166" s="12">
        <v>35</v>
      </c>
      <c r="F166" s="11">
        <v>2</v>
      </c>
      <c r="G166" s="5">
        <v>212</v>
      </c>
      <c r="H166" s="5">
        <v>1</v>
      </c>
      <c r="I166" s="11" t="s">
        <v>35</v>
      </c>
      <c r="J166" s="5">
        <v>71</v>
      </c>
      <c r="K166" s="5">
        <v>3.8</v>
      </c>
    </row>
    <row r="167" spans="1:34" x14ac:dyDescent="0.25">
      <c r="A167" s="5">
        <v>172</v>
      </c>
      <c r="B167" s="5">
        <v>3</v>
      </c>
      <c r="C167" s="5" t="s">
        <v>17</v>
      </c>
      <c r="D167" s="13">
        <v>42962</v>
      </c>
      <c r="E167" s="12">
        <v>35</v>
      </c>
      <c r="F167" s="11">
        <v>2</v>
      </c>
      <c r="G167" s="5">
        <v>212</v>
      </c>
      <c r="H167" s="5">
        <v>1</v>
      </c>
      <c r="I167" s="11" t="s">
        <v>35</v>
      </c>
      <c r="J167" s="5">
        <v>75</v>
      </c>
      <c r="K167" s="5">
        <v>4</v>
      </c>
    </row>
    <row r="168" spans="1:34" x14ac:dyDescent="0.25">
      <c r="A168" s="5">
        <v>173</v>
      </c>
      <c r="B168" s="5">
        <v>4</v>
      </c>
      <c r="C168" s="5" t="s">
        <v>17</v>
      </c>
      <c r="D168" s="13">
        <v>42962</v>
      </c>
      <c r="E168" s="12">
        <v>35</v>
      </c>
      <c r="F168" s="11">
        <v>2</v>
      </c>
      <c r="G168" s="5">
        <v>212</v>
      </c>
      <c r="H168" s="5">
        <v>1</v>
      </c>
      <c r="I168" s="11" t="s">
        <v>35</v>
      </c>
      <c r="J168" s="5">
        <v>77</v>
      </c>
      <c r="K168" s="5">
        <v>4.8</v>
      </c>
    </row>
    <row r="169" spans="1:34" x14ac:dyDescent="0.25">
      <c r="A169" s="5">
        <v>174</v>
      </c>
      <c r="B169" s="5">
        <v>5</v>
      </c>
      <c r="C169" s="5" t="s">
        <v>17</v>
      </c>
      <c r="D169" s="13">
        <v>42962</v>
      </c>
      <c r="E169" s="12">
        <v>35</v>
      </c>
      <c r="F169" s="11">
        <v>2</v>
      </c>
      <c r="G169" s="5">
        <v>212</v>
      </c>
      <c r="H169" s="5">
        <v>1</v>
      </c>
      <c r="I169" s="11" t="s">
        <v>35</v>
      </c>
      <c r="J169" s="5">
        <v>57</v>
      </c>
      <c r="K169" s="5">
        <v>2.7</v>
      </c>
    </row>
    <row r="170" spans="1:34" x14ac:dyDescent="0.25">
      <c r="A170" s="5">
        <v>175</v>
      </c>
      <c r="B170" s="5">
        <v>6</v>
      </c>
      <c r="C170" s="5" t="s">
        <v>17</v>
      </c>
      <c r="D170" s="13">
        <v>42962</v>
      </c>
      <c r="E170" s="12">
        <v>35</v>
      </c>
      <c r="F170" s="11">
        <v>2</v>
      </c>
      <c r="G170" s="5">
        <v>212</v>
      </c>
      <c r="H170" s="5">
        <v>1</v>
      </c>
      <c r="I170" s="11" t="s">
        <v>35</v>
      </c>
      <c r="J170" s="5">
        <v>75</v>
      </c>
      <c r="K170" s="5">
        <v>4.0999999999999996</v>
      </c>
    </row>
    <row r="171" spans="1:34" x14ac:dyDescent="0.25">
      <c r="A171" s="5">
        <v>176</v>
      </c>
      <c r="B171" s="5">
        <v>7</v>
      </c>
      <c r="C171" s="5" t="s">
        <v>17</v>
      </c>
      <c r="D171" s="13">
        <v>42962</v>
      </c>
      <c r="E171" s="12">
        <v>35</v>
      </c>
      <c r="F171" s="11">
        <v>2</v>
      </c>
      <c r="G171" s="5">
        <v>212</v>
      </c>
      <c r="H171" s="5">
        <v>1</v>
      </c>
      <c r="I171" s="11" t="s">
        <v>35</v>
      </c>
      <c r="J171" s="5">
        <v>56</v>
      </c>
      <c r="K171" s="5">
        <v>1.5</v>
      </c>
      <c r="T171" s="5" t="s">
        <v>17</v>
      </c>
    </row>
    <row r="172" spans="1:34" x14ac:dyDescent="0.25">
      <c r="A172" s="5">
        <v>177</v>
      </c>
      <c r="B172" s="5">
        <v>8</v>
      </c>
      <c r="C172" s="5" t="s">
        <v>17</v>
      </c>
      <c r="D172" s="13">
        <v>42962</v>
      </c>
      <c r="E172" s="12">
        <v>35</v>
      </c>
      <c r="F172" s="11">
        <v>2</v>
      </c>
      <c r="G172" s="5">
        <v>212</v>
      </c>
      <c r="H172" s="5">
        <v>1</v>
      </c>
      <c r="I172" s="11" t="s">
        <v>35</v>
      </c>
      <c r="J172" s="5">
        <v>65</v>
      </c>
      <c r="K172" s="5">
        <v>2.9</v>
      </c>
      <c r="R172" s="5" t="s">
        <v>81</v>
      </c>
      <c r="S172" s="5" t="s">
        <v>80</v>
      </c>
      <c r="T172" s="5" t="s">
        <v>79</v>
      </c>
    </row>
    <row r="173" spans="1:34" x14ac:dyDescent="0.25">
      <c r="A173" s="5">
        <v>178</v>
      </c>
      <c r="B173" s="5">
        <v>9</v>
      </c>
      <c r="C173" s="5" t="s">
        <v>17</v>
      </c>
      <c r="D173" s="13">
        <v>42962</v>
      </c>
      <c r="E173" s="12">
        <v>35</v>
      </c>
      <c r="F173" s="11">
        <v>2</v>
      </c>
      <c r="G173" s="5">
        <v>212</v>
      </c>
      <c r="H173" s="5">
        <v>1</v>
      </c>
      <c r="I173" s="11" t="s">
        <v>35</v>
      </c>
      <c r="J173" s="5">
        <v>63</v>
      </c>
      <c r="K173" s="5">
        <v>2.1</v>
      </c>
      <c r="R173" s="5">
        <f>_xlfn.STDEV.S(K149:K150,K165)</f>
        <v>15.649068129870649</v>
      </c>
      <c r="S173" s="5">
        <f>SQRT(N176+O176)</f>
        <v>1.7320508075688772</v>
      </c>
      <c r="T173" s="5">
        <f>R173/S173</f>
        <v>9.0349936973476126</v>
      </c>
    </row>
    <row r="174" spans="1:34" x14ac:dyDescent="0.25">
      <c r="A174" s="5">
        <v>179</v>
      </c>
      <c r="B174" s="5">
        <v>10</v>
      </c>
      <c r="C174" s="5" t="s">
        <v>17</v>
      </c>
      <c r="D174" s="13">
        <v>42962</v>
      </c>
      <c r="E174" s="12">
        <v>35</v>
      </c>
      <c r="F174" s="11">
        <v>2</v>
      </c>
      <c r="G174" s="5">
        <v>212</v>
      </c>
      <c r="H174" s="5">
        <v>1</v>
      </c>
      <c r="I174" s="11" t="s">
        <v>35</v>
      </c>
      <c r="J174" s="5">
        <v>65</v>
      </c>
      <c r="K174" s="5">
        <v>2.6</v>
      </c>
    </row>
    <row r="175" spans="1:34" x14ac:dyDescent="0.25">
      <c r="A175" s="5">
        <v>180</v>
      </c>
      <c r="B175" s="5">
        <v>11</v>
      </c>
      <c r="C175" s="5" t="s">
        <v>17</v>
      </c>
      <c r="D175" s="13">
        <v>42962</v>
      </c>
      <c r="E175" s="12">
        <v>35</v>
      </c>
      <c r="F175" s="11">
        <v>2</v>
      </c>
      <c r="G175" s="5">
        <v>212</v>
      </c>
      <c r="H175" s="5">
        <v>1</v>
      </c>
      <c r="I175" s="11" t="s">
        <v>35</v>
      </c>
      <c r="J175" s="5">
        <v>54</v>
      </c>
      <c r="K175" s="5">
        <v>1.2</v>
      </c>
      <c r="N175" s="5" t="s">
        <v>22</v>
      </c>
      <c r="O175" s="5" t="s">
        <v>23</v>
      </c>
      <c r="P175" s="5" t="s">
        <v>24</v>
      </c>
      <c r="Q175" s="5" t="s">
        <v>25</v>
      </c>
      <c r="R175" s="5" t="s">
        <v>26</v>
      </c>
      <c r="S175" s="5" t="s">
        <v>57</v>
      </c>
      <c r="T175" s="5" t="s">
        <v>69</v>
      </c>
      <c r="U175" s="5" t="s">
        <v>58</v>
      </c>
      <c r="V175" s="5" t="s">
        <v>76</v>
      </c>
      <c r="W175" s="5" t="s">
        <v>77</v>
      </c>
      <c r="X175" s="5" t="s">
        <v>78</v>
      </c>
      <c r="Z175" s="5" t="s">
        <v>22</v>
      </c>
      <c r="AA175" s="5" t="s">
        <v>23</v>
      </c>
      <c r="AB175" s="5" t="s">
        <v>24</v>
      </c>
      <c r="AC175" s="5" t="s">
        <v>25</v>
      </c>
      <c r="AD175" s="5" t="s">
        <v>26</v>
      </c>
      <c r="AE175" s="5" t="s">
        <v>57</v>
      </c>
      <c r="AG175" s="5" t="s">
        <v>58</v>
      </c>
      <c r="AH175" s="5" t="s">
        <v>59</v>
      </c>
    </row>
    <row r="176" spans="1:34" s="9" customFormat="1" x14ac:dyDescent="0.25">
      <c r="A176" s="9">
        <v>181</v>
      </c>
      <c r="B176" s="9">
        <v>12</v>
      </c>
      <c r="C176" s="9" t="s">
        <v>17</v>
      </c>
      <c r="D176" s="17">
        <v>42962</v>
      </c>
      <c r="E176" s="18">
        <v>35</v>
      </c>
      <c r="F176" s="19">
        <v>2</v>
      </c>
      <c r="G176" s="9">
        <v>212</v>
      </c>
      <c r="H176" s="9">
        <v>1</v>
      </c>
      <c r="I176" s="19" t="s">
        <v>35</v>
      </c>
      <c r="J176" s="9">
        <v>32</v>
      </c>
      <c r="K176" s="9">
        <v>0.2</v>
      </c>
      <c r="M176" s="5" t="s">
        <v>62</v>
      </c>
      <c r="N176" s="9">
        <f>COUNT(F149:F150)</f>
        <v>2</v>
      </c>
      <c r="O176" s="9">
        <f>COUNT(F165)</f>
        <v>1</v>
      </c>
      <c r="P176" s="9">
        <f>(N176-O176)/N176</f>
        <v>0.5</v>
      </c>
      <c r="Q176" s="9">
        <f>((N176)^2)/(N176-O176)</f>
        <v>4</v>
      </c>
      <c r="R176" s="9">
        <f>((N176^2)*(O176^2)*(N176-O176))/((N176-O176)^4)</f>
        <v>4</v>
      </c>
      <c r="S176" s="9">
        <f>AVERAGE(K149:K150,K165)</f>
        <v>17.333333333333332</v>
      </c>
      <c r="T176" s="9">
        <f>_xlfn.VAR.S(K149:K150,K165)</f>
        <v>244.89333333333326</v>
      </c>
      <c r="U176" s="9">
        <f>(Q176*S176/35)</f>
        <v>1.9809523809523808</v>
      </c>
      <c r="V176" s="5">
        <f>((S176^2)*R176)+((Q176^2)*T176)-(R176*T176)</f>
        <v>4140.4977777777767</v>
      </c>
      <c r="W176" s="5">
        <f>(SQRT(V176))/(SQRT(COUNT(K149:K150,K165)))</f>
        <v>37.150584462776969</v>
      </c>
      <c r="X176" s="24">
        <f>W176/35</f>
        <v>1.0614452703650563</v>
      </c>
      <c r="Y176" s="14" t="s">
        <v>68</v>
      </c>
      <c r="Z176" s="14">
        <f>SUM(H151:H164)</f>
        <v>14</v>
      </c>
      <c r="AA176" s="5">
        <f>SUM(H166:H176)</f>
        <v>11</v>
      </c>
      <c r="AB176" s="9">
        <f>(Z176-AA176)/Z176</f>
        <v>0.21428571428571427</v>
      </c>
      <c r="AC176" s="9">
        <f>((Z176)^2)/(Z176-AA176)</f>
        <v>65.333333333333329</v>
      </c>
      <c r="AD176" s="9">
        <f>((Z176^2)*(AA176^2)*(Z176-AA176))/((Z176-AA176)^4)</f>
        <v>878.37037037037032</v>
      </c>
      <c r="AE176" s="5">
        <f>AVERAGE(K151:K164,K166:K176)</f>
        <v>3.2039999999999993</v>
      </c>
      <c r="AF176" s="5"/>
      <c r="AG176" s="9">
        <f>(AC176*AE176/35)</f>
        <v>5.9807999999999986</v>
      </c>
      <c r="AH176" s="9">
        <f>AD176*AE176/25</f>
        <v>112.57194666666665</v>
      </c>
    </row>
    <row r="177" spans="1:11" x14ac:dyDescent="0.25">
      <c r="A177" s="5">
        <v>182</v>
      </c>
      <c r="B177" s="5">
        <v>1</v>
      </c>
      <c r="C177" s="5" t="s">
        <v>16</v>
      </c>
      <c r="D177" s="13">
        <v>42962</v>
      </c>
      <c r="E177" s="12">
        <v>25</v>
      </c>
      <c r="F177" s="5">
        <v>1</v>
      </c>
      <c r="G177" s="5">
        <v>169</v>
      </c>
      <c r="H177" s="5">
        <v>1</v>
      </c>
      <c r="I177" s="5" t="s">
        <v>8</v>
      </c>
      <c r="J177" s="5">
        <v>113</v>
      </c>
      <c r="K177" s="5">
        <v>16.2</v>
      </c>
    </row>
    <row r="178" spans="1:11" x14ac:dyDescent="0.25">
      <c r="A178" s="5">
        <v>183</v>
      </c>
      <c r="B178" s="5">
        <v>2</v>
      </c>
      <c r="C178" s="5" t="s">
        <v>16</v>
      </c>
      <c r="D178" s="13">
        <v>42962</v>
      </c>
      <c r="E178" s="12">
        <v>25</v>
      </c>
      <c r="F178" s="5">
        <v>1</v>
      </c>
      <c r="G178" s="5">
        <v>169</v>
      </c>
      <c r="H178" s="5">
        <v>1</v>
      </c>
      <c r="I178" s="5" t="s">
        <v>8</v>
      </c>
      <c r="J178" s="5">
        <v>142</v>
      </c>
      <c r="K178" s="5">
        <v>30.4</v>
      </c>
    </row>
    <row r="179" spans="1:11" x14ac:dyDescent="0.25">
      <c r="A179" s="5">
        <v>184</v>
      </c>
      <c r="B179" s="5">
        <v>3</v>
      </c>
      <c r="C179" s="5" t="s">
        <v>16</v>
      </c>
      <c r="D179" s="13">
        <v>42962</v>
      </c>
      <c r="E179" s="12">
        <v>25</v>
      </c>
      <c r="F179" s="5">
        <v>1</v>
      </c>
      <c r="G179" s="5">
        <v>169</v>
      </c>
      <c r="H179" s="5">
        <v>1</v>
      </c>
      <c r="I179" s="5" t="s">
        <v>8</v>
      </c>
      <c r="J179" s="5">
        <v>165</v>
      </c>
      <c r="K179" s="5">
        <v>47.1</v>
      </c>
    </row>
    <row r="180" spans="1:11" x14ac:dyDescent="0.25">
      <c r="A180" s="5">
        <v>185</v>
      </c>
      <c r="B180" s="5">
        <v>4</v>
      </c>
      <c r="C180" s="5" t="s">
        <v>16</v>
      </c>
      <c r="D180" s="13">
        <v>42962</v>
      </c>
      <c r="E180" s="12">
        <v>25</v>
      </c>
      <c r="F180" s="5">
        <v>1</v>
      </c>
      <c r="G180" s="5">
        <v>169</v>
      </c>
      <c r="H180" s="5">
        <v>1</v>
      </c>
      <c r="I180" s="11" t="s">
        <v>35</v>
      </c>
      <c r="J180" s="5">
        <v>86</v>
      </c>
      <c r="K180" s="5">
        <v>6.8</v>
      </c>
    </row>
    <row r="181" spans="1:11" x14ac:dyDescent="0.25">
      <c r="A181" s="5">
        <v>186</v>
      </c>
      <c r="B181" s="5">
        <v>5</v>
      </c>
      <c r="C181" s="5" t="s">
        <v>16</v>
      </c>
      <c r="D181" s="13">
        <v>42962</v>
      </c>
      <c r="E181" s="12">
        <v>25</v>
      </c>
      <c r="F181" s="5">
        <v>1</v>
      </c>
      <c r="G181" s="5">
        <v>169</v>
      </c>
      <c r="H181" s="5">
        <v>1</v>
      </c>
      <c r="I181" s="11" t="s">
        <v>35</v>
      </c>
      <c r="J181" s="5">
        <v>63</v>
      </c>
      <c r="K181" s="5">
        <v>2.6</v>
      </c>
    </row>
    <row r="182" spans="1:11" x14ac:dyDescent="0.25">
      <c r="A182" s="5">
        <v>187</v>
      </c>
      <c r="B182" s="5">
        <v>6</v>
      </c>
      <c r="C182" s="5" t="s">
        <v>16</v>
      </c>
      <c r="D182" s="13">
        <v>42962</v>
      </c>
      <c r="E182" s="12">
        <v>25</v>
      </c>
      <c r="F182" s="5">
        <v>1</v>
      </c>
      <c r="G182" s="5">
        <v>169</v>
      </c>
      <c r="H182" s="5">
        <v>1</v>
      </c>
      <c r="I182" s="11" t="s">
        <v>35</v>
      </c>
      <c r="J182" s="5">
        <v>65</v>
      </c>
      <c r="K182" s="5">
        <v>2.6</v>
      </c>
    </row>
    <row r="183" spans="1:11" x14ac:dyDescent="0.25">
      <c r="A183" s="5">
        <v>188</v>
      </c>
      <c r="B183" s="5">
        <v>7</v>
      </c>
      <c r="C183" s="5" t="s">
        <v>16</v>
      </c>
      <c r="D183" s="13">
        <v>42962</v>
      </c>
      <c r="E183" s="12">
        <v>25</v>
      </c>
      <c r="F183" s="5">
        <v>1</v>
      </c>
      <c r="G183" s="5">
        <v>169</v>
      </c>
      <c r="H183" s="5">
        <v>1</v>
      </c>
      <c r="I183" s="11" t="s">
        <v>35</v>
      </c>
      <c r="J183" s="5">
        <v>64</v>
      </c>
      <c r="K183" s="5">
        <v>2.7</v>
      </c>
    </row>
    <row r="184" spans="1:11" x14ac:dyDescent="0.25">
      <c r="A184" s="5">
        <v>189</v>
      </c>
      <c r="B184" s="5">
        <v>8</v>
      </c>
      <c r="C184" s="5" t="s">
        <v>16</v>
      </c>
      <c r="D184" s="13">
        <v>42962</v>
      </c>
      <c r="E184" s="12">
        <v>25</v>
      </c>
      <c r="F184" s="5">
        <v>1</v>
      </c>
      <c r="G184" s="5">
        <v>169</v>
      </c>
      <c r="H184" s="5">
        <v>1</v>
      </c>
      <c r="I184" s="11" t="s">
        <v>35</v>
      </c>
      <c r="J184" s="5">
        <v>64</v>
      </c>
      <c r="K184" s="5">
        <v>2.5</v>
      </c>
    </row>
    <row r="185" spans="1:11" x14ac:dyDescent="0.25">
      <c r="A185" s="5">
        <v>190</v>
      </c>
      <c r="B185" s="5">
        <v>9</v>
      </c>
      <c r="C185" s="5" t="s">
        <v>16</v>
      </c>
      <c r="D185" s="13">
        <v>42962</v>
      </c>
      <c r="E185" s="12">
        <v>25</v>
      </c>
      <c r="F185" s="5">
        <v>1</v>
      </c>
      <c r="G185" s="5">
        <v>169</v>
      </c>
      <c r="H185" s="5">
        <v>1</v>
      </c>
      <c r="I185" s="11" t="s">
        <v>35</v>
      </c>
      <c r="J185" s="5">
        <v>60</v>
      </c>
      <c r="K185" s="5">
        <v>2</v>
      </c>
    </row>
    <row r="186" spans="1:11" x14ac:dyDescent="0.25">
      <c r="A186" s="5">
        <v>191</v>
      </c>
      <c r="B186" s="5">
        <v>10</v>
      </c>
      <c r="C186" s="5" t="s">
        <v>16</v>
      </c>
      <c r="D186" s="13">
        <v>42962</v>
      </c>
      <c r="E186" s="12">
        <v>25</v>
      </c>
      <c r="F186" s="5">
        <v>1</v>
      </c>
      <c r="G186" s="5">
        <v>169</v>
      </c>
      <c r="H186" s="5">
        <v>1</v>
      </c>
      <c r="I186" s="11" t="s">
        <v>35</v>
      </c>
      <c r="J186" s="5">
        <v>56</v>
      </c>
      <c r="K186" s="5">
        <v>1.8</v>
      </c>
    </row>
    <row r="187" spans="1:11" x14ac:dyDescent="0.25">
      <c r="A187" s="5">
        <v>192</v>
      </c>
      <c r="B187" s="5">
        <v>11</v>
      </c>
      <c r="C187" s="5" t="s">
        <v>16</v>
      </c>
      <c r="D187" s="13">
        <v>42962</v>
      </c>
      <c r="E187" s="12">
        <v>25</v>
      </c>
      <c r="F187" s="5">
        <v>1</v>
      </c>
      <c r="G187" s="5">
        <v>169</v>
      </c>
      <c r="H187" s="5">
        <v>1</v>
      </c>
      <c r="I187" s="11" t="s">
        <v>35</v>
      </c>
      <c r="J187" s="5">
        <v>82</v>
      </c>
      <c r="K187" s="5">
        <v>5.8</v>
      </c>
    </row>
    <row r="188" spans="1:11" x14ac:dyDescent="0.25">
      <c r="A188" s="5">
        <v>193</v>
      </c>
      <c r="B188" s="5">
        <v>12</v>
      </c>
      <c r="C188" s="5" t="s">
        <v>16</v>
      </c>
      <c r="D188" s="13">
        <v>42962</v>
      </c>
      <c r="E188" s="12">
        <v>25</v>
      </c>
      <c r="F188" s="5">
        <v>1</v>
      </c>
      <c r="G188" s="5">
        <v>169</v>
      </c>
      <c r="H188" s="5">
        <v>1</v>
      </c>
      <c r="I188" s="11" t="s">
        <v>35</v>
      </c>
      <c r="J188" s="5">
        <v>70</v>
      </c>
      <c r="K188" s="5">
        <v>3.5</v>
      </c>
    </row>
    <row r="189" spans="1:11" x14ac:dyDescent="0.25">
      <c r="A189" s="5">
        <v>194</v>
      </c>
      <c r="B189" s="5">
        <v>13</v>
      </c>
      <c r="C189" s="5" t="s">
        <v>16</v>
      </c>
      <c r="D189" s="13">
        <v>42962</v>
      </c>
      <c r="E189" s="12">
        <v>25</v>
      </c>
      <c r="F189" s="5">
        <v>1</v>
      </c>
      <c r="G189" s="5">
        <v>169</v>
      </c>
      <c r="H189" s="5">
        <v>1</v>
      </c>
      <c r="I189" s="11" t="s">
        <v>35</v>
      </c>
      <c r="J189" s="5">
        <v>67</v>
      </c>
      <c r="K189" s="5">
        <v>2.7</v>
      </c>
    </row>
    <row r="190" spans="1:11" x14ac:dyDescent="0.25">
      <c r="A190" s="5">
        <v>195</v>
      </c>
      <c r="B190" s="5">
        <v>14</v>
      </c>
      <c r="C190" s="5" t="s">
        <v>16</v>
      </c>
      <c r="D190" s="13">
        <v>42962</v>
      </c>
      <c r="E190" s="12">
        <v>25</v>
      </c>
      <c r="F190" s="5">
        <v>1</v>
      </c>
      <c r="G190" s="5">
        <v>169</v>
      </c>
      <c r="H190" s="5">
        <v>1</v>
      </c>
      <c r="I190" s="11" t="s">
        <v>35</v>
      </c>
      <c r="J190" s="5">
        <v>70</v>
      </c>
      <c r="K190" s="5">
        <v>3.3</v>
      </c>
    </row>
    <row r="191" spans="1:11" x14ac:dyDescent="0.25">
      <c r="A191" s="5">
        <v>196</v>
      </c>
      <c r="B191" s="5">
        <v>15</v>
      </c>
      <c r="C191" s="5" t="s">
        <v>16</v>
      </c>
      <c r="D191" s="13">
        <v>42962</v>
      </c>
      <c r="E191" s="12">
        <v>25</v>
      </c>
      <c r="F191" s="5">
        <v>1</v>
      </c>
      <c r="G191" s="5">
        <v>169</v>
      </c>
      <c r="H191" s="5">
        <v>1</v>
      </c>
      <c r="I191" s="11" t="s">
        <v>35</v>
      </c>
      <c r="J191" s="5">
        <v>68</v>
      </c>
      <c r="K191" s="5">
        <v>3.4</v>
      </c>
    </row>
    <row r="192" spans="1:11" x14ac:dyDescent="0.25">
      <c r="A192" s="5">
        <v>197</v>
      </c>
      <c r="B192" s="5">
        <v>16</v>
      </c>
      <c r="C192" s="5" t="s">
        <v>16</v>
      </c>
      <c r="D192" s="13">
        <v>42962</v>
      </c>
      <c r="E192" s="12">
        <v>25</v>
      </c>
      <c r="F192" s="5">
        <v>1</v>
      </c>
      <c r="G192" s="5">
        <v>169</v>
      </c>
      <c r="H192" s="5">
        <v>1</v>
      </c>
      <c r="I192" s="11" t="s">
        <v>35</v>
      </c>
      <c r="J192" s="5">
        <v>61</v>
      </c>
      <c r="K192" s="5">
        <v>3.3</v>
      </c>
    </row>
    <row r="193" spans="1:34" x14ac:dyDescent="0.25">
      <c r="A193" s="5">
        <v>198</v>
      </c>
      <c r="B193" s="5">
        <v>17</v>
      </c>
      <c r="C193" s="5" t="s">
        <v>16</v>
      </c>
      <c r="D193" s="13">
        <v>42962</v>
      </c>
      <c r="E193" s="12">
        <v>25</v>
      </c>
      <c r="F193" s="5">
        <v>1</v>
      </c>
      <c r="G193" s="5">
        <v>169</v>
      </c>
      <c r="H193" s="5">
        <v>1</v>
      </c>
      <c r="I193" s="11" t="s">
        <v>35</v>
      </c>
      <c r="J193" s="5">
        <v>60</v>
      </c>
      <c r="K193" s="5">
        <v>2.2000000000000002</v>
      </c>
    </row>
    <row r="194" spans="1:34" x14ac:dyDescent="0.25">
      <c r="A194" s="5">
        <v>199</v>
      </c>
      <c r="B194" s="5">
        <v>18</v>
      </c>
      <c r="C194" s="5" t="s">
        <v>16</v>
      </c>
      <c r="D194" s="13">
        <v>42962</v>
      </c>
      <c r="E194" s="12">
        <v>25</v>
      </c>
      <c r="F194" s="5">
        <v>1</v>
      </c>
      <c r="G194" s="5">
        <v>169</v>
      </c>
      <c r="H194" s="5">
        <v>1</v>
      </c>
      <c r="I194" s="11" t="s">
        <v>35</v>
      </c>
      <c r="J194" s="5">
        <v>46</v>
      </c>
      <c r="K194" s="5">
        <v>1</v>
      </c>
    </row>
    <row r="195" spans="1:34" x14ac:dyDescent="0.25">
      <c r="A195" s="5">
        <v>200</v>
      </c>
      <c r="B195" s="5">
        <v>19</v>
      </c>
      <c r="C195" s="5" t="s">
        <v>16</v>
      </c>
      <c r="D195" s="13">
        <v>42962</v>
      </c>
      <c r="E195" s="12">
        <v>25</v>
      </c>
      <c r="F195" s="5">
        <v>1</v>
      </c>
      <c r="G195" s="5">
        <v>169</v>
      </c>
      <c r="H195" s="5">
        <v>1</v>
      </c>
      <c r="I195" s="11" t="s">
        <v>35</v>
      </c>
      <c r="J195" s="5">
        <v>52</v>
      </c>
      <c r="K195" s="5">
        <v>1.2</v>
      </c>
      <c r="T195" s="5" t="s">
        <v>82</v>
      </c>
    </row>
    <row r="196" spans="1:34" x14ac:dyDescent="0.25">
      <c r="A196" s="5">
        <v>201</v>
      </c>
      <c r="B196" s="5">
        <v>20</v>
      </c>
      <c r="C196" s="5" t="s">
        <v>16</v>
      </c>
      <c r="D196" s="13">
        <v>42962</v>
      </c>
      <c r="E196" s="12">
        <v>25</v>
      </c>
      <c r="F196" s="5">
        <v>1</v>
      </c>
      <c r="G196" s="5">
        <v>169</v>
      </c>
      <c r="H196" s="5">
        <v>1</v>
      </c>
      <c r="I196" s="11" t="s">
        <v>35</v>
      </c>
      <c r="J196" s="5">
        <v>68</v>
      </c>
      <c r="K196" s="5">
        <v>2.5</v>
      </c>
      <c r="R196" s="5" t="s">
        <v>81</v>
      </c>
      <c r="S196" s="5" t="s">
        <v>80</v>
      </c>
      <c r="T196" s="5" t="s">
        <v>79</v>
      </c>
    </row>
    <row r="197" spans="1:34" x14ac:dyDescent="0.25">
      <c r="A197" s="5">
        <v>202</v>
      </c>
      <c r="B197" s="5">
        <v>21</v>
      </c>
      <c r="C197" s="5" t="s">
        <v>16</v>
      </c>
      <c r="D197" s="13">
        <v>42962</v>
      </c>
      <c r="E197" s="12">
        <v>25</v>
      </c>
      <c r="F197" s="11">
        <v>2</v>
      </c>
      <c r="G197" s="5">
        <v>169</v>
      </c>
      <c r="H197" s="5">
        <v>1</v>
      </c>
      <c r="I197" s="11" t="s">
        <v>35</v>
      </c>
      <c r="J197" s="5">
        <v>62</v>
      </c>
      <c r="K197" s="5">
        <v>2.2000000000000002</v>
      </c>
      <c r="R197" s="5">
        <f>_xlfn.STDEV.S(K177:K195,K196:L200)</f>
        <v>10.67120515992535</v>
      </c>
      <c r="S197" s="5">
        <f>SQRT(N200+O200)</f>
        <v>1.7320508075688772</v>
      </c>
      <c r="T197" s="5">
        <f>R197/S197</f>
        <v>6.1610231716606245</v>
      </c>
    </row>
    <row r="198" spans="1:34" x14ac:dyDescent="0.25">
      <c r="A198" s="5">
        <v>203</v>
      </c>
      <c r="B198" s="5">
        <v>1</v>
      </c>
      <c r="C198" s="5" t="s">
        <v>16</v>
      </c>
      <c r="D198" s="13">
        <v>42962</v>
      </c>
      <c r="E198" s="12">
        <v>25</v>
      </c>
      <c r="F198" s="11">
        <v>2</v>
      </c>
      <c r="G198" s="5">
        <v>141</v>
      </c>
      <c r="H198" s="5">
        <v>1</v>
      </c>
      <c r="I198" s="11" t="s">
        <v>35</v>
      </c>
      <c r="J198" s="5">
        <v>70</v>
      </c>
      <c r="K198" s="5">
        <v>4.3</v>
      </c>
    </row>
    <row r="199" spans="1:34" x14ac:dyDescent="0.25">
      <c r="A199" s="5">
        <v>204</v>
      </c>
      <c r="B199" s="5">
        <v>2</v>
      </c>
      <c r="C199" s="5" t="s">
        <v>16</v>
      </c>
      <c r="D199" s="13">
        <v>42962</v>
      </c>
      <c r="E199" s="12">
        <v>25</v>
      </c>
      <c r="F199" s="11">
        <v>2</v>
      </c>
      <c r="G199" s="5">
        <v>141</v>
      </c>
      <c r="H199" s="5">
        <v>1</v>
      </c>
      <c r="I199" s="11" t="s">
        <v>35</v>
      </c>
      <c r="J199" s="5">
        <v>65</v>
      </c>
      <c r="K199" s="5">
        <v>2.6</v>
      </c>
      <c r="N199" s="5" t="s">
        <v>22</v>
      </c>
      <c r="O199" s="5" t="s">
        <v>23</v>
      </c>
      <c r="P199" s="5" t="s">
        <v>24</v>
      </c>
      <c r="Q199" s="5" t="s">
        <v>25</v>
      </c>
      <c r="R199" s="5" t="s">
        <v>26</v>
      </c>
      <c r="S199" s="5" t="s">
        <v>57</v>
      </c>
      <c r="T199" s="5" t="s">
        <v>69</v>
      </c>
      <c r="U199" s="5" t="s">
        <v>58</v>
      </c>
      <c r="V199" s="5" t="s">
        <v>76</v>
      </c>
      <c r="W199" s="5" t="s">
        <v>77</v>
      </c>
      <c r="X199" s="5" t="s">
        <v>78</v>
      </c>
      <c r="Z199" s="5" t="s">
        <v>22</v>
      </c>
      <c r="AA199" s="5" t="s">
        <v>23</v>
      </c>
      <c r="AB199" s="5" t="s">
        <v>24</v>
      </c>
      <c r="AC199" s="5" t="s">
        <v>25</v>
      </c>
      <c r="AD199" s="5" t="s">
        <v>26</v>
      </c>
      <c r="AE199" s="5" t="s">
        <v>57</v>
      </c>
      <c r="AG199" s="5" t="s">
        <v>58</v>
      </c>
      <c r="AH199" s="5" t="s">
        <v>59</v>
      </c>
    </row>
    <row r="200" spans="1:34" s="9" customFormat="1" x14ac:dyDescent="0.25">
      <c r="A200" s="9">
        <v>205</v>
      </c>
      <c r="B200" s="9">
        <v>3</v>
      </c>
      <c r="C200" s="9" t="s">
        <v>16</v>
      </c>
      <c r="D200" s="17">
        <v>42962</v>
      </c>
      <c r="E200" s="18">
        <v>25</v>
      </c>
      <c r="F200" s="19">
        <v>2</v>
      </c>
      <c r="G200" s="9">
        <v>141</v>
      </c>
      <c r="H200" s="9">
        <v>1</v>
      </c>
      <c r="I200" s="19" t="s">
        <v>35</v>
      </c>
      <c r="J200" s="9">
        <v>70</v>
      </c>
      <c r="K200" s="9">
        <v>2.4</v>
      </c>
      <c r="M200" s="5" t="s">
        <v>62</v>
      </c>
      <c r="N200" s="9">
        <f>COUNT(F177:F179)</f>
        <v>3</v>
      </c>
      <c r="O200" s="9">
        <v>0</v>
      </c>
      <c r="P200" s="9">
        <f>(N200-O200)/N200</f>
        <v>1</v>
      </c>
      <c r="Q200" s="9">
        <f>((N200)^2)/(N200-O200)</f>
        <v>3</v>
      </c>
      <c r="R200" s="9">
        <f>((N200^2)*(O200^2)*(N200-O200))/((N200-O200)^4)</f>
        <v>0</v>
      </c>
      <c r="S200" s="9">
        <f>AVERAGE(K177:K179)</f>
        <v>31.233333333333331</v>
      </c>
      <c r="T200" s="9">
        <f>_xlfn.VAR.S(K177:K179)</f>
        <v>239.22333333333358</v>
      </c>
      <c r="U200" s="9">
        <f>(Q200*S200/25)</f>
        <v>3.7479999999999993</v>
      </c>
      <c r="V200" s="5">
        <f>((S200^2)*R200)+((Q200^2)*T200)-(R200*T200)</f>
        <v>2153.010000000002</v>
      </c>
      <c r="W200" s="5">
        <f>(SQRT(V200))/(SQRT(COUNT(K177:K179)))</f>
        <v>26.789363560935911</v>
      </c>
      <c r="X200" s="24">
        <f>W200/25</f>
        <v>1.0715745424374363</v>
      </c>
      <c r="Y200" s="14" t="s">
        <v>68</v>
      </c>
      <c r="Z200" s="14">
        <f>SUM(H180:H196)</f>
        <v>17</v>
      </c>
      <c r="AA200" s="5">
        <f>SUM(H197:H200)</f>
        <v>4</v>
      </c>
      <c r="AB200" s="9">
        <f>(Z200-AA200)/Z200</f>
        <v>0.76470588235294112</v>
      </c>
      <c r="AC200" s="9">
        <f>((Z200)^2)/(Z200-AA200)</f>
        <v>22.23076923076923</v>
      </c>
      <c r="AD200" s="9">
        <f>((Z200^2)*(AA200^2)*(Z200-AA200))/((Z200-AA200)^4)</f>
        <v>2.1046882111970868</v>
      </c>
      <c r="AE200" s="5">
        <f>AVERAGE(K180:K196,K197:K200)</f>
        <v>2.9238095238095236</v>
      </c>
      <c r="AF200" s="5"/>
      <c r="AG200" s="9">
        <f>(AC200*AE200/25)</f>
        <v>2.5999413919413916</v>
      </c>
      <c r="AH200" s="9">
        <f>AD200*AE200/25</f>
        <v>0.24614829746190689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G11"/>
    </sheetView>
  </sheetViews>
  <sheetFormatPr defaultRowHeight="15" x14ac:dyDescent="0.25"/>
  <cols>
    <col min="1" max="1" width="3.85546875" style="5" bestFit="1" customWidth="1"/>
    <col min="2" max="2" width="14.42578125" style="5" bestFit="1" customWidth="1"/>
    <col min="3" max="4" width="12" style="5" bestFit="1" customWidth="1"/>
    <col min="5" max="6" width="10" style="5" bestFit="1" customWidth="1"/>
    <col min="7" max="7" width="12" style="5" bestFit="1" customWidth="1"/>
    <col min="8" max="8" width="2.5703125" style="5" bestFit="1" customWidth="1"/>
    <col min="9" max="9" width="14.42578125" style="5" bestFit="1" customWidth="1"/>
    <col min="10" max="11" width="12" style="5" bestFit="1" customWidth="1"/>
    <col min="12" max="12" width="9.85546875" style="5" bestFit="1" customWidth="1"/>
    <col min="13" max="13" width="10" style="5" bestFit="1" customWidth="1"/>
    <col min="14" max="14" width="11.140625" style="5" bestFit="1" customWidth="1"/>
    <col min="15" max="16384" width="9.140625" style="5"/>
  </cols>
  <sheetData>
    <row r="1" spans="1:7" x14ac:dyDescent="0.25">
      <c r="B1" s="11" t="s">
        <v>70</v>
      </c>
      <c r="C1" s="5" t="s">
        <v>71</v>
      </c>
      <c r="D1" s="5" t="s">
        <v>72</v>
      </c>
      <c r="E1" s="5" t="s">
        <v>73</v>
      </c>
      <c r="F1" s="5" t="s">
        <v>74</v>
      </c>
      <c r="G1" s="5" t="s">
        <v>75</v>
      </c>
    </row>
    <row r="2" spans="1:7" x14ac:dyDescent="0.25">
      <c r="A2" s="5" t="s">
        <v>14</v>
      </c>
      <c r="B2" s="11">
        <v>1124381.5237999996</v>
      </c>
      <c r="C2" s="5">
        <v>3904.102513194443</v>
      </c>
      <c r="D2" s="5">
        <v>21381.171000000002</v>
      </c>
      <c r="E2" s="5">
        <v>12.319474</v>
      </c>
      <c r="F2" s="5">
        <v>10.580432</v>
      </c>
      <c r="G2" s="5">
        <v>11.525634326388884</v>
      </c>
    </row>
    <row r="3" spans="1:7" x14ac:dyDescent="0.25">
      <c r="A3" s="5" t="s">
        <v>20</v>
      </c>
      <c r="B3" s="11">
        <v>1358205.5782444447</v>
      </c>
      <c r="C3" s="5">
        <v>4715.9915911265443</v>
      </c>
      <c r="D3" s="5">
        <v>48044.654043333328</v>
      </c>
      <c r="E3" s="5">
        <v>12.55705</v>
      </c>
      <c r="F3" s="5">
        <v>10.760838</v>
      </c>
      <c r="G3" s="5">
        <v>11.73827610416666</v>
      </c>
    </row>
    <row r="4" spans="1:7" x14ac:dyDescent="0.25">
      <c r="A4" s="5" t="s">
        <v>19</v>
      </c>
      <c r="B4" s="11">
        <v>986890.57594285684</v>
      </c>
      <c r="C4" s="5">
        <v>3426.7033886904751</v>
      </c>
      <c r="D4" s="5">
        <v>25937.339701428566</v>
      </c>
      <c r="E4" s="5">
        <v>14.025693</v>
      </c>
      <c r="F4" s="5">
        <v>10.195811000000001</v>
      </c>
      <c r="G4" s="5">
        <v>11.640386493055557</v>
      </c>
    </row>
    <row r="5" spans="1:7" x14ac:dyDescent="0.25">
      <c r="A5" s="5" t="s">
        <v>15</v>
      </c>
      <c r="B5" s="11">
        <v>1618579.7877999998</v>
      </c>
      <c r="C5" s="5">
        <v>5620.0687076388886</v>
      </c>
      <c r="D5" s="5">
        <v>25350</v>
      </c>
      <c r="E5" s="5">
        <v>11.84695</v>
      </c>
      <c r="F5" s="5">
        <v>10.504023</v>
      </c>
      <c r="G5" s="5">
        <v>11.215747097222227</v>
      </c>
    </row>
    <row r="6" spans="1:7" x14ac:dyDescent="0.25">
      <c r="A6" s="5" t="s">
        <v>11</v>
      </c>
      <c r="B6" s="11">
        <v>3525374.4172000005</v>
      </c>
      <c r="C6" s="5">
        <v>12240.883393055557</v>
      </c>
      <c r="D6" s="5">
        <v>102800</v>
      </c>
      <c r="E6" s="5">
        <v>12.289061</v>
      </c>
      <c r="F6" s="5">
        <v>8.7237279999999995</v>
      </c>
      <c r="G6" s="5">
        <v>10.531446680555552</v>
      </c>
    </row>
    <row r="7" spans="1:7" x14ac:dyDescent="0.25">
      <c r="A7" s="5" t="s">
        <v>13</v>
      </c>
      <c r="B7" s="11">
        <v>459451.17220000003</v>
      </c>
      <c r="C7" s="5">
        <v>1595.3165701388889</v>
      </c>
      <c r="D7" s="5">
        <v>12166.666666666666</v>
      </c>
      <c r="E7" s="5">
        <v>10.51717</v>
      </c>
      <c r="F7" s="5">
        <v>8.0428119999999996</v>
      </c>
      <c r="G7" s="5">
        <v>9.1506794027777776</v>
      </c>
    </row>
    <row r="8" spans="1:7" x14ac:dyDescent="0.25">
      <c r="A8" s="5" t="s">
        <v>16</v>
      </c>
      <c r="B8" s="11">
        <v>679648.3760000004</v>
      </c>
      <c r="C8" s="5">
        <v>2359.890194444446</v>
      </c>
      <c r="D8" s="5">
        <v>10136.423188571429</v>
      </c>
      <c r="E8" s="5">
        <v>12.614618</v>
      </c>
      <c r="F8" s="5">
        <v>8.7237279999999995</v>
      </c>
      <c r="G8" s="5">
        <v>10.410076138888893</v>
      </c>
    </row>
    <row r="9" spans="1:7" x14ac:dyDescent="0.25">
      <c r="A9" s="5" t="s">
        <v>18</v>
      </c>
      <c r="B9" s="11">
        <v>507454.00131428574</v>
      </c>
      <c r="C9" s="5">
        <v>1761.9930601190476</v>
      </c>
      <c r="D9" s="5">
        <v>10470.799605714285</v>
      </c>
      <c r="E9" s="5">
        <v>12.758876000000001</v>
      </c>
      <c r="F9" s="5">
        <v>9.844455</v>
      </c>
      <c r="G9" s="5">
        <v>11.048065624999998</v>
      </c>
    </row>
    <row r="10" spans="1:7" x14ac:dyDescent="0.25">
      <c r="A10" s="5" t="s">
        <v>17</v>
      </c>
      <c r="B10" s="11">
        <v>2011709.2905999995</v>
      </c>
      <c r="C10" s="5">
        <v>6985.1017034722208</v>
      </c>
      <c r="D10" s="5">
        <v>40000</v>
      </c>
      <c r="E10" s="5">
        <v>14.715006000000001</v>
      </c>
      <c r="F10" s="5">
        <v>10.855745000000001</v>
      </c>
      <c r="G10" s="5">
        <v>12.493551451388889</v>
      </c>
    </row>
    <row r="11" spans="1:7" x14ac:dyDescent="0.25">
      <c r="A11" s="5" t="s">
        <v>6</v>
      </c>
      <c r="B11" s="11">
        <v>2063844.1377999999</v>
      </c>
      <c r="C11" s="5">
        <v>7166.1254784722223</v>
      </c>
      <c r="D11" s="5">
        <v>102695.5817</v>
      </c>
      <c r="E11" s="5">
        <v>12.275399</v>
      </c>
      <c r="F11" s="5">
        <v>8.8766309999999997</v>
      </c>
      <c r="G11" s="5">
        <v>10.726393340277781</v>
      </c>
    </row>
  </sheetData>
  <sortState ref="A2:N11">
    <sortCondition ref="A2:A1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pane ySplit="1" topLeftCell="A2" activePane="bottomLeft" state="frozen"/>
      <selection pane="bottomLeft" activeCell="F35" sqref="F35"/>
    </sheetView>
  </sheetViews>
  <sheetFormatPr defaultRowHeight="15" x14ac:dyDescent="0.25"/>
  <cols>
    <col min="1" max="1" width="8.28515625" bestFit="1" customWidth="1"/>
    <col min="2" max="2" width="14.140625" bestFit="1" customWidth="1"/>
    <col min="3" max="3" width="11.28515625" bestFit="1" customWidth="1"/>
    <col min="4" max="4" width="10.85546875" bestFit="1" customWidth="1"/>
    <col min="5" max="5" width="15.7109375" bestFit="1" customWidth="1"/>
    <col min="6" max="6" width="17" bestFit="1" customWidth="1"/>
    <col min="7" max="7" width="18.85546875" bestFit="1" customWidth="1"/>
    <col min="8" max="8" width="26" bestFit="1" customWidth="1"/>
    <col min="9" max="9" width="21.85546875" bestFit="1" customWidth="1"/>
    <col min="11" max="11" width="3" bestFit="1" customWidth="1"/>
  </cols>
  <sheetData>
    <row r="1" spans="1:9" x14ac:dyDescent="0.25">
      <c r="A1" t="s">
        <v>21</v>
      </c>
      <c r="B1" t="s">
        <v>46</v>
      </c>
      <c r="C1" s="2" t="s">
        <v>56</v>
      </c>
      <c r="D1" s="2" t="s">
        <v>55</v>
      </c>
      <c r="E1" t="s">
        <v>47</v>
      </c>
      <c r="F1" t="s">
        <v>48</v>
      </c>
      <c r="G1" t="s">
        <v>49</v>
      </c>
      <c r="H1" t="s">
        <v>51</v>
      </c>
      <c r="I1" t="s">
        <v>50</v>
      </c>
    </row>
    <row r="2" spans="1:9" x14ac:dyDescent="0.25">
      <c r="A2" t="s">
        <v>36</v>
      </c>
      <c r="B2">
        <v>0.27599999999999997</v>
      </c>
      <c r="C2">
        <v>4.5999999999999999E-2</v>
      </c>
      <c r="D2">
        <v>724</v>
      </c>
      <c r="E2" s="4">
        <v>28.125</v>
      </c>
      <c r="F2" s="4">
        <v>4.6403882515367183</v>
      </c>
      <c r="G2" s="4">
        <v>5.13</v>
      </c>
      <c r="H2" s="4">
        <v>9.6187500000000004</v>
      </c>
      <c r="I2">
        <v>0.5</v>
      </c>
    </row>
    <row r="3" spans="1:9" x14ac:dyDescent="0.25">
      <c r="A3" t="s">
        <v>37</v>
      </c>
      <c r="B3">
        <v>0.66599999999999993</v>
      </c>
      <c r="C3">
        <v>0.03</v>
      </c>
      <c r="D3">
        <v>725</v>
      </c>
      <c r="E3" s="4">
        <v>1</v>
      </c>
      <c r="F3" s="4">
        <v>0</v>
      </c>
      <c r="G3" s="4">
        <v>7</v>
      </c>
      <c r="H3" s="4">
        <v>0.7567567567567568</v>
      </c>
      <c r="I3">
        <v>0</v>
      </c>
    </row>
    <row r="4" spans="1:9" x14ac:dyDescent="0.25">
      <c r="A4" t="s">
        <v>38</v>
      </c>
      <c r="B4">
        <v>4.3560000000000008</v>
      </c>
      <c r="C4">
        <v>7.1176470588235299E-2</v>
      </c>
      <c r="D4">
        <v>725</v>
      </c>
      <c r="E4" s="4">
        <v>16.899999999999999</v>
      </c>
      <c r="F4" s="4">
        <v>1.2332882874656679</v>
      </c>
      <c r="G4" s="4">
        <v>6.1687499999999993</v>
      </c>
      <c r="H4" s="4">
        <v>4.6334166666666663</v>
      </c>
      <c r="I4">
        <v>0</v>
      </c>
    </row>
    <row r="5" spans="1:9" x14ac:dyDescent="0.25">
      <c r="A5" t="s">
        <v>39</v>
      </c>
      <c r="B5">
        <v>5.1680000000000001</v>
      </c>
      <c r="C5">
        <v>0.10461538461538461</v>
      </c>
      <c r="D5">
        <v>719</v>
      </c>
      <c r="E5" s="4">
        <v>3</v>
      </c>
      <c r="F5" s="4">
        <v>0</v>
      </c>
      <c r="G5" s="4">
        <v>31.233333333333331</v>
      </c>
      <c r="H5" s="4">
        <v>1.9726315789473683</v>
      </c>
      <c r="I5">
        <v>0</v>
      </c>
    </row>
    <row r="6" spans="1:9" x14ac:dyDescent="0.25">
      <c r="A6" t="s">
        <v>40</v>
      </c>
      <c r="B6">
        <v>6.966685</v>
      </c>
      <c r="C6">
        <v>7.2368611495844865E-2</v>
      </c>
      <c r="D6">
        <v>723</v>
      </c>
      <c r="E6" s="4">
        <v>13.090909090909092</v>
      </c>
      <c r="F6" s="4">
        <v>0.32892146681210577</v>
      </c>
      <c r="G6" s="4">
        <v>3.5769230769230762</v>
      </c>
      <c r="H6" s="4">
        <v>4.9289657710710335</v>
      </c>
      <c r="I6">
        <v>0.5</v>
      </c>
    </row>
    <row r="7" spans="1:9" x14ac:dyDescent="0.25">
      <c r="A7" t="s">
        <v>41</v>
      </c>
      <c r="B7">
        <v>9.0180000000000007</v>
      </c>
      <c r="C7">
        <v>4.8173076923076916E-2</v>
      </c>
      <c r="D7">
        <v>727</v>
      </c>
      <c r="E7" s="4">
        <v>15</v>
      </c>
      <c r="F7" s="4">
        <v>0.48047923984400565</v>
      </c>
      <c r="G7" s="4">
        <v>5.0142857142857142</v>
      </c>
      <c r="H7" s="4">
        <v>3.3428571428571425</v>
      </c>
      <c r="I7">
        <v>0</v>
      </c>
    </row>
    <row r="8" spans="1:9" x14ac:dyDescent="0.25">
      <c r="A8" t="s">
        <v>42</v>
      </c>
      <c r="B8">
        <v>9.7600000000000016</v>
      </c>
      <c r="C8">
        <v>0.14352941176470588</v>
      </c>
      <c r="D8">
        <v>723</v>
      </c>
      <c r="E8" s="4">
        <v>19.266666666666666</v>
      </c>
      <c r="F8" s="4">
        <v>0.58525081676023183</v>
      </c>
      <c r="G8" s="4">
        <v>8.0285714285714285</v>
      </c>
      <c r="H8" s="4">
        <v>3.0936761904761902</v>
      </c>
      <c r="I8">
        <v>3.5</v>
      </c>
    </row>
    <row r="9" spans="1:9" x14ac:dyDescent="0.25">
      <c r="A9" t="s">
        <v>43</v>
      </c>
      <c r="B9">
        <v>23.8</v>
      </c>
      <c r="C9">
        <v>0.14512195121951221</v>
      </c>
      <c r="D9">
        <v>710</v>
      </c>
      <c r="E9" s="4">
        <v>30.727272727272727</v>
      </c>
      <c r="F9" s="4">
        <v>1.0078579318628857</v>
      </c>
      <c r="G9" s="4">
        <v>10.390909090909092</v>
      </c>
      <c r="H9" s="4">
        <v>6.3856859504132242</v>
      </c>
      <c r="I9">
        <v>1</v>
      </c>
    </row>
    <row r="10" spans="1:9" x14ac:dyDescent="0.25">
      <c r="A10" t="s">
        <v>44</v>
      </c>
      <c r="B10">
        <v>44.704000000000001</v>
      </c>
      <c r="C10">
        <v>0.13368421052631577</v>
      </c>
      <c r="D10">
        <v>727</v>
      </c>
      <c r="E10" s="4">
        <v>4</v>
      </c>
      <c r="F10" s="4">
        <v>2</v>
      </c>
      <c r="G10" s="4">
        <v>17.333333333333332</v>
      </c>
      <c r="H10" s="4">
        <v>0.90043290043290036</v>
      </c>
      <c r="I10">
        <v>0</v>
      </c>
    </row>
    <row r="11" spans="1:9" x14ac:dyDescent="0.25">
      <c r="A11" t="s">
        <v>45</v>
      </c>
      <c r="B11">
        <v>49.47</v>
      </c>
      <c r="C11">
        <v>0.13598130841121497</v>
      </c>
      <c r="D11">
        <v>717</v>
      </c>
      <c r="E11" s="4">
        <v>9</v>
      </c>
      <c r="F11" s="4">
        <v>1.5</v>
      </c>
      <c r="G11" s="4">
        <v>15.512500000000001</v>
      </c>
      <c r="H11" s="4">
        <v>3.2850000000000001</v>
      </c>
      <c r="I11">
        <v>0</v>
      </c>
    </row>
    <row r="17" spans="11:11" x14ac:dyDescent="0.25">
      <c r="K17">
        <v>24</v>
      </c>
    </row>
    <row r="18" spans="11:11" x14ac:dyDescent="0.25">
      <c r="K18">
        <v>10</v>
      </c>
    </row>
    <row r="19" spans="11:11" x14ac:dyDescent="0.25">
      <c r="K19">
        <v>5</v>
      </c>
    </row>
    <row r="20" spans="11:11" x14ac:dyDescent="0.25">
      <c r="K20">
        <f>SUM(K17:K19)</f>
        <v>39</v>
      </c>
    </row>
  </sheetData>
  <sortState ref="B2:X135">
    <sortCondition ref="C2:C135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24" sqref="G24"/>
    </sheetView>
  </sheetViews>
  <sheetFormatPr defaultRowHeight="15" x14ac:dyDescent="0.25"/>
  <sheetData>
    <row r="1" spans="1:5" x14ac:dyDescent="0.25">
      <c r="A1" s="2" t="s">
        <v>21</v>
      </c>
      <c r="B1" s="2"/>
      <c r="C1" s="2"/>
      <c r="D1" s="6" t="s">
        <v>1</v>
      </c>
      <c r="E1" s="2" t="s">
        <v>55</v>
      </c>
    </row>
    <row r="2" spans="1:5" x14ac:dyDescent="0.25">
      <c r="A2" s="2" t="s">
        <v>11</v>
      </c>
      <c r="B2" s="2" t="s">
        <v>60</v>
      </c>
      <c r="C2" s="2">
        <v>17</v>
      </c>
      <c r="D2" s="6">
        <v>42937</v>
      </c>
      <c r="E2" s="2">
        <v>724</v>
      </c>
    </row>
    <row r="3" spans="1:5" x14ac:dyDescent="0.25">
      <c r="A3" s="2" t="s">
        <v>20</v>
      </c>
      <c r="B3" s="2" t="s">
        <v>60</v>
      </c>
      <c r="C3" s="2">
        <v>17</v>
      </c>
      <c r="D3" s="6">
        <v>42944</v>
      </c>
      <c r="E3" s="2">
        <v>725</v>
      </c>
    </row>
    <row r="4" spans="1:5" x14ac:dyDescent="0.25">
      <c r="A4" s="2" t="s">
        <v>15</v>
      </c>
      <c r="B4" s="2" t="s">
        <v>60</v>
      </c>
      <c r="C4" s="2">
        <v>17</v>
      </c>
      <c r="D4" s="6">
        <v>42935</v>
      </c>
      <c r="E4" s="2">
        <v>725</v>
      </c>
    </row>
    <row r="5" spans="1:5" x14ac:dyDescent="0.25">
      <c r="A5" s="2" t="s">
        <v>16</v>
      </c>
      <c r="B5" s="2" t="s">
        <v>60</v>
      </c>
      <c r="C5" s="2">
        <v>17</v>
      </c>
      <c r="D5" s="6">
        <v>42939</v>
      </c>
      <c r="E5" s="2">
        <v>719</v>
      </c>
    </row>
    <row r="6" spans="1:5" x14ac:dyDescent="0.25">
      <c r="A6" s="2" t="s">
        <v>19</v>
      </c>
      <c r="B6" s="2" t="s">
        <v>60</v>
      </c>
      <c r="C6" s="2">
        <v>17</v>
      </c>
      <c r="D6" s="6">
        <v>42944</v>
      </c>
      <c r="E6" s="2">
        <v>723</v>
      </c>
    </row>
    <row r="7" spans="1:5" x14ac:dyDescent="0.25">
      <c r="A7" s="2" t="s">
        <v>14</v>
      </c>
      <c r="B7" s="2" t="s">
        <v>60</v>
      </c>
      <c r="C7" s="2">
        <v>17</v>
      </c>
      <c r="D7" s="6">
        <v>42935</v>
      </c>
      <c r="E7" s="2">
        <v>727</v>
      </c>
    </row>
    <row r="8" spans="1:5" x14ac:dyDescent="0.25">
      <c r="A8" s="2" t="s">
        <v>13</v>
      </c>
      <c r="B8" s="2" t="s">
        <v>60</v>
      </c>
      <c r="C8" s="2">
        <v>17</v>
      </c>
      <c r="D8" s="6">
        <v>42937</v>
      </c>
      <c r="E8" s="2">
        <v>723</v>
      </c>
    </row>
    <row r="9" spans="1:5" x14ac:dyDescent="0.25">
      <c r="A9" s="2" t="s">
        <v>6</v>
      </c>
      <c r="B9" s="2" t="s">
        <v>60</v>
      </c>
      <c r="C9" s="2">
        <v>17</v>
      </c>
      <c r="D9" s="6">
        <v>42939</v>
      </c>
      <c r="E9" s="2">
        <v>710</v>
      </c>
    </row>
    <row r="10" spans="1:5" x14ac:dyDescent="0.25">
      <c r="A10" s="2" t="s">
        <v>17</v>
      </c>
      <c r="B10" s="2" t="s">
        <v>60</v>
      </c>
      <c r="C10" s="2">
        <v>17</v>
      </c>
      <c r="D10" s="6">
        <v>42941</v>
      </c>
      <c r="E10" s="2">
        <v>727</v>
      </c>
    </row>
    <row r="11" spans="1:5" x14ac:dyDescent="0.25">
      <c r="A11" s="2" t="s">
        <v>18</v>
      </c>
      <c r="B11" s="2" t="s">
        <v>60</v>
      </c>
      <c r="C11" s="2">
        <v>17</v>
      </c>
      <c r="D11" s="6">
        <v>42941</v>
      </c>
      <c r="E11" s="2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Discharge</vt:lpstr>
      <vt:lpstr>Canopy</vt:lpstr>
      <vt:lpstr>Wwidth</vt:lpstr>
      <vt:lpstr>Depth</vt:lpstr>
      <vt:lpstr>Fish</vt:lpstr>
      <vt:lpstr>TempLight</vt:lpstr>
      <vt:lpstr>trans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>Zach Lessig</cp:lastModifiedBy>
  <dcterms:created xsi:type="dcterms:W3CDTF">2017-07-21T22:16:52Z</dcterms:created>
  <dcterms:modified xsi:type="dcterms:W3CDTF">2018-11-07T19:01:53Z</dcterms:modified>
</cp:coreProperties>
</file>