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icro_LORA. " sheetId="1" r:id="rId1"/>
  </sheets>
  <definedNames>
    <definedName name="arrow_part_data">'ProMicro_LORA. '!$H$5:$L$38</definedName>
    <definedName name="BoardQty">'ProMicro_LORA. '!$G$1</definedName>
    <definedName name="digikey_part_data">'ProMicro_LORA. '!$M$5:$Q$38</definedName>
    <definedName name="farnell_part_data">'ProMicro_LORA. '!$R$5:$V$38</definedName>
    <definedName name="global_part_data">'ProMicro_LORA. '!$A$5:$G$38</definedName>
    <definedName name="lcsc_part_data">'ProMicro_LORA. '!$W$5:$AA$38</definedName>
    <definedName name="mouser_part_data">'ProMicro_LORA. '!$AB$5:$AF$38</definedName>
    <definedName name="newark_part_data">'ProMicro_LORA. '!$AG$5:$AK$38</definedName>
    <definedName name="PURCHASE_DESCRIPTION">'ProMicro_LORA. '!$G$41</definedName>
    <definedName name="rs_part_data">'ProMicro_LORA. '!$AL$5:$AP$38</definedName>
    <definedName name="tme_part_data">'ProMicro_LORA. '!$AQ$5:$AU$38</definedName>
    <definedName name="TotalCost">'ProMicro_LORA. '!$G$3</definedName>
    <definedName name="USD_EUR">'ProMicro_LORA. '!$C$42</definedName>
    <definedName name="USD_GBP">'ProMicro_LORA. '!$C$41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$0.38
    50   $0.02      $1.05
   100   $0.02      $1.71
   500   $0.01      $6.12
  1000   $0.01      $9.62
  2500   $0.01     $21.85
  5000   $0.01     $40.25
 10000   $0.01     $66.80
 20000   $0.01    $127.20
 30000   $0.01    $181.20
 50000   $0.01    $270.00
100000   $0.00    $437.00
150000   $0.00    $634.50</t>
        </r>
      </text>
    </comment>
    <comment ref="Y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$0.00      $0.23
   500   $0.00      $1.72
  1500   $0.00      $4.88
  5000   $0.00     $15.25
 25000   $0.00     $74.00
 50000   $0.00    $145.50</t>
        </r>
      </text>
    </comment>
    <comment ref="AN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£0.00     £50.00
 30000   £0.00    £120.00
 50000   £0.00    £200.00
100000   £0.00    £400.00
250000   £0.00  £1,000.00</t>
        </r>
      </text>
    </comment>
    <comment ref="AS1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€0.02      €2.26
   300   €0.02      €4.68
  1000   €0.01      €8.58
 10000   €0.01     €52.50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$0.02      $0.76
   100   $0.01      $1.24
   500   $0.01      $4.43
  1000   $0.01      $6.96
  2500   $0.01     $15.80
  5000   $0.01     $29.10
 10000   $0.00     $48.30
 20000   $0.00     $92.00
 30000   $0.00    $131.10
 50000   $0.00    $195.50
100000   $0.00    $316.00
150000   $0.00    $459.00</t>
        </r>
      </text>
    </comment>
    <comment ref="T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£0.24
   100   £0.01      £1.45
   150   £0.01      £2.18
   500   £0.01      £3.90
  2500   £0.01     £15.25
  5000   £0.00     £24.50
 10000   £0.00     £33.00</t>
        </r>
      </text>
    </comment>
    <comment ref="Y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$0.24
  1000   $0.00      $1.77
  3000   $0.00      $4.95
 10000   $0.00     $15.30
 50000   $0.00     $72.50
100000   $0.00    $144.00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$40.00
 10000   $0.01     $60.00</t>
        </r>
      </text>
    </comment>
    <comment ref="AN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£0.00     £30.00</t>
        </r>
      </text>
    </comment>
    <comment ref="AS1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€0.02      €1.75
  1000   €0.01      €5.39
 10000   €0.00     €22.60
 50000   €0.00    €104.50
100000   €0.00    €198.00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$1.82
    50   $0.12      $6.05
   100   $0.10     $10.29
   500   $0.07     $36.30
  1000   $0.06     $63.53
  2500   $0.06    $151.25
  5000   $0.06    $279.80
 10000   $0.05    $481.30
 20000   $0.05    $913.00
 30000   $0.04  $1,320.00
 50000   $0.04  $2,062.50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$0.29
   500   $0.00      $2.16
  1500   $0.00      $6.04
  5000   $0.00     $18.75
 25000   $0.00     $90.75
 50000   $0.00    $178.00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5000   $0.04    $180.00
 10000   $0.03    $320.00
 20000   $0.03    $540.00
 30000   $0.02    $660.00</t>
        </r>
      </text>
    </comment>
    <comment ref="O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$60.82
  2500   $0.06    $145.45
  5000   $0.05    $264.45
 10000   $0.05    $456.70
 20000   $0.04    $865.20
 30000   $0.04  $1,225.80
 50000   $0.04  $1,923.00</t>
        </r>
      </text>
    </comment>
    <comment ref="Y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$0.50
   500   $0.01      $3.74
  1500   $0.01     $10.51
  5000   $0.01     $32.70
 25000   $0.01    $158.00
 50000   $0.01    $311.00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5000   $0.06    $275.00
 10000   $0.05    $480.00
 20000   $0.04    $820.00
 30000   $0.03    $990.00</t>
        </r>
      </text>
    </comment>
    <comment ref="AS1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25   €0.05      €1.36
   100   €0.04      €3.59
   500   €0.02     €11.55
  2500   €0.02     €41.50
 10000   €0.01    €133.00</t>
        </r>
      </text>
    </comment>
    <comment ref="M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25   $0.02      $0.62
    50   $0.02      $1.10
   100   $0.02      $1.87
   250   $0.02      $4.13
   500   $0.02      $7.56
  1000   $0.01     $12.93
  2500   $0.01     $28.88
 10000   $0.01     $85.00
 30000   $0.01    $240.00
 50000   $0.01    $387.50
100000   $0.01    $750.00</t>
        </r>
      </text>
    </comment>
    <comment ref="Y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$0.00      $0.19
   500   $0.00      $1.45
  1500   $0.00      $4.10
  5000   $0.00     $12.85
 25000   $0.00     $62.25
 50000   $0.00    $122.50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$0.23
   100   $0.02      $1.70
   500   $0.02      $7.50
  1000   $0.01     $13.00
  2500   $0.01     $22.50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$0.02      $0.58
   100   $0.02      $1.70
   250   $0.02      $4.00
   500   $0.02      $7.50
  1000   $0.01     $13.00
  2500   $0.01     $22.50
 10000   $0.01    $140.00
 20000   $0.01    $260.00
 40000   $0.01    $520.00
 60000   $0.01    $780.00
100000   $0.01  $1,200.00</t>
        </r>
      </text>
    </comment>
    <comment ref="Y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$0.01      $0.63
  1000   $0.00      $4.66
  3000   $0.00     $13.08
 10000   $0.00     $40.60
 50000   $0.00    $147.00
100000   $0.00    $289.00</t>
        </r>
      </text>
    </comment>
    <comment ref="O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$0.50
    25   $0.04      $1.10
    50   $0.04      $1.87
   100   $0.03      $3.30
   250   $0.03      $7.56
   500   $0.03     $13.75
  1000   $0.02     $23.10
  2500   $0.02     $49.50
 10000   $0.02    $160.00
 30000   $0.02    $465.00
 50000   $0.02    $750.00
100000   $0.01  $1,450.00</t>
        </r>
      </text>
    </comment>
    <comment ref="Y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$0.29
   500   $0.00      $2.10
  1500   $0.00      $5.91
  5000   $0.00     $18.30
 25000   $0.00     $88.50
 50000   $0.00    $174.00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$0.38
   100   $0.03      $3.10
   500   $0.03     $14.00
  1000   $0.02     $24.00
  2500   $0.02     $42.50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$0.02    $220.00
 20000   $0.02    $380.00
 30000   $0.02    $480.00</t>
        </r>
      </text>
    </comment>
    <comment ref="AN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£0.35
   100   £0.03      £2.80
   500   £0.03     £13.50
  1000   £0.02     £22.00
  5000   £0.02     £90.00</t>
        </r>
      </text>
    </comment>
    <comment ref="AS3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€0.01      €0.88
  1000   €0.00      €2.35
 10000   €0.00      €6.30
 50000   €0.00     €28.00
100000   €0.00     €55.00
200000   €0.00    €106.00
500000   €0.00    €255.00</t>
        </r>
      </text>
    </comment>
    <comment ref="O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$1.13      $1.13
    10   $1.01     $10.06
    25   $0.95     $23.87
   100   $0.78     $78.43
   250   $0.73    $183.29
   500   $0.65    $323.95
  1000   $0.51    $511.50
  3000   $0.48  $1,432.20
  6000   $0.45  $2,721.18
 15000   $0.44  $6,547.20
 30000   $0.42 $12,685.20
 75000   $0.41 $30,690.00</t>
        </r>
      </text>
    </comment>
    <comment ref="T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£0.97      £0.97
    50   £0.85     £42.50
   100   £0.67     £67.10
   150   £0.67    £100.65
   250   £0.65    £163.00
   500   £0.58    £288.00
  1000   £0.46    £455.00
  2500   £0.42  £1,060.00
  5000   £0.39  £1,945.00</t>
        </r>
      </text>
    </comment>
    <comment ref="AD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$1.13      $1.13
    10   $0.96      $9.55
   100   $0.73     $73.40
   500   $0.65    $324.00
  1000   $0.51    $512.00
  3000   $0.48  $1,431.00</t>
        </r>
      </text>
    </comment>
    <comment ref="AI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$1.13      $1.13
    10   $1.01     $10.10
    25   $0.95     $23.85
    50   $0.87     $43.45
   100   $0.78     $78.40
   250   $0.73    $183.25
   500   $0.65    $323.50
  1000   $0.51    $511.00</t>
        </r>
      </text>
    </comment>
    <comment ref="Y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$0.16      $1.58
    30   $0.15      $4.46
   100   $0.14     $13.93
   500   $0.14     $67.56
  1000   $0.13    $133.03</t>
        </r>
      </text>
    </comment>
    <comment ref="F4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4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41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<sst xmlns="http://schemas.openxmlformats.org/spreadsheetml/2006/main" count="262" uniqueCount="164">
  <si>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</si>
  <si>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</si>
  <si>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</si>
  <si>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</si>
  <si>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</si>
  <si>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</si>
  <si>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</si>
  <si>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</si>
  <si>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A1</t>
  </si>
  <si>
    <t>Sparkfun_Pro_Micro_3V3</t>
  </si>
  <si>
    <t>Sparkfun_Pro_Micro</t>
  </si>
  <si>
    <t>https://www.sparkfun.com/products/12587</t>
  </si>
  <si>
    <t>C1,C4</t>
  </si>
  <si>
    <t>15p</t>
  </si>
  <si>
    <t>C_0402_1005Metric</t>
  </si>
  <si>
    <t>0402CG150J500NT</t>
  </si>
  <si>
    <t>C10,C11,C24</t>
  </si>
  <si>
    <t>DNP</t>
  </si>
  <si>
    <t>C12</t>
  </si>
  <si>
    <t>1.2pF</t>
  </si>
  <si>
    <t>CL05C1R2BB5NNNC</t>
  </si>
  <si>
    <t>C13,C14</t>
  </si>
  <si>
    <t>1nF</t>
  </si>
  <si>
    <t>0402B102K500NT</t>
  </si>
  <si>
    <t>C16,C17,C19-C21</t>
  </si>
  <si>
    <t>100n</t>
  </si>
  <si>
    <t>CL05B104KO5NNNC</t>
  </si>
  <si>
    <t>C2</t>
  </si>
  <si>
    <t>1.5pF</t>
  </si>
  <si>
    <t>0402CG1R5C500NT</t>
  </si>
  <si>
    <t>C22</t>
  </si>
  <si>
    <t>1µ</t>
  </si>
  <si>
    <t>CL05A105KA5NQNC</t>
  </si>
  <si>
    <t>C23</t>
  </si>
  <si>
    <t>10µ</t>
  </si>
  <si>
    <t>C_0603_1608Metric</t>
  </si>
  <si>
    <t>CL05A106MQ5NUNC</t>
  </si>
  <si>
    <t>C25</t>
  </si>
  <si>
    <t>F</t>
  </si>
  <si>
    <t>C3</t>
  </si>
  <si>
    <t>33pF</t>
  </si>
  <si>
    <t>0402CG330J500NT</t>
  </si>
  <si>
    <t>C5</t>
  </si>
  <si>
    <t>4.7pF</t>
  </si>
  <si>
    <t>0402CG4R7C500NT</t>
  </si>
  <si>
    <t>C6</t>
  </si>
  <si>
    <t>3.3pF</t>
  </si>
  <si>
    <t>0402CG3R3C500NT</t>
  </si>
  <si>
    <t>C7</t>
  </si>
  <si>
    <t>47pF</t>
  </si>
  <si>
    <t>0402CG470J500NT</t>
  </si>
  <si>
    <t>C8</t>
  </si>
  <si>
    <t>1.8pF</t>
  </si>
  <si>
    <t>C9,C15,C18</t>
  </si>
  <si>
    <t>47p</t>
  </si>
  <si>
    <t>J1</t>
  </si>
  <si>
    <t>SMA</t>
  </si>
  <si>
    <t>U.FL_Hirose_U.FL-R-SMT-1_Vertical</t>
  </si>
  <si>
    <t>J2</t>
  </si>
  <si>
    <t>COAX</t>
  </si>
  <si>
    <t>SMA_Samtec_SMA-J-P-H-ST-EM1_EdgeMount</t>
  </si>
  <si>
    <t>JP1</t>
  </si>
  <si>
    <t>SolderJumper_2_Open</t>
  </si>
  <si>
    <t>SolderJumper-2_P1.3mm_Open_RoundedPad1.0x1.5mm</t>
  </si>
  <si>
    <t>L1</t>
  </si>
  <si>
    <t>33nH</t>
  </si>
  <si>
    <t>L_0402_1005Metric</t>
  </si>
  <si>
    <t>HK100533NJ-T</t>
  </si>
  <si>
    <t>L2,L3</t>
  </si>
  <si>
    <t>10nH</t>
  </si>
  <si>
    <t>SDCL1005C10NJTDF</t>
  </si>
  <si>
    <t>L4</t>
  </si>
  <si>
    <t>6.2nH</t>
  </si>
  <si>
    <t>MLG1005S6N2ST000</t>
  </si>
  <si>
    <t>L5</t>
  </si>
  <si>
    <t>0R</t>
  </si>
  <si>
    <t>0402WGF0000TCE</t>
  </si>
  <si>
    <t>LOGO1</t>
  </si>
  <si>
    <t>Logo_Open_Hardware_Small</t>
  </si>
  <si>
    <t>OSHW-Symbol_6.7x6mm_SilkScreen</t>
  </si>
  <si>
    <t>R1</t>
  </si>
  <si>
    <t>1k</t>
  </si>
  <si>
    <t>R_0402_1005Metric</t>
  </si>
  <si>
    <t>0402WGF1001TCE</t>
  </si>
  <si>
    <t>TP2</t>
  </si>
  <si>
    <t>DIO2</t>
  </si>
  <si>
    <t>TestPoint_Pad_D1.0mm</t>
  </si>
  <si>
    <t>TP3</t>
  </si>
  <si>
    <t>DIO3</t>
  </si>
  <si>
    <t>TP4</t>
  </si>
  <si>
    <t>DIO5</t>
  </si>
  <si>
    <t>TP5,TP6</t>
  </si>
  <si>
    <t>TestPoint</t>
  </si>
  <si>
    <t>TestPoint_Pad_1.5x1.5mm</t>
  </si>
  <si>
    <t>U1</t>
  </si>
  <si>
    <t>SX1276</t>
  </si>
  <si>
    <t>QFN-28-1EP_6x6mm_P0.65mm_EP4.8x4.8mm</t>
  </si>
  <si>
    <t>https://www.semtech.com/uploads/documents/DS_SX1276-7-8-9_W_APP_V6.pdf</t>
  </si>
  <si>
    <t>U2</t>
  </si>
  <si>
    <t>AS179-92LF</t>
  </si>
  <si>
    <t>SOT-363_SC-70-6</t>
  </si>
  <si>
    <t>Y1</t>
  </si>
  <si>
    <t>32Mhz</t>
  </si>
  <si>
    <t>Crystal_SMD_SeikoEpson_FA238V-4Pin_3.2x2.5mm</t>
  </si>
  <si>
    <t>X1E000021016300</t>
  </si>
  <si>
    <t>Total Purchase:</t>
  </si>
  <si>
    <t>Purchase description:</t>
  </si>
  <si>
    <t>Used currency rates:</t>
  </si>
  <si>
    <t>USD($)/GBP(£):</t>
  </si>
  <si>
    <t>USD($)/EUR(€):</t>
  </si>
  <si>
    <t>Prj:</t>
  </si>
  <si>
    <t>ProMicro_LORA</t>
  </si>
  <si>
    <t>Co.:</t>
  </si>
  <si>
    <t>https://twitter.com/nerdyscout84</t>
  </si>
  <si>
    <t>Prj date:</t>
  </si>
  <si>
    <t>Fri Jul 10 20:02:08 2020</t>
  </si>
  <si>
    <t>Board Qty:</t>
  </si>
  <si>
    <t>Total Cost:</t>
  </si>
  <si>
    <t>Unit Cost:</t>
  </si>
  <si>
    <t>$ date:</t>
  </si>
  <si>
    <t>2020-07-10 20:02:26</t>
  </si>
  <si>
    <t>Arrow</t>
  </si>
  <si>
    <t>Avail</t>
  </si>
  <si>
    <t>Purch</t>
  </si>
  <si>
    <t>Cat#</t>
  </si>
  <si>
    <t>Digi-Key</t>
  </si>
  <si>
    <t>1276-1652-1-ND</t>
  </si>
  <si>
    <t>1276-1001-1-ND</t>
  </si>
  <si>
    <t>1276-1445-1-ND</t>
  </si>
  <si>
    <t>1276-1451-1-ND</t>
  </si>
  <si>
    <t>587-1525-1-ND</t>
  </si>
  <si>
    <t>NonStk</t>
  </si>
  <si>
    <t>445-3054-1-ND</t>
  </si>
  <si>
    <t>863-1003-1-ND</t>
  </si>
  <si>
    <t>Farnell</t>
  </si>
  <si>
    <t>3013349</t>
  </si>
  <si>
    <t>1753762</t>
  </si>
  <si>
    <t>LCSC</t>
  </si>
  <si>
    <t>C159809</t>
  </si>
  <si>
    <t>C1525</t>
  </si>
  <si>
    <t>C52923</t>
  </si>
  <si>
    <t>C15525</t>
  </si>
  <si>
    <t>C87193</t>
  </si>
  <si>
    <t>C27147</t>
  </si>
  <si>
    <t>C87534</t>
  </si>
  <si>
    <t>C91742</t>
  </si>
  <si>
    <t>Mouser</t>
  </si>
  <si>
    <t>963HK100533NJT</t>
  </si>
  <si>
    <t>810MLG1005S6N2ST000</t>
  </si>
  <si>
    <t>873AS17992LF</t>
  </si>
  <si>
    <t>Newark</t>
  </si>
  <si>
    <t>98AC7304</t>
  </si>
  <si>
    <t>40AH0320</t>
  </si>
  <si>
    <t>94AC8454</t>
  </si>
  <si>
    <t>86H5542</t>
  </si>
  <si>
    <t>75X8623</t>
  </si>
  <si>
    <t>76R0128</t>
  </si>
  <si>
    <t>RS Components</t>
  </si>
  <si>
    <t>7661337</t>
  </si>
  <si>
    <t>7661299</t>
  </si>
  <si>
    <t>6040789</t>
  </si>
  <si>
    <t>TME</t>
  </si>
  <si>
    <t>SMD04021K1%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</si>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</sst>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nerdyscout84" TargetMode="External"/><Relationship Id="rId2" Type="http://schemas.openxmlformats.org/officeDocument/2006/relationships/hyperlink" Target="https://www.sparkfun.com/products/12587" TargetMode="External"/><Relationship Id="rId3" Type="http://schemas.openxmlformats.org/officeDocument/2006/relationships/hyperlink" Target="https://octopart.com/click/track?ai=8078&amp;sig=08a9628&amp;sid=459&amp;ppid=19831273&amp;vpid=72523153&amp;ct=offers" TargetMode="External"/><Relationship Id="rId4" Type="http://schemas.openxmlformats.org/officeDocument/2006/relationships/hyperlink" Target="https://octopart.com/click/track?ai=8078&amp;sig=0ec7f43&amp;sid=27971&amp;ppid=19831273&amp;vpid=527892160&amp;ct=offers" TargetMode="External"/><Relationship Id="rId5" Type="http://schemas.openxmlformats.org/officeDocument/2006/relationships/hyperlink" Target="https://octopart.com/click/track?ai=8078&amp;sig=08d66d7&amp;sid=10022&amp;ppid=19831273&amp;vpid=562865984&amp;ct=offers" TargetMode="External"/><Relationship Id="rId6" Type="http://schemas.openxmlformats.org/officeDocument/2006/relationships/hyperlink" Target="https://octopart.com/click/track?ai=8078&amp;sig=01ac0f5&amp;sid=1532&amp;ppid=19831273&amp;vpid=88730933&amp;ct=offers" TargetMode="External"/><Relationship Id="rId7" Type="http://schemas.openxmlformats.org/officeDocument/2006/relationships/hyperlink" Target="https://octopart.com/click/track?ai=8078&amp;sig=0821379&amp;sid=459&amp;ppid=9299366&amp;vpid=72522640&amp;ct=offers" TargetMode="External"/><Relationship Id="rId8" Type="http://schemas.openxmlformats.org/officeDocument/2006/relationships/hyperlink" Target="https://octopart.com/click/track?ai=8078&amp;sig=0e8aa82&amp;sid=11744&amp;ppid=9299366&amp;vpid=541618808&amp;ct=offers" TargetMode="External"/><Relationship Id="rId9" Type="http://schemas.openxmlformats.org/officeDocument/2006/relationships/hyperlink" Target="https://octopart.com/click/track?ai=8078&amp;sig=0d962d1&amp;sid=27971&amp;ppid=9299366&amp;vpid=476994634&amp;ct=offers" TargetMode="External"/><Relationship Id="rId10" Type="http://schemas.openxmlformats.org/officeDocument/2006/relationships/hyperlink" Target="https://octopart.com/click/track?c=1&amp;ai=8078&amp;sig=05ff27b&amp;sid=2402&amp;ppid=9299366&amp;vpid=533142740&amp;ct=offers" TargetMode="External"/><Relationship Id="rId11" Type="http://schemas.openxmlformats.org/officeDocument/2006/relationships/hyperlink" Target="https://octopart.com/click/track?ai=8078&amp;sig=03d0ec2&amp;sid=10022&amp;ppid=9299366&amp;vpid=562865962&amp;ct=offers" TargetMode="External"/><Relationship Id="rId12" Type="http://schemas.openxmlformats.org/officeDocument/2006/relationships/hyperlink" Target="https://octopart.com/click/track?ai=8078&amp;sig=0692860&amp;sid=1532&amp;ppid=9299366&amp;vpid=88730907&amp;ct=offers" TargetMode="External"/><Relationship Id="rId13" Type="http://schemas.openxmlformats.org/officeDocument/2006/relationships/hyperlink" Target="https://octopart.com/click/track?ai=8078&amp;sig=059ba9e&amp;sid=459&amp;ppid=19830977&amp;vpid=72522385&amp;ct=offers" TargetMode="External"/><Relationship Id="rId14" Type="http://schemas.openxmlformats.org/officeDocument/2006/relationships/hyperlink" Target="https://octopart.com/click/track?ai=8078&amp;sig=01fe1eb&amp;sid=27971&amp;ppid=19830977&amp;vpid=477194114&amp;ct=offers" TargetMode="External"/><Relationship Id="rId15" Type="http://schemas.openxmlformats.org/officeDocument/2006/relationships/hyperlink" Target="https://octopart.com/click/track?c=1&amp;ai=8078&amp;sig=02e5d03&amp;sid=2402&amp;ppid=19830977&amp;vpid=592529453&amp;ct=offers" TargetMode="External"/><Relationship Id="rId16" Type="http://schemas.openxmlformats.org/officeDocument/2006/relationships/hyperlink" Target="https://octopart.com/click/track?ai=8078&amp;sig=0628f3f&amp;sid=459&amp;ppid=22240478&amp;vpid=72522421&amp;ct=offers" TargetMode="External"/><Relationship Id="rId17" Type="http://schemas.openxmlformats.org/officeDocument/2006/relationships/hyperlink" Target="https://octopart.com/click/track?ai=8078&amp;sig=0312dd9&amp;sid=27971&amp;ppid=22240478&amp;vpid=495887209&amp;ct=offers" TargetMode="External"/><Relationship Id="rId18" Type="http://schemas.openxmlformats.org/officeDocument/2006/relationships/hyperlink" Target="https://octopart.com/click/track?c=1&amp;ai=8078&amp;sig=047019f&amp;sid=2402&amp;ppid=22240478&amp;vpid=547460434&amp;ct=offers" TargetMode="External"/><Relationship Id="rId19" Type="http://schemas.openxmlformats.org/officeDocument/2006/relationships/hyperlink" Target="https://octopart.com/click/track?ai=8078&amp;sig=0bad0b7&amp;sid=1532&amp;ppid=22240478&amp;vpid=120106256&amp;ct=offers" TargetMode="External"/><Relationship Id="rId20" Type="http://schemas.openxmlformats.org/officeDocument/2006/relationships/hyperlink" Target="https://octopart.com/click/track?c=1&amp;ai=8078&amp;sig=09e9ca0&amp;sid=459&amp;ppid=388592&amp;vpid=1285944&amp;ct=offers" TargetMode="External"/><Relationship Id="rId21" Type="http://schemas.openxmlformats.org/officeDocument/2006/relationships/hyperlink" Target="https://octopart.com/click/track?ai=8078&amp;sig=057547e&amp;sid=27971&amp;ppid=388592&amp;vpid=445984825&amp;ct=offers" TargetMode="External"/><Relationship Id="rId22" Type="http://schemas.openxmlformats.org/officeDocument/2006/relationships/hyperlink" Target="https://octopart.com/click/track?ai=8078&amp;sig=0783624&amp;sid=2401&amp;ppid=388592&amp;vpid=46007277&amp;ct=offers" TargetMode="External"/><Relationship Id="rId23" Type="http://schemas.openxmlformats.org/officeDocument/2006/relationships/hyperlink" Target="https://octopart.com/click/track?c=1&amp;ai=8078&amp;sig=02a581a&amp;sid=2402&amp;ppid=388592&amp;vpid=3139742&amp;ct=offers" TargetMode="External"/><Relationship Id="rId24" Type="http://schemas.openxmlformats.org/officeDocument/2006/relationships/hyperlink" Target="https://octopart.com/click/track?ai=8078&amp;sig=0f7697d&amp;sid=27971&amp;ppid=61758645&amp;vpid=449427573&amp;ct=offers" TargetMode="External"/><Relationship Id="rId25" Type="http://schemas.openxmlformats.org/officeDocument/2006/relationships/hyperlink" Target="https://octopart.com/click/track?ai=8078&amp;sig=08c106b&amp;sid=459&amp;ppid=22244508&amp;vpid=104705900&amp;ct=offers" TargetMode="External"/><Relationship Id="rId26" Type="http://schemas.openxmlformats.org/officeDocument/2006/relationships/hyperlink" Target="https://octopart.com/click/track?ai=8078&amp;sig=027daae&amp;sid=27971&amp;ppid=22244508&amp;vpid=445985336&amp;ct=offers" TargetMode="External"/><Relationship Id="rId27" Type="http://schemas.openxmlformats.org/officeDocument/2006/relationships/hyperlink" Target="https://octopart.com/click/track?ai=8078&amp;sig=0cf457d&amp;sid=2401&amp;ppid=22244508&amp;vpid=217031323&amp;ct=offers" TargetMode="External"/><Relationship Id="rId28" Type="http://schemas.openxmlformats.org/officeDocument/2006/relationships/hyperlink" Target="https://octopart.com/click/track?c=1&amp;ai=8078&amp;sig=0f23690&amp;sid=2402&amp;ppid=22244508&amp;vpid=174164690&amp;ct=offers" TargetMode="External"/><Relationship Id="rId29" Type="http://schemas.openxmlformats.org/officeDocument/2006/relationships/hyperlink" Target="https://octopart.com/click/track?ai=8078&amp;sig=058b67b&amp;sid=10022&amp;ppid=22244508&amp;vpid=521100243&amp;ct=offers" TargetMode="External"/><Relationship Id="rId30" Type="http://schemas.openxmlformats.org/officeDocument/2006/relationships/hyperlink" Target="https://octopart.com/click/track?ai=8078&amp;sig=0132ca5&amp;sid=1532&amp;ppid=50590271&amp;vpid=217628698&amp;ct=offers" TargetMode="External"/><Relationship Id="rId31" Type="http://schemas.openxmlformats.org/officeDocument/2006/relationships/hyperlink" Target="https://www.semtech.com/uploads/documents/DS_SX1276-7-8-9_W_APP_V6.pdf" TargetMode="External"/><Relationship Id="rId32" Type="http://schemas.openxmlformats.org/officeDocument/2006/relationships/hyperlink" Target="http://www.skyworksinc.com/uploads/documents/AS179_92LF_200176H.pdf" TargetMode="External"/><Relationship Id="rId33" Type="http://schemas.openxmlformats.org/officeDocument/2006/relationships/hyperlink" Target="https://octopart.com/click/track?ai=8078&amp;sig=00f4d9b&amp;sid=459&amp;ppid=3998071&amp;vpid=34218121&amp;ct=offers" TargetMode="External"/><Relationship Id="rId34" Type="http://schemas.openxmlformats.org/officeDocument/2006/relationships/hyperlink" Target="https://octopart.com/click/track?ai=8078&amp;sig=0b6d618&amp;sid=11744&amp;ppid=3998071&amp;vpid=132619370&amp;ct=offers" TargetMode="External"/><Relationship Id="rId35" Type="http://schemas.openxmlformats.org/officeDocument/2006/relationships/hyperlink" Target="https://octopart.com/click/track?ai=8078&amp;sig=0c3a8c1&amp;sid=2401&amp;ppid=3998071&amp;vpid=55799817&amp;ct=offers" TargetMode="External"/><Relationship Id="rId36" Type="http://schemas.openxmlformats.org/officeDocument/2006/relationships/hyperlink" Target="https://octopart.com/click/track?ai=8078&amp;sig=0c0e8a0&amp;sid=2402&amp;ppid=3998071&amp;vpid=23206701&amp;ct=offers" TargetMode="External"/><Relationship Id="rId37" Type="http://schemas.openxmlformats.org/officeDocument/2006/relationships/hyperlink" Target="https://octopart.com/click/track?ai=8078&amp;sig=0783237&amp;sid=27971&amp;ppid=99359293&amp;vpid=531410812&amp;ct=offers" TargetMode="External"/><Relationship Id="rId38" Type="http://schemas.openxmlformats.org/officeDocument/2006/relationships/vmlDrawing" Target="../drawings/vmlDrawing1.vml"/><Relationship Id="rId3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  <col min="43" max="43" width="9.140625" outlineLevel="1"/>
    <col min="44" max="44" width="9.140625" outlineLevel="2"/>
    <col min="45" max="45" width="9.140625" outlineLevel="2"/>
    <col min="46" max="46" width="15.7109375" customWidth="1"/>
    <col min="47" max="47" width="15.7109375" customWidth="1" outlineLevel="2"/>
  </cols>
  <sheetData>
    <row r="1" spans="1:47">
      <c r="A1" s="1" t="s">
        <v>110</v>
      </c>
      <c r="B1" s="2" t="s">
        <v>111</v>
      </c>
      <c r="F1" s="3" t="s">
        <v>116</v>
      </c>
      <c r="G1" s="3">
        <v>100</v>
      </c>
    </row>
    <row r="2" spans="1:47">
      <c r="A2" s="1" t="s">
        <v>112</v>
      </c>
      <c r="B2" s="2" t="s">
        <v>113</v>
      </c>
      <c r="F2" s="1" t="s">
        <v>118</v>
      </c>
      <c r="G2" s="4">
        <f>TotalCost/BoardQty</f>
        <v>0</v>
      </c>
    </row>
    <row r="3" spans="1:47">
      <c r="A3" s="1" t="s">
        <v>114</v>
      </c>
      <c r="B3" s="2" t="s">
        <v>115</v>
      </c>
      <c r="F3" s="1" t="s">
        <v>117</v>
      </c>
      <c r="G3" s="5">
        <f>SUM(G7:G38)</f>
        <v>0</v>
      </c>
      <c r="K3" s="5">
        <f>SUM(K7:K38)</f>
        <v>0</v>
      </c>
      <c r="L3" s="6">
        <f>(COUNTA(K7:K38)&amp;" of "&amp;ROWS(K7:K38)&amp;" parts found"</f>
        <v>0</v>
      </c>
      <c r="P3" s="5">
        <f>SUM(P7:P38)</f>
        <v>0</v>
      </c>
      <c r="Q3" s="6">
        <f>(COUNTA(P7:P38)&amp;" of "&amp;ROWS(P7:P38)&amp;" parts found"</f>
        <v>0</v>
      </c>
      <c r="U3" s="5">
        <f>SUM(U7:U38)</f>
        <v>0</v>
      </c>
      <c r="V3" s="6">
        <f>(COUNTA(U7:U38)&amp;" of "&amp;ROWS(U7:U38)&amp;" parts found"</f>
        <v>0</v>
      </c>
      <c r="Z3" s="5">
        <f>SUM(Z7:Z38)</f>
        <v>0</v>
      </c>
      <c r="AA3" s="6">
        <f>(COUNTA(Z7:Z38)&amp;" of "&amp;ROWS(Z7:Z38)&amp;" parts found"</f>
        <v>0</v>
      </c>
      <c r="AE3" s="5">
        <f>SUM(AE7:AE38)</f>
        <v>0</v>
      </c>
      <c r="AF3" s="6">
        <f>(COUNTA(AE7:AE38)&amp;" of "&amp;ROWS(AE7:AE38)&amp;" parts found"</f>
        <v>0</v>
      </c>
      <c r="AJ3" s="5">
        <f>SUM(AJ7:AJ38)</f>
        <v>0</v>
      </c>
      <c r="AK3" s="6">
        <f>(COUNTA(AJ7:AJ38)&amp;" of "&amp;ROWS(AJ7:AJ38)&amp;" parts found"</f>
        <v>0</v>
      </c>
      <c r="AO3" s="5">
        <f>SUM(AO7:AO38)</f>
        <v>0</v>
      </c>
      <c r="AP3" s="6">
        <f>(COUNTA(AO7:AO38)&amp;" of "&amp;ROWS(AO7:AO38)&amp;" parts found"</f>
        <v>0</v>
      </c>
      <c r="AT3" s="5">
        <f>SUM(AT7:AT38)</f>
        <v>0</v>
      </c>
      <c r="AU3" s="6">
        <f>(COUNTA(AT7:AT38)&amp;" of "&amp;ROWS(AT7:AT38)&amp;" parts found"</f>
        <v>0</v>
      </c>
    </row>
    <row r="4" spans="1:47">
      <c r="A4" s="1" t="s">
        <v>119</v>
      </c>
      <c r="B4" s="2" t="s">
        <v>120</v>
      </c>
    </row>
    <row r="5" spans="1:47">
      <c r="A5" s="7" t="s">
        <v>0</v>
      </c>
      <c r="B5" s="7"/>
      <c r="C5" s="7"/>
      <c r="D5" s="7"/>
      <c r="E5" s="7"/>
      <c r="F5" s="7"/>
      <c r="G5" s="7"/>
      <c r="H5" s="8" t="s">
        <v>121</v>
      </c>
      <c r="I5" s="8"/>
      <c r="J5" s="8"/>
      <c r="K5" s="8"/>
      <c r="L5" s="8"/>
      <c r="M5" s="9" t="s">
        <v>125</v>
      </c>
      <c r="N5" s="9"/>
      <c r="O5" s="9"/>
      <c r="P5" s="9"/>
      <c r="Q5" s="9"/>
      <c r="R5" s="10" t="s">
        <v>134</v>
      </c>
      <c r="S5" s="10"/>
      <c r="T5" s="10"/>
      <c r="U5" s="10"/>
      <c r="V5" s="10"/>
      <c r="W5" s="11" t="s">
        <v>137</v>
      </c>
      <c r="X5" s="11"/>
      <c r="Y5" s="11"/>
      <c r="Z5" s="11"/>
      <c r="AA5" s="11"/>
      <c r="AB5" s="12" t="s">
        <v>146</v>
      </c>
      <c r="AC5" s="12"/>
      <c r="AD5" s="12"/>
      <c r="AE5" s="12"/>
      <c r="AF5" s="12"/>
      <c r="AG5" s="13" t="s">
        <v>150</v>
      </c>
      <c r="AH5" s="13"/>
      <c r="AI5" s="13"/>
      <c r="AJ5" s="13"/>
      <c r="AK5" s="13"/>
      <c r="AL5" s="14" t="s">
        <v>157</v>
      </c>
      <c r="AM5" s="14"/>
      <c r="AN5" s="14"/>
      <c r="AO5" s="14"/>
      <c r="AP5" s="14"/>
      <c r="AQ5" s="15" t="s">
        <v>161</v>
      </c>
      <c r="AR5" s="15"/>
      <c r="AS5" s="15"/>
      <c r="AT5" s="15"/>
      <c r="AU5" s="15"/>
    </row>
    <row r="6" spans="1:47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122</v>
      </c>
      <c r="I6" s="16" t="s">
        <v>123</v>
      </c>
      <c r="J6" s="16" t="s">
        <v>6</v>
      </c>
      <c r="K6" s="16" t="s">
        <v>7</v>
      </c>
      <c r="L6" s="16" t="s">
        <v>124</v>
      </c>
      <c r="M6" s="16" t="s">
        <v>122</v>
      </c>
      <c r="N6" s="16" t="s">
        <v>123</v>
      </c>
      <c r="O6" s="16" t="s">
        <v>6</v>
      </c>
      <c r="P6" s="16" t="s">
        <v>7</v>
      </c>
      <c r="Q6" s="16" t="s">
        <v>124</v>
      </c>
      <c r="R6" s="16" t="s">
        <v>122</v>
      </c>
      <c r="S6" s="16" t="s">
        <v>123</v>
      </c>
      <c r="T6" s="16" t="s">
        <v>6</v>
      </c>
      <c r="U6" s="16" t="s">
        <v>7</v>
      </c>
      <c r="V6" s="16" t="s">
        <v>124</v>
      </c>
      <c r="W6" s="16" t="s">
        <v>122</v>
      </c>
      <c r="X6" s="16" t="s">
        <v>123</v>
      </c>
      <c r="Y6" s="16" t="s">
        <v>6</v>
      </c>
      <c r="Z6" s="16" t="s">
        <v>7</v>
      </c>
      <c r="AA6" s="16" t="s">
        <v>124</v>
      </c>
      <c r="AB6" s="16" t="s">
        <v>122</v>
      </c>
      <c r="AC6" s="16" t="s">
        <v>123</v>
      </c>
      <c r="AD6" s="16" t="s">
        <v>6</v>
      </c>
      <c r="AE6" s="16" t="s">
        <v>7</v>
      </c>
      <c r="AF6" s="16" t="s">
        <v>124</v>
      </c>
      <c r="AG6" s="16" t="s">
        <v>122</v>
      </c>
      <c r="AH6" s="16" t="s">
        <v>123</v>
      </c>
      <c r="AI6" s="16" t="s">
        <v>6</v>
      </c>
      <c r="AJ6" s="16" t="s">
        <v>7</v>
      </c>
      <c r="AK6" s="16" t="s">
        <v>124</v>
      </c>
      <c r="AL6" s="16" t="s">
        <v>122</v>
      </c>
      <c r="AM6" s="16" t="s">
        <v>123</v>
      </c>
      <c r="AN6" s="16" t="s">
        <v>6</v>
      </c>
      <c r="AO6" s="16" t="s">
        <v>7</v>
      </c>
      <c r="AP6" s="16" t="s">
        <v>124</v>
      </c>
      <c r="AQ6" s="16" t="s">
        <v>122</v>
      </c>
      <c r="AR6" s="16" t="s">
        <v>123</v>
      </c>
      <c r="AS6" s="16" t="s">
        <v>6</v>
      </c>
      <c r="AT6" s="16" t="s">
        <v>7</v>
      </c>
      <c r="AU6" s="16" t="s">
        <v>124</v>
      </c>
    </row>
    <row r="7" spans="1:47">
      <c r="A7" s="17" t="s">
        <v>8</v>
      </c>
      <c r="B7" s="17" t="s">
        <v>9</v>
      </c>
      <c r="C7" s="17" t="s">
        <v>10</v>
      </c>
      <c r="D7" s="17" t="s">
        <v>11</v>
      </c>
      <c r="E7" s="17">
        <f>BoardQty*1</f>
        <v>0</v>
      </c>
      <c r="F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7" s="18">
        <f>iferror(E7*F7,"")</f>
        <v>0</v>
      </c>
    </row>
    <row r="8" spans="1:47">
      <c r="A8" s="17" t="s">
        <v>12</v>
      </c>
      <c r="B8" s="17" t="s">
        <v>13</v>
      </c>
      <c r="C8" s="17" t="s">
        <v>14</v>
      </c>
      <c r="D8" s="17" t="s">
        <v>15</v>
      </c>
      <c r="E8" s="17">
        <f>BoardQty*2</f>
        <v>0</v>
      </c>
      <c r="F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8" s="18">
        <f>iferror(E8*F8,"")</f>
        <v>0</v>
      </c>
    </row>
    <row r="9" spans="1:47">
      <c r="A9" s="17" t="s">
        <v>16</v>
      </c>
      <c r="B9" s="17" t="s">
        <v>17</v>
      </c>
      <c r="C9" s="17" t="s">
        <v>14</v>
      </c>
      <c r="E9" s="17">
        <f>BoardQty*3</f>
        <v>0</v>
      </c>
      <c r="F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9" s="18">
        <f>iferror(E9*F9,"")</f>
        <v>0</v>
      </c>
    </row>
    <row r="10" spans="1:47">
      <c r="A10" s="17" t="s">
        <v>18</v>
      </c>
      <c r="B10" s="17" t="s">
        <v>19</v>
      </c>
      <c r="C10" s="17" t="s">
        <v>14</v>
      </c>
      <c r="D10" s="17" t="s">
        <v>20</v>
      </c>
      <c r="E10" s="17">
        <f>BoardQty*1</f>
        <v>0</v>
      </c>
      <c r="F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0" s="18">
        <f>iferror(E10*F10,"")</f>
        <v>0</v>
      </c>
      <c r="M10" s="17">
        <v>53608</v>
      </c>
      <c r="O10" s="18">
        <f>iferror(lookup(if(N10="",E10,N10),{0,1,10,50,100,500,1000,2500,5000,10000,20000,30000,50000,100000,150000},{0.0,0.1,0.038,0.021,0.0171,0.01224,0.00962,0.00874,0.00805,0.00668,0.00636,0.00604,0.0054,0.00437,0.00423}),"")</f>
        <v>0</v>
      </c>
      <c r="P10" s="18">
        <f>iferror(if(N10="",E10,N10)*O10,"")</f>
        <v>0</v>
      </c>
      <c r="Q10" s="19" t="s">
        <v>126</v>
      </c>
      <c r="W10" s="17">
        <v>12600</v>
      </c>
      <c r="Y10" s="18">
        <f>iferror(lookup(if(X10="",E10,X10),{0,1,50,500,1500,5000,25000,50000},{0.0,0.00455,0.00455,0.00345,0.00325,0.00305,0.00296,0.00291}),"")</f>
        <v>0</v>
      </c>
      <c r="Z10" s="18">
        <f>iferror(if(X10="",E10,X10)*Y10,"")</f>
        <v>0</v>
      </c>
      <c r="AA10" s="19" t="s">
        <v>138</v>
      </c>
      <c r="AL10" s="17">
        <v>40000</v>
      </c>
      <c r="AN10" s="18">
        <f>iferror(USD_GBP*lookup(if(AM10="",E10,AM10),{0,1,10000,30000,50000,100000,250000},{0.0,0.005,0.005,0.004,0.004,0.004,0.004}),"")</f>
        <v>0</v>
      </c>
      <c r="AO10" s="18">
        <f>iferror(if(AM10="",E10,AM10)*AN10,"")</f>
        <v>0</v>
      </c>
      <c r="AP10" s="19" t="s">
        <v>158</v>
      </c>
      <c r="AQ10" s="17">
        <v>1400</v>
      </c>
      <c r="AS10" s="18">
        <f>iferror(USD_EUR*lookup(if(AR10="",E10,AR10),{0,1,100,300,1000,10000},{0.0,0.0226,0.0226,0.0156,0.00858,0.00525}),"")</f>
        <v>0</v>
      </c>
      <c r="AT10" s="18">
        <f>iferror(if(AR10="",E10,AR10)*AS10,"")</f>
        <v>0</v>
      </c>
      <c r="AU10" s="19" t="s">
        <v>20</v>
      </c>
    </row>
    <row r="11" spans="1:47">
      <c r="A11" s="17" t="s">
        <v>21</v>
      </c>
      <c r="B11" s="17" t="s">
        <v>22</v>
      </c>
      <c r="C11" s="17" t="s">
        <v>14</v>
      </c>
      <c r="D11" s="17" t="s">
        <v>23</v>
      </c>
      <c r="E11" s="17">
        <f>BoardQty*2</f>
        <v>0</v>
      </c>
      <c r="F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1" s="18">
        <f>iferror(E11*F11,"")</f>
        <v>0</v>
      </c>
    </row>
    <row r="12" spans="1:47">
      <c r="A12" s="17" t="s">
        <v>24</v>
      </c>
      <c r="B12" s="17" t="s">
        <v>25</v>
      </c>
      <c r="C12" s="17" t="s">
        <v>14</v>
      </c>
      <c r="D12" s="17" t="s">
        <v>26</v>
      </c>
      <c r="E12" s="17">
        <f>BoardQty*5</f>
        <v>0</v>
      </c>
      <c r="F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2" s="18">
        <f>iferror(E12*F12,"")</f>
        <v>0</v>
      </c>
      <c r="M12" s="17">
        <v>19729836</v>
      </c>
      <c r="O12" s="18">
        <f>iferror(lookup(if(N12="",E12,N12),{0,1,10,50,100,500,1000,2500,5000,10000,20000,30000,50000,100000,150000},{0.0,0.1,0.028,0.0152,0.0124,0.00886,0.00696,0.00632,0.00582,0.00483,0.0046,0.00437,0.00391,0.00316,0.00306}),"")</f>
        <v>0</v>
      </c>
      <c r="P12" s="18">
        <f>iferror(if(N12="",E12,N12)*O12,"")</f>
        <v>0</v>
      </c>
      <c r="Q12" s="19" t="s">
        <v>127</v>
      </c>
      <c r="R12" s="17">
        <v>50000</v>
      </c>
      <c r="T12" s="18">
        <f>iferror(USD_GBP*lookup(if(S12="",E12,S12),{0,1,10,100,150,500,2500,5000,10000},{0.0,0.0237,0.0237,0.0145,0.0145,0.0078,0.0061,0.0049,0.0033}),"")</f>
        <v>0</v>
      </c>
      <c r="U12" s="18">
        <f>iferror(if(S12="",E12,S12)*T12,"")</f>
        <v>0</v>
      </c>
      <c r="V12" s="19" t="s">
        <v>135</v>
      </c>
      <c r="W12" s="17">
        <v>6275100</v>
      </c>
      <c r="Y12" s="18">
        <f>iferror(lookup(if(X12="",E12,X12),{0,1,100,1000,3000,10000,50000,100000},{0.0,0.00244,0.00244,0.00177,0.00165,0.00153,0.00145,0.00144}),"")</f>
        <v>0</v>
      </c>
      <c r="Z12" s="18">
        <f>iferror(if(X12="",E12,X12)*Y12,"")</f>
        <v>0</v>
      </c>
      <c r="AA12" s="19" t="s">
        <v>139</v>
      </c>
      <c r="AG12" s="20" t="s">
        <v>131</v>
      </c>
      <c r="AI12" s="18">
        <f>iferror(lookup(if(AH12="",E12,AH12),{0,1,5000,10000},{0.0,0.008,0.008,0.006}),"")</f>
        <v>0</v>
      </c>
      <c r="AJ12" s="18">
        <f>iferror(if(AH12="",E12,AH12)*AI12,"")</f>
        <v>0</v>
      </c>
      <c r="AK12" s="19" t="s">
        <v>151</v>
      </c>
      <c r="AL12" s="17">
        <v>34540000</v>
      </c>
      <c r="AN12" s="18">
        <f>iferror(USD_GBP*lookup(if(AM12="",E12,AM12),{0,1,10000},{0.0,0.003,0.003}),"")</f>
        <v>0</v>
      </c>
      <c r="AO12" s="18">
        <f>iferror(if(AM12="",E12,AM12)*AN12,"")</f>
        <v>0</v>
      </c>
      <c r="AP12" s="19" t="s">
        <v>159</v>
      </c>
      <c r="AQ12" s="17">
        <v>3426500</v>
      </c>
      <c r="AS12" s="18">
        <f>iferror(USD_EUR*lookup(if(AR12="",E12,AR12),{0,1,100,1000,10000,50000,100000},{0.0,0.0175,0.0175,0.00539,0.00226,0.00209,0.00198}),"")</f>
        <v>0</v>
      </c>
      <c r="AT12" s="18">
        <f>iferror(if(AR12="",E12,AR12)*AS12,"")</f>
        <v>0</v>
      </c>
      <c r="AU12" s="19" t="s">
        <v>26</v>
      </c>
    </row>
    <row r="13" spans="1:47">
      <c r="A13" s="17" t="s">
        <v>27</v>
      </c>
      <c r="B13" s="17" t="s">
        <v>28</v>
      </c>
      <c r="C13" s="17" t="s">
        <v>14</v>
      </c>
      <c r="D13" s="17" t="s">
        <v>29</v>
      </c>
      <c r="E13" s="17">
        <f>BoardQty*1</f>
        <v>0</v>
      </c>
      <c r="F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3" s="18">
        <f>iferror(E13*F13,"")</f>
        <v>0</v>
      </c>
    </row>
    <row r="14" spans="1:47">
      <c r="A14" s="17" t="s">
        <v>30</v>
      </c>
      <c r="B14" s="17" t="s">
        <v>31</v>
      </c>
      <c r="C14" s="17" t="s">
        <v>14</v>
      </c>
      <c r="D14" s="17" t="s">
        <v>32</v>
      </c>
      <c r="E14" s="17">
        <f>BoardQty*1</f>
        <v>0</v>
      </c>
      <c r="F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4" s="18">
        <f>iferror(E14*F14,"")</f>
        <v>0</v>
      </c>
      <c r="M14" s="17">
        <v>1998971</v>
      </c>
      <c r="O14" s="18">
        <f>iferror(lookup(if(N14="",E14,N14),{0,1,10,50,100,500,1000,2500,5000,10000,20000,30000,50000},{0.0,0.26,0.182,0.121,0.1029,0.0726,0.06353,0.0605,0.05596,0.04813,0.04565,0.044,0.04125}),"")</f>
        <v>0</v>
      </c>
      <c r="P14" s="18">
        <f>iferror(if(N14="",E14,N14)*O14,"")</f>
        <v>0</v>
      </c>
      <c r="Q14" s="19" t="s">
        <v>128</v>
      </c>
      <c r="W14" s="17">
        <v>431800</v>
      </c>
      <c r="Y14" s="18">
        <f>iferror(lookup(if(X14="",E14,X14),{0,1,50,500,1500,5000,25000,50000},{0.0,0.00582,0.00582,0.00431,0.00403,0.00375,0.00363,0.00356}),"")</f>
        <v>0</v>
      </c>
      <c r="Z14" s="18">
        <f>iferror(if(X14="",E14,X14)*Y14,"")</f>
        <v>0</v>
      </c>
      <c r="AA14" s="19" t="s">
        <v>140</v>
      </c>
      <c r="AG14" s="20" t="s">
        <v>131</v>
      </c>
      <c r="AI14" s="18">
        <f>iferror(lookup(if(AH14="",E14,AH14),{0,1,5000,10000,20000,30000},{0.0,0.039,0.036,0.032,0.027,0.022}),"")</f>
        <v>0</v>
      </c>
      <c r="AJ14" s="18">
        <f>iferror(if(AH14="",E14,AH14)*AI14,"")</f>
        <v>0</v>
      </c>
      <c r="AK14" s="19" t="s">
        <v>152</v>
      </c>
    </row>
    <row r="15" spans="1:47">
      <c r="A15" s="17" t="s">
        <v>33</v>
      </c>
      <c r="B15" s="17" t="s">
        <v>34</v>
      </c>
      <c r="C15" s="17" t="s">
        <v>35</v>
      </c>
      <c r="D15" s="17" t="s">
        <v>36</v>
      </c>
      <c r="E15" s="17">
        <f>BoardQty*1</f>
        <v>0</v>
      </c>
      <c r="F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5" s="18">
        <f>iferror(E15*F15,"")</f>
        <v>0</v>
      </c>
      <c r="M15" s="17">
        <v>1296209</v>
      </c>
      <c r="O15" s="18">
        <f>iferror(lookup(if(N15="",E15,N15),{0,1,10,50,100,500,1000,2500,5000,10000,20000,30000,50000},{0.0,0.29,0.198,0.119,0.1005,0.06876,0.06082,0.05818,0.05289,0.04567,0.04326,0.04086,0.03846}),"")</f>
        <v>0</v>
      </c>
      <c r="P15" s="18">
        <f>iferror(if(N15="",E15,N15)*O15,"")</f>
        <v>0</v>
      </c>
      <c r="Q15" s="19" t="s">
        <v>129</v>
      </c>
      <c r="W15" s="17">
        <v>474150</v>
      </c>
      <c r="Y15" s="18">
        <f>iferror(lookup(if(X15="",E15,X15),{0,1,50,500,1500,5000,25000,50000},{0.0,0.01009,0.01009,0.00749,0.00701,0.00654,0.00632,0.00622}),"")</f>
        <v>0</v>
      </c>
      <c r="Z15" s="18">
        <f>iferror(if(X15="",E15,X15)*Y15,"")</f>
        <v>0</v>
      </c>
      <c r="AA15" s="19" t="s">
        <v>141</v>
      </c>
      <c r="AG15" s="20" t="s">
        <v>131</v>
      </c>
      <c r="AI15" s="18">
        <f>iferror(lookup(if(AH15="",E15,AH15),{0,1,5000,10000,20000,30000},{0.0,0.059,0.055,0.048,0.041,0.033}),"")</f>
        <v>0</v>
      </c>
      <c r="AJ15" s="18">
        <f>iferror(if(AH15="",E15,AH15)*AI15,"")</f>
        <v>0</v>
      </c>
      <c r="AK15" s="19" t="s">
        <v>153</v>
      </c>
      <c r="AQ15" s="17">
        <v>161050</v>
      </c>
      <c r="AS15" s="18">
        <f>iferror(USD_EUR*lookup(if(AR15="",E15,AR15),{0,1,25,100,500,2500,10000},{0.0,0.0543,0.0543,0.0359,0.0231,0.0166,0.0133}),"")</f>
        <v>0</v>
      </c>
      <c r="AT15" s="18">
        <f>iferror(if(AR15="",E15,AR15)*AS15,"")</f>
        <v>0</v>
      </c>
      <c r="AU15" s="19" t="s">
        <v>36</v>
      </c>
    </row>
    <row r="16" spans="1:47">
      <c r="A16" s="17" t="s">
        <v>37</v>
      </c>
      <c r="B16" s="17" t="s">
        <v>38</v>
      </c>
      <c r="C16" s="17" t="s">
        <v>14</v>
      </c>
      <c r="E16" s="17">
        <f>BoardQty*1</f>
        <v>0</v>
      </c>
      <c r="F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6" s="18">
        <f>iferror(E16*F16,"")</f>
        <v>0</v>
      </c>
    </row>
    <row r="17" spans="1:47">
      <c r="A17" s="17" t="s">
        <v>39</v>
      </c>
      <c r="B17" s="17" t="s">
        <v>40</v>
      </c>
      <c r="C17" s="17" t="s">
        <v>14</v>
      </c>
      <c r="D17" s="17" t="s">
        <v>41</v>
      </c>
      <c r="E17" s="17">
        <f>BoardQty*1</f>
        <v>0</v>
      </c>
      <c r="F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7" s="18">
        <f>iferror(E17*F17,"")</f>
        <v>0</v>
      </c>
    </row>
    <row r="18" spans="1:47">
      <c r="A18" s="17" t="s">
        <v>42</v>
      </c>
      <c r="B18" s="17" t="s">
        <v>43</v>
      </c>
      <c r="C18" s="17" t="s">
        <v>14</v>
      </c>
      <c r="D18" s="17" t="s">
        <v>44</v>
      </c>
      <c r="E18" s="17">
        <f>BoardQty*1</f>
        <v>0</v>
      </c>
      <c r="F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8" s="18">
        <f>iferror(E18*F18,"")</f>
        <v>0</v>
      </c>
    </row>
    <row r="19" spans="1:47">
      <c r="A19" s="17" t="s">
        <v>45</v>
      </c>
      <c r="B19" s="17" t="s">
        <v>46</v>
      </c>
      <c r="C19" s="17" t="s">
        <v>14</v>
      </c>
      <c r="D19" s="17" t="s">
        <v>47</v>
      </c>
      <c r="E19" s="17">
        <f>BoardQty*1</f>
        <v>0</v>
      </c>
      <c r="F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9" s="18">
        <f>iferror(E19*F19,"")</f>
        <v>0</v>
      </c>
    </row>
    <row r="20" spans="1:47">
      <c r="A20" s="17" t="s">
        <v>48</v>
      </c>
      <c r="B20" s="17" t="s">
        <v>49</v>
      </c>
      <c r="C20" s="17" t="s">
        <v>14</v>
      </c>
      <c r="D20" s="17" t="s">
        <v>50</v>
      </c>
      <c r="E20" s="17">
        <f>BoardQty*1</f>
        <v>0</v>
      </c>
      <c r="F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0" s="18">
        <f>iferror(E20*F20,"")</f>
        <v>0</v>
      </c>
    </row>
    <row r="21" spans="1:47">
      <c r="A21" s="17" t="s">
        <v>51</v>
      </c>
      <c r="B21" s="17" t="s">
        <v>52</v>
      </c>
      <c r="C21" s="17" t="s">
        <v>14</v>
      </c>
      <c r="E21" s="17">
        <f>BoardQty*1</f>
        <v>0</v>
      </c>
      <c r="F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1" s="18">
        <f>iferror(E21*F21,"")</f>
        <v>0</v>
      </c>
    </row>
    <row r="22" spans="1:47">
      <c r="A22" s="17" t="s">
        <v>53</v>
      </c>
      <c r="B22" s="17" t="s">
        <v>54</v>
      </c>
      <c r="C22" s="17" t="s">
        <v>14</v>
      </c>
      <c r="D22" s="17" t="s">
        <v>50</v>
      </c>
      <c r="E22" s="17">
        <f>BoardQty*3</f>
        <v>0</v>
      </c>
      <c r="F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2" s="18">
        <f>iferror(E22*F22,"")</f>
        <v>0</v>
      </c>
    </row>
    <row r="23" spans="1:47">
      <c r="A23" s="17" t="s">
        <v>55</v>
      </c>
      <c r="B23" s="17" t="s">
        <v>56</v>
      </c>
      <c r="C23" s="17" t="s">
        <v>57</v>
      </c>
      <c r="E23" s="17">
        <f>BoardQty*1</f>
        <v>0</v>
      </c>
      <c r="F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3" s="18">
        <f>iferror(E23*F23,"")</f>
        <v>0</v>
      </c>
    </row>
    <row r="24" spans="1:47">
      <c r="A24" s="17" t="s">
        <v>58</v>
      </c>
      <c r="B24" s="17" t="s">
        <v>59</v>
      </c>
      <c r="C24" s="17" t="s">
        <v>60</v>
      </c>
      <c r="E24" s="17">
        <f>BoardQty*1</f>
        <v>0</v>
      </c>
      <c r="F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4" s="18">
        <f>iferror(E24*F24,"")</f>
        <v>0</v>
      </c>
    </row>
    <row r="25" spans="1:47">
      <c r="A25" s="17" t="s">
        <v>61</v>
      </c>
      <c r="B25" s="17" t="s">
        <v>62</v>
      </c>
      <c r="C25" s="17" t="s">
        <v>63</v>
      </c>
      <c r="E25" s="17">
        <f>BoardQty*1</f>
        <v>0</v>
      </c>
      <c r="F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5" s="18">
        <f>iferror(E25*F25,"")</f>
        <v>0</v>
      </c>
    </row>
    <row r="26" spans="1:47">
      <c r="A26" s="17" t="s">
        <v>64</v>
      </c>
      <c r="B26" s="17" t="s">
        <v>65</v>
      </c>
      <c r="C26" s="17" t="s">
        <v>66</v>
      </c>
      <c r="D26" s="17" t="s">
        <v>67</v>
      </c>
      <c r="E26" s="17">
        <f>BoardQty*1</f>
        <v>0</v>
      </c>
      <c r="F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6" s="18">
        <f>iferror(E26*F26,"")</f>
        <v>0</v>
      </c>
      <c r="M26" s="20" t="s">
        <v>131</v>
      </c>
      <c r="O26" s="18">
        <f>iferror(lookup(if(N26="",E26,N26),{0,1,10,25,50,100,250,500,1000,2500,10000,30000,50000,100000},{0.0,0.1,0.028,0.0248,0.022,0.0187,0.01652,0.01512,0.01293,0.01155,0.0085,0.008,0.00775,0.0075}),"")</f>
        <v>0</v>
      </c>
      <c r="P26" s="18">
        <f>iferror(if(N26="",E26,N26)*O26,"")</f>
        <v>0</v>
      </c>
      <c r="Q26" s="19" t="s">
        <v>130</v>
      </c>
      <c r="W26" s="17">
        <v>8650</v>
      </c>
      <c r="Y26" s="18">
        <f>iferror(lookup(if(X26="",E26,X26),{0,1,50,500,1500,5000,25000,50000},{0.0,0.00382,0.00382,0.0029,0.00273,0.00257,0.00249,0.00245}),"")</f>
        <v>0</v>
      </c>
      <c r="Z26" s="18">
        <f>iferror(if(X26="",E26,X26)*Y26,"")</f>
        <v>0</v>
      </c>
      <c r="AA26" s="19" t="s">
        <v>142</v>
      </c>
      <c r="AB26" s="17">
        <v>9304</v>
      </c>
      <c r="AD26" s="18">
        <f>iferror(lookup(if(AC26="",E26,AC26),{0,1,10,100,500,1000,2500},{0.0,0.1,0.023,0.017,0.015,0.013,0.009}),"")</f>
        <v>0</v>
      </c>
      <c r="AE26" s="18">
        <f>iferror(if(AC26="",E26,AC26)*AD26,"")</f>
        <v>0</v>
      </c>
      <c r="AF26" s="19" t="s">
        <v>147</v>
      </c>
      <c r="AG26" s="20" t="s">
        <v>131</v>
      </c>
      <c r="AI26" s="18">
        <f>iferror(lookup(if(AH26="",E26,AH26),{0,1,25,100,250,500,1000,2500,10000,20000,40000,60000,100000},{0.0,0.1,0.023,0.017,0.016,0.015,0.013,0.009,0.014,0.013,0.013,0.013,0.012}),"")</f>
        <v>0</v>
      </c>
      <c r="AJ26" s="18">
        <f>iferror(if(AH26="",E26,AH26)*AI26,"")</f>
        <v>0</v>
      </c>
      <c r="AK26" s="19" t="s">
        <v>154</v>
      </c>
    </row>
    <row r="27" spans="1:47">
      <c r="A27" s="17" t="s">
        <v>68</v>
      </c>
      <c r="B27" s="17" t="s">
        <v>69</v>
      </c>
      <c r="C27" s="17" t="s">
        <v>66</v>
      </c>
      <c r="D27" s="17" t="s">
        <v>70</v>
      </c>
      <c r="E27" s="17">
        <f>BoardQty*2</f>
        <v>0</v>
      </c>
      <c r="F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7" s="18">
        <f>iferror(E27*F27,"")</f>
        <v>0</v>
      </c>
      <c r="W27" s="17">
        <v>35400</v>
      </c>
      <c r="Y27" s="18">
        <f>iferror(lookup(if(X27="",E27,X27),{0,1,100,1000,3000,10000,50000,100000},{0.0,0.00629,0.00629,0.00466,0.00436,0.00406,0.00294,0.00289}),"")</f>
        <v>0</v>
      </c>
      <c r="Z27" s="18">
        <f>iferror(if(X27="",E27,X27)*Y27,"")</f>
        <v>0</v>
      </c>
      <c r="AA27" s="19" t="s">
        <v>143</v>
      </c>
    </row>
    <row r="28" spans="1:47">
      <c r="A28" s="17" t="s">
        <v>71</v>
      </c>
      <c r="B28" s="17" t="s">
        <v>72</v>
      </c>
      <c r="C28" s="17" t="s">
        <v>66</v>
      </c>
      <c r="D28" s="17" t="s">
        <v>73</v>
      </c>
      <c r="E28" s="17">
        <f>BoardQty*1</f>
        <v>0</v>
      </c>
      <c r="F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8" s="18">
        <f>iferror(E28*F28,"")</f>
        <v>0</v>
      </c>
      <c r="M28" s="17">
        <v>8930</v>
      </c>
      <c r="O28" s="18">
        <f>iferror(lookup(if(N28="",E28,N28),{0,1,10,25,50,100,250,500,1000,2500,10000,30000,50000,100000},{0.0,0.1,0.05,0.044,0.0374,0.033,0.03024,0.0275,0.0231,0.0198,0.016,0.0155,0.015,0.0145}),"")</f>
        <v>0</v>
      </c>
      <c r="P28" s="18">
        <f>iferror(if(N28="",E28,N28)*O28,"")</f>
        <v>0</v>
      </c>
      <c r="Q28" s="19" t="s">
        <v>132</v>
      </c>
      <c r="W28" s="17">
        <v>7900</v>
      </c>
      <c r="Y28" s="18">
        <f>iferror(lookup(if(X28="",E28,X28),{0,1,50,500,1500,5000,25000,50000},{0.0,0.00571,0.00571,0.00421,0.00394,0.00366,0.00354,0.00348}),"")</f>
        <v>0</v>
      </c>
      <c r="Z28" s="18">
        <f>iferror(if(X28="",E28,X28)*Y28,"")</f>
        <v>0</v>
      </c>
      <c r="AA28" s="19" t="s">
        <v>144</v>
      </c>
      <c r="AB28" s="17">
        <v>13589</v>
      </c>
      <c r="AD28" s="18">
        <f>iferror(lookup(if(AC28="",E28,AC28),{0,1,10,100,500,1000,2500},{0.0,0.1,0.038,0.031,0.028,0.024,0.017}),"")</f>
        <v>0</v>
      </c>
      <c r="AE28" s="18">
        <f>iferror(if(AC28="",E28,AC28)*AD28,"")</f>
        <v>0</v>
      </c>
      <c r="AF28" s="19" t="s">
        <v>148</v>
      </c>
      <c r="AG28" s="20" t="s">
        <v>131</v>
      </c>
      <c r="AI28" s="18">
        <f>iferror(lookup(if(AH28="",E28,AH28),{0,1,10000,20000,30000},{0.0,0.022,0.022,0.019,0.016}),"")</f>
        <v>0</v>
      </c>
      <c r="AJ28" s="18">
        <f>iferror(if(AH28="",E28,AH28)*AI28,"")</f>
        <v>0</v>
      </c>
      <c r="AK28" s="19" t="s">
        <v>155</v>
      </c>
      <c r="AL28" s="17">
        <v>8780</v>
      </c>
      <c r="AN28" s="18">
        <f>iferror(USD_GBP*lookup(if(AM28="",E28,AM28),{0,1,10,100,500,1000,5000},{0.0,0.035,0.035,0.028,0.027,0.022,0.018}),"")</f>
        <v>0</v>
      </c>
      <c r="AO28" s="18">
        <f>iferror(if(AM28="",E28,AM28)*AN28,"")</f>
        <v>0</v>
      </c>
      <c r="AP28" s="19" t="s">
        <v>160</v>
      </c>
    </row>
    <row r="29" spans="1:47">
      <c r="A29" s="17" t="s">
        <v>74</v>
      </c>
      <c r="B29" s="17" t="s">
        <v>75</v>
      </c>
      <c r="C29" s="17" t="s">
        <v>66</v>
      </c>
      <c r="D29" s="17" t="s">
        <v>76</v>
      </c>
      <c r="E29" s="17">
        <f>BoardQty*1</f>
        <v>0</v>
      </c>
      <c r="F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29" s="18">
        <f>iferror(E29*F29,"")</f>
        <v>0</v>
      </c>
    </row>
    <row r="30" spans="1:47">
      <c r="A30" s="17" t="s">
        <v>77</v>
      </c>
      <c r="B30" s="17" t="s">
        <v>78</v>
      </c>
      <c r="C30" s="17" t="s">
        <v>79</v>
      </c>
      <c r="E30" s="17">
        <f>BoardQty*1</f>
        <v>0</v>
      </c>
      <c r="F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0" s="18">
        <f>iferror(E30*F30,"")</f>
        <v>0</v>
      </c>
    </row>
    <row r="31" spans="1:47">
      <c r="A31" s="17" t="s">
        <v>80</v>
      </c>
      <c r="B31" s="17" t="s">
        <v>81</v>
      </c>
      <c r="C31" s="17" t="s">
        <v>82</v>
      </c>
      <c r="D31" s="17" t="s">
        <v>83</v>
      </c>
      <c r="E31" s="17">
        <f>BoardQty*1</f>
        <v>0</v>
      </c>
      <c r="F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1" s="18">
        <f>iferror(E31*F31,"")</f>
        <v>0</v>
      </c>
      <c r="AQ31" s="17">
        <v>763700</v>
      </c>
      <c r="AS31" s="18">
        <f>iferror(USD_EUR*lookup(if(AR31="",E31,AR31),{0,1,100,1000,10000,50000,100000,200000,500000},{0.0,0.00876,0.00876,0.00235,0.00063,0.00056,0.00055,0.00053,0.00051}),"")</f>
        <v>0</v>
      </c>
      <c r="AT31" s="18">
        <f>iferror(if(AR31="",E31,AR31)*AS31,"")</f>
        <v>0</v>
      </c>
      <c r="AU31" s="19" t="s">
        <v>162</v>
      </c>
    </row>
    <row r="32" spans="1:47">
      <c r="A32" s="17" t="s">
        <v>84</v>
      </c>
      <c r="B32" s="17" t="s">
        <v>85</v>
      </c>
      <c r="C32" s="17" t="s">
        <v>86</v>
      </c>
      <c r="E32" s="17">
        <f>BoardQty*1</f>
        <v>0</v>
      </c>
      <c r="F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2" s="18">
        <f>iferror(E32*F32,"")</f>
        <v>0</v>
      </c>
    </row>
    <row r="33" spans="1:46">
      <c r="A33" s="17" t="s">
        <v>87</v>
      </c>
      <c r="B33" s="17" t="s">
        <v>88</v>
      </c>
      <c r="C33" s="17" t="s">
        <v>86</v>
      </c>
      <c r="E33" s="17">
        <f>BoardQty*1</f>
        <v>0</v>
      </c>
      <c r="F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3" s="18">
        <f>iferror(E33*F33,"")</f>
        <v>0</v>
      </c>
    </row>
    <row r="34" spans="1:46">
      <c r="A34" s="17" t="s">
        <v>89</v>
      </c>
      <c r="B34" s="17" t="s">
        <v>90</v>
      </c>
      <c r="C34" s="17" t="s">
        <v>86</v>
      </c>
      <c r="E34" s="17">
        <f>BoardQty*1</f>
        <v>0</v>
      </c>
      <c r="F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4" s="18">
        <f>iferror(E34*F34,"")</f>
        <v>0</v>
      </c>
    </row>
    <row r="35" spans="1:46">
      <c r="A35" s="17" t="s">
        <v>91</v>
      </c>
      <c r="B35" s="17" t="s">
        <v>92</v>
      </c>
      <c r="C35" s="17" t="s">
        <v>93</v>
      </c>
      <c r="E35" s="17">
        <f>BoardQty*2</f>
        <v>0</v>
      </c>
      <c r="F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5" s="18">
        <f>iferror(E35*F35,"")</f>
        <v>0</v>
      </c>
    </row>
    <row r="36" spans="1:46">
      <c r="A36" s="17" t="s">
        <v>94</v>
      </c>
      <c r="B36" s="17" t="s">
        <v>95</v>
      </c>
      <c r="C36" s="17" t="s">
        <v>96</v>
      </c>
      <c r="D36" s="17" t="s">
        <v>97</v>
      </c>
      <c r="E36" s="17">
        <f>BoardQty*1</f>
        <v>0</v>
      </c>
      <c r="F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6" s="18">
        <f>iferror(E36*F36,"")</f>
        <v>0</v>
      </c>
    </row>
    <row r="37" spans="1:46">
      <c r="A37" s="17" t="s">
        <v>98</v>
      </c>
      <c r="B37" s="17" t="s">
        <v>99</v>
      </c>
      <c r="C37" s="17" t="s">
        <v>100</v>
      </c>
      <c r="D37" s="17" t="s">
        <v>99</v>
      </c>
      <c r="E37" s="17">
        <f>BoardQty*1</f>
        <v>0</v>
      </c>
      <c r="F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7" s="18">
        <f>iferror(E37*F37,"")</f>
        <v>0</v>
      </c>
      <c r="M37" s="17">
        <v>128586</v>
      </c>
      <c r="O37" s="18">
        <f>iferror(lookup(if(N37="",E37,N37),{0,1,10,25,100,250,500,1000,3000,6000,15000,30000,75000},{0.0,1.13,1.006,0.9548,0.7843,0.73316,0.6479,0.5115,0.4774,0.45353,0.43648,0.42284,0.4092}),"")</f>
        <v>0</v>
      </c>
      <c r="P37" s="18">
        <f>iferror(if(N37="",E37,N37)*O37,"")</f>
        <v>0</v>
      </c>
      <c r="Q37" s="19" t="s">
        <v>133</v>
      </c>
      <c r="R37" s="17">
        <v>24305</v>
      </c>
      <c r="T37" s="18">
        <f>iferror(USD_GBP*lookup(if(S37="",E37,S37),{0,1,50,100,150,250,500,1000,2500,5000},{0.0,0.969,0.85,0.671,0.671,0.652,0.576,0.455,0.424,0.389}),"")</f>
        <v>0</v>
      </c>
      <c r="U37" s="18">
        <f>iferror(if(S37="",E37,S37)*T37,"")</f>
        <v>0</v>
      </c>
      <c r="V37" s="19" t="s">
        <v>136</v>
      </c>
      <c r="AB37" s="17">
        <v>5258</v>
      </c>
      <c r="AD37" s="18">
        <f>iferror(lookup(if(AC37="",E37,AC37),{0,1,10,100,500,1000,3000},{0.0,1.13,0.955,0.734,0.648,0.512,0.477}),"")</f>
        <v>0</v>
      </c>
      <c r="AE37" s="18">
        <f>iferror(if(AC37="",E37,AC37)*AD37,"")</f>
        <v>0</v>
      </c>
      <c r="AF37" s="19" t="s">
        <v>149</v>
      </c>
      <c r="AG37" s="17">
        <v>24745</v>
      </c>
      <c r="AI37" s="18">
        <f>iferror(lookup(if(AH37="",E37,AH37),{0,1,10,25,50,100,250,500,1000},{0.0,1.13,1.01,0.954,0.869,0.784,0.733,0.647,0.511}),"")</f>
        <v>0</v>
      </c>
      <c r="AJ37" s="18">
        <f>iferror(if(AH37="",E37,AH37)*AI37,"")</f>
        <v>0</v>
      </c>
      <c r="AK37" s="19" t="s">
        <v>156</v>
      </c>
    </row>
    <row r="38" spans="1:46">
      <c r="A38" s="17" t="s">
        <v>101</v>
      </c>
      <c r="B38" s="17" t="s">
        <v>102</v>
      </c>
      <c r="C38" s="17" t="s">
        <v>103</v>
      </c>
      <c r="D38" s="17" t="s">
        <v>104</v>
      </c>
      <c r="E38" s="17">
        <f>BoardQty*1</f>
        <v>0</v>
      </c>
      <c r="F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38" s="18">
        <f>iferror(E38*F38,"")</f>
        <v>0</v>
      </c>
      <c r="W38" s="17">
        <v>2875</v>
      </c>
      <c r="Y38" s="18">
        <f>iferror(lookup(if(X38="",E38,X38),{0,1,10,30,100,500,1000},{0.0,0.20985,0.15827,0.1488,0.13932,0.13512,0.13303}),"")</f>
        <v>0</v>
      </c>
      <c r="Z38" s="18">
        <f>iferror(if(X38="",E38,X38)*Y38,"")</f>
        <v>0</v>
      </c>
      <c r="AA38" s="19" t="s">
        <v>145</v>
      </c>
    </row>
    <row r="40" spans="1:46">
      <c r="B40" s="21" t="s">
        <v>107</v>
      </c>
      <c r="F40" s="1" t="s">
        <v>105</v>
      </c>
      <c r="G40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40" s="6">
        <f>IFERROR(IF(OR(I7:I38),COUNTIFS(I7:I38,"&gt;0",K7:K38,"&lt;&gt;")&amp;" of "&amp;(ROWS(K7:K38)-COUNTBLANK(K7:K38))&amp;" parts purchased",""),"")</f>
        <v>0</v>
      </c>
      <c r="K40" s="5">
        <f>SUMIF(I7:I38,"&gt;0",K7:K38)</f>
        <v>0</v>
      </c>
      <c r="N40" s="6">
        <f>IFERROR(IF(OR(N7:N38),COUNTIFS(N7:N38,"&gt;0",P7:P38,"&lt;&gt;")&amp;" of "&amp;(ROWS(P7:P38)-COUNTBLANK(P7:P38))&amp;" parts purchased",""),"")</f>
        <v>0</v>
      </c>
      <c r="P40" s="5">
        <f>SUMIF(N7:N38,"&gt;0",P7:P38)</f>
        <v>0</v>
      </c>
      <c r="S40" s="6">
        <f>IFERROR(IF(OR(S7:S38),COUNTIFS(S7:S38,"&gt;0",U7:U38,"&lt;&gt;")&amp;" of "&amp;(ROWS(U7:U38)-COUNTBLANK(U7:U38))&amp;" parts purchased",""),"")</f>
        <v>0</v>
      </c>
      <c r="U40" s="5">
        <f>SUMIF(S7:S38,"&gt;0",U7:U38)</f>
        <v>0</v>
      </c>
      <c r="X40" s="6">
        <f>IFERROR(IF(OR(X7:X38),COUNTIFS(X7:X38,"&gt;0",Z7:Z38,"&lt;&gt;")&amp;" of "&amp;(ROWS(Z7:Z38)-COUNTBLANK(Z7:Z38))&amp;" parts purchased",""),"")</f>
        <v>0</v>
      </c>
      <c r="Z40" s="5">
        <f>SUMIF(X7:X38,"&gt;0",Z7:Z38)</f>
        <v>0</v>
      </c>
      <c r="AC40" s="6">
        <f>IFERROR(IF(OR(AC7:AC38),COUNTIFS(AC7:AC38,"&gt;0",AE7:AE38,"&lt;&gt;")&amp;" of "&amp;(ROWS(AE7:AE38)-COUNTBLANK(AE7:AE38))&amp;" parts purchased",""),"")</f>
        <v>0</v>
      </c>
      <c r="AE40" s="5">
        <f>SUMIF(AC7:AC38,"&gt;0",AE7:AE38)</f>
        <v>0</v>
      </c>
      <c r="AH40" s="6">
        <f>IFERROR(IF(OR(AH7:AH38),COUNTIFS(AH7:AH38,"&gt;0",AJ7:AJ38,"&lt;&gt;")&amp;" of "&amp;(ROWS(AJ7:AJ38)-COUNTBLANK(AJ7:AJ38))&amp;" parts purchased",""),"")</f>
        <v>0</v>
      </c>
      <c r="AJ40" s="5">
        <f>SUMIF(AH7:AH38,"&gt;0",AJ7:AJ38)</f>
        <v>0</v>
      </c>
      <c r="AM40" s="6">
        <f>IFERROR(IF(OR(AM7:AM38),COUNTIFS(AM7:AM38,"&gt;0",AO7:AO38,"&lt;&gt;")&amp;" of "&amp;(ROWS(AO7:AO38)-COUNTBLANK(AO7:AO38))&amp;" parts purchased",""),"")</f>
        <v>0</v>
      </c>
      <c r="AO40" s="5">
        <f>SUMIF(AM7:AM38,"&gt;0",AO7:AO38)</f>
        <v>0</v>
      </c>
      <c r="AR40" s="6">
        <f>IFERROR(IF(OR(AR7:AR38),COUNTIFS(AR7:AR38,"&gt;0",AT7:AT38,"&lt;&gt;")&amp;" of "&amp;(ROWS(AT7:AT38)-COUNTBLANK(AT7:AT38))&amp;" parts purchased",""),"")</f>
        <v>0</v>
      </c>
      <c r="AT40" s="5">
        <f>SUMIF(AR7:AR38,"&gt;0",AT7:AT38)</f>
        <v>0</v>
      </c>
    </row>
    <row r="41" spans="1:46">
      <c r="B41" s="21" t="s">
        <v>108</v>
      </c>
      <c r="C41">
        <v>1.267280071813286</v>
      </c>
      <c r="F41" s="21" t="s">
        <v>106</v>
      </c>
      <c r="I41">
        <f t="array" ref="I41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41">
        <f t="array" ref="N41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41">
        <f t="array" ref="S41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41" s="6">
        <f>IFERROR(IF(COUNTIFS(X7:X38,"&gt;0",Z7:Z38,"&lt;&gt;")&gt;0,"Quantity,Comment,Designator,Footprint,LCSC Part #(optional)",""),"")</f>
        <v>0</v>
      </c>
      <c r="AC41">
        <f t="array" ref="AC41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41">
        <f t="array" ref="AH41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41">
        <f t="array" ref="AM41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41">
        <f t="array" ref="AR41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42" spans="1:46">
      <c r="B42" s="21" t="s">
        <v>109</v>
      </c>
      <c r="C42">
        <v>1.1294</v>
      </c>
      <c r="I42">
        <f t="array" ref="I42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42">
        <f t="array" ref="N42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42">
        <f t="array" ref="S42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42">
        <f t="array" ref="X42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42">
        <f t="array" ref="AC42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42">
        <f t="array" ref="AH42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42">
        <f t="array" ref="AM42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42">
        <f t="array" ref="AR42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43" spans="1:46">
      <c r="I43">
        <f t="array" ref="I43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43">
        <f t="array" ref="N43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43">
        <f t="array" ref="S43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43">
        <f t="array" ref="X43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43">
        <f t="array" ref="AC43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43">
        <f t="array" ref="AH43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43">
        <f t="array" ref="AM43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43">
        <f t="array" ref="AR43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44" spans="1:46">
      <c r="A44" s="2" t="s">
        <v>163</v>
      </c>
      <c r="I44">
        <f t="array" ref="I44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44">
        <f t="array" ref="N44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44">
        <f t="array" ref="S44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44">
        <f t="array" ref="X44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44">
        <f t="array" ref="AC44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44">
        <f t="array" ref="AH44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44">
        <f t="array" ref="AM44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44">
        <f t="array" ref="AR44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45" spans="1:46">
      <c r="I45">
        <f t="array" ref="I45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45">
        <f t="array" ref="N45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45">
        <f t="array" ref="S45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45">
        <f t="array" ref="X45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45">
        <f t="array" ref="AC45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45">
        <f t="array" ref="AH45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45">
        <f t="array" ref="AM45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45">
        <f t="array" ref="AR45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46" spans="1:46">
      <c r="I46">
        <f t="array" ref="I46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46">
        <f t="array" ref="N46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46">
        <f t="array" ref="S46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46">
        <f t="array" ref="X46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46">
        <f t="array" ref="AC46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46">
        <f t="array" ref="AH46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46">
        <f t="array" ref="AM46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46">
        <f t="array" ref="AR46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47" spans="1:46">
      <c r="I47">
        <f t="array" ref="I47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47">
        <f t="array" ref="N47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47">
        <f t="array" ref="S47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47">
        <f t="array" ref="X47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47">
        <f t="array" ref="AC47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47">
        <f t="array" ref="AH47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47">
        <f t="array" ref="AM47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47">
        <f t="array" ref="AR47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48" spans="1:46">
      <c r="I48">
        <f t="array" ref="I48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48">
        <f t="array" ref="N48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48">
        <f t="array" ref="S48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48">
        <f t="array" ref="X48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48">
        <f t="array" ref="AC48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48">
        <f t="array" ref="AH48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48">
        <f t="array" ref="AM48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48">
        <f t="array" ref="AR48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49" spans="9:44">
      <c r="I49">
        <f t="array" ref="I49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49">
        <f t="array" ref="N49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49">
        <f t="array" ref="S49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49">
        <f t="array" ref="X49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49">
        <f t="array" ref="AC49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49">
        <f t="array" ref="AH49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49">
        <f t="array" ref="AM49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49">
        <f t="array" ref="AR49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50" spans="9:44">
      <c r="I50">
        <f t="array" ref="I50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50">
        <f t="array" ref="N50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50">
        <f t="array" ref="S50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50">
        <f t="array" ref="X50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50">
        <f t="array" ref="AC50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50">
        <f t="array" ref="AH50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50">
        <f t="array" ref="AM50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50">
        <f t="array" ref="AR50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51" spans="9:44">
      <c r="I51">
        <f t="array" ref="I51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51">
        <f t="array" ref="N51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51">
        <f t="array" ref="S51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51">
        <f t="array" ref="X51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51">
        <f t="array" ref="AC51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51">
        <f t="array" ref="AH51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51">
        <f t="array" ref="AM51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51">
        <f t="array" ref="AR51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52" spans="9:44">
      <c r="I52">
        <f t="array" ref="I52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52">
        <f t="array" ref="N52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52">
        <f t="array" ref="S52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52">
        <f t="array" ref="X52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52">
        <f t="array" ref="AC52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52">
        <f t="array" ref="AH52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52">
        <f t="array" ref="AM52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52">
        <f t="array" ref="AR52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53" spans="9:44">
      <c r="I53">
        <f t="array" ref="I53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53">
        <f t="array" ref="N53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53">
        <f t="array" ref="S53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53">
        <f t="array" ref="X53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53">
        <f t="array" ref="AC53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53">
        <f t="array" ref="AH53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53">
        <f t="array" ref="AM53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53">
        <f t="array" ref="AR53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54" spans="9:44">
      <c r="I54">
        <f t="array" ref="I54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54">
        <f t="array" ref="N54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54">
        <f t="array" ref="S54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54">
        <f t="array" ref="X54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54">
        <f t="array" ref="AC54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54">
        <f t="array" ref="AH54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54">
        <f t="array" ref="AM54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54">
        <f t="array" ref="AR54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55" spans="9:44">
      <c r="I55">
        <f t="array" ref="I55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55">
        <f t="array" ref="N55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55">
        <f t="array" ref="S55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55">
        <f t="array" ref="X55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55">
        <f t="array" ref="AC55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55">
        <f t="array" ref="AH55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55">
        <f t="array" ref="AM55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55">
        <f t="array" ref="AR55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56" spans="9:44">
      <c r="I56">
        <f t="array" ref="I56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56">
        <f t="array" ref="N56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56">
        <f t="array" ref="S56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56">
        <f t="array" ref="X56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56">
        <f t="array" ref="AC56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56">
        <f t="array" ref="AH56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56">
        <f t="array" ref="AM56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56">
        <f t="array" ref="AR56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57" spans="9:44">
      <c r="I57">
        <f t="array" ref="I57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57">
        <f t="array" ref="N57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57">
        <f t="array" ref="S57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57">
        <f t="array" ref="X57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57">
        <f t="array" ref="AC57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57">
        <f t="array" ref="AH57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57">
        <f t="array" ref="AM57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57">
        <f t="array" ref="AR57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58" spans="9:44">
      <c r="I58">
        <f t="array" ref="I58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58">
        <f t="array" ref="N58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58">
        <f t="array" ref="S58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58">
        <f t="array" ref="X58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58">
        <f t="array" ref="AC58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58">
        <f t="array" ref="AH58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58">
        <f t="array" ref="AM58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58">
        <f t="array" ref="AR58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59" spans="9:44">
      <c r="I59">
        <f t="array" ref="I59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59">
        <f t="array" ref="N59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59">
        <f t="array" ref="S59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59">
        <f t="array" ref="X59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59">
        <f t="array" ref="AC59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59">
        <f t="array" ref="AH59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59">
        <f t="array" ref="AM59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59">
        <f t="array" ref="AR59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60" spans="9:44">
      <c r="I60">
        <f t="array" ref="I60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60">
        <f t="array" ref="N60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60">
        <f t="array" ref="S60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60">
        <f t="array" ref="X60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60">
        <f t="array" ref="AC60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60">
        <f t="array" ref="AH60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60">
        <f t="array" ref="AM60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60">
        <f t="array" ref="AR60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61" spans="9:44">
      <c r="I61">
        <f t="array" ref="I61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61">
        <f t="array" ref="N61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61">
        <f t="array" ref="S61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61">
        <f t="array" ref="X61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61">
        <f t="array" ref="AC61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61">
        <f t="array" ref="AH61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61">
        <f t="array" ref="AM61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61">
        <f t="array" ref="AR61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62" spans="9:44">
      <c r="I62">
        <f t="array" ref="I62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62">
        <f t="array" ref="N62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62">
        <f t="array" ref="S62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62">
        <f t="array" ref="X62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62">
        <f t="array" ref="AC62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62">
        <f t="array" ref="AH62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62">
        <f t="array" ref="AM62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62">
        <f t="array" ref="AR62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63" spans="9:44">
      <c r="I63">
        <f t="array" ref="I63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63">
        <f t="array" ref="N63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63">
        <f t="array" ref="S63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63">
        <f t="array" ref="X63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63">
        <f t="array" ref="AC63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63">
        <f t="array" ref="AH63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63">
        <f t="array" ref="AM63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63">
        <f t="array" ref="AR63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64" spans="9:44">
      <c r="I64">
        <f t="array" ref="I64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64">
        <f t="array" ref="N64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64">
        <f t="array" ref="S64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64">
        <f t="array" ref="X64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64">
        <f t="array" ref="AC64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64">
        <f t="array" ref="AH64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64">
        <f t="array" ref="AM64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64">
        <f t="array" ref="AR64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65" spans="9:44">
      <c r="I65">
        <f t="array" ref="I65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65">
        <f t="array" ref="N65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65">
        <f t="array" ref="S65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65">
        <f t="array" ref="X65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65">
        <f t="array" ref="AC65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65">
        <f t="array" ref="AH65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65">
        <f t="array" ref="AM65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65">
        <f t="array" ref="AR65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66" spans="9:44">
      <c r="I66">
        <f t="array" ref="I66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66">
        <f t="array" ref="N66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66">
        <f t="array" ref="S66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66">
        <f t="array" ref="X66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66">
        <f t="array" ref="AC66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66">
        <f t="array" ref="AH66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66">
        <f t="array" ref="AM66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66">
        <f t="array" ref="AR66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67" spans="9:44">
      <c r="I67">
        <f t="array" ref="I67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67">
        <f t="array" ref="N67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67">
        <f t="array" ref="S67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67">
        <f t="array" ref="X67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67">
        <f t="array" ref="AC67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67">
        <f t="array" ref="AH67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67">
        <f t="array" ref="AM67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67">
        <f t="array" ref="AR67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68" spans="9:44">
      <c r="I68">
        <f t="array" ref="I68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68">
        <f t="array" ref="N68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68">
        <f t="array" ref="S68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68">
        <f t="array" ref="X68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68">
        <f t="array" ref="AC68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68">
        <f t="array" ref="AH68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68">
        <f t="array" ref="AM68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68">
        <f t="array" ref="AR68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69" spans="9:44">
      <c r="I69">
        <f t="array" ref="I69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69">
        <f t="array" ref="N69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69">
        <f t="array" ref="S69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69">
        <f t="array" ref="X69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69">
        <f t="array" ref="AC69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69">
        <f t="array" ref="AH69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69">
        <f t="array" ref="AM69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69">
        <f t="array" ref="AR69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70" spans="9:44">
      <c r="I70">
        <f t="array" ref="I70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70">
        <f t="array" ref="N70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70">
        <f t="array" ref="S70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70">
        <f t="array" ref="X70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70">
        <f t="array" ref="AC70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70">
        <f t="array" ref="AH70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70">
        <f t="array" ref="AM70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70">
        <f t="array" ref="AR70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71" spans="9:44">
      <c r="I71">
        <f t="array" ref="I71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71">
        <f t="array" ref="N71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71">
        <f t="array" ref="S71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71">
        <f t="array" ref="X71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71">
        <f t="array" ref="AC71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71">
        <f t="array" ref="AH71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71">
        <f t="array" ref="AM71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71">
        <f t="array" ref="AR71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72" spans="9:44">
      <c r="I72">
        <f t="array" ref="I72">IFERROR(CONCATENATE(INDEX(L7:L38,SMALL(IF(ISNUMBER(I7:I38),IF(I7:I38&gt;0,IF(L7:L38&lt;&gt;"",ROW(I7:I38)-MIN(ROW(I7:I38))+1))),ROW()-ROW(A$41)+1)),",",TEXT(INDEX(I7:I38,SMALL(IF(ISNUMBER(I7:I38),IF(I7:I38&gt;0,IF(L7:L38&lt;&gt;"",ROW(I7:I38)-MIN(ROW(I7:I38))+1))),ROW()-ROW(A$41)+1)),"##0"),",",SUBSTITUTE(INDEX(IF(PURCHASE_DESCRIPTION&lt;&gt;"",PURCHASE_DESCRIPTION&amp;":","")&amp;A7:A38,SMALL(IF(ISNUMBER(I7:I38),IF(I7:I38&gt;0,IF(L7:L38&lt;&gt;"",ROW(I7:I38)-MIN(ROW(I7:I38))+1))),ROW()-ROW(A$41)+1)),",",";")),"")</f>
        <v>0</v>
      </c>
      <c r="N72">
        <f t="array" ref="N72">IFERROR(CONCATENATE(TEXT(INDEX(N7:N38,SMALL(IF(ISNUMBER(N7:N38),IF(N7:N38&gt;0,IF(Q7:Q38&lt;&gt;"",ROW(N7:N38)-MIN(ROW(N7:N38))+1))),ROW()-ROW(A$41)+1)),"##0"),",",INDEX(Q7:Q38,SMALL(IF(ISNUMBER(N7:N38),IF(N7:N38&gt;0,IF(Q7:Q38&lt;&gt;"",ROW(N7:N38)-MIN(ROW(N7:N38))+1))),ROW()-ROW(A$41)+1)),",",SUBSTITUTE(INDEX(IF(PURCHASE_DESCRIPTION&lt;&gt;"",PURCHASE_DESCRIPTION&amp;":","")&amp;A7:A38,SMALL(IF(ISNUMBER(N7:N38),IF(N7:N38&gt;0,IF(Q7:Q38&lt;&gt;"",ROW(N7:N38)-MIN(ROW(N7:N38))+1))),ROW()-ROW(A$41)+1)),",",";")),"")</f>
        <v>0</v>
      </c>
      <c r="S72">
        <f t="array" ref="S72">IFERROR(CONCATENATE(INDEX(V7:V38,SMALL(IF(ISNUMBER(S7:S38),IF(S7:S38&gt;0,IF(V7:V38&lt;&gt;"",ROW(S7:S38)-MIN(ROW(S7:S38))+1))),ROW()-ROW(A$41)+1))," ",TEXT(INDEX(S7:S38,SMALL(IF(ISNUMBER(S7:S38),IF(S7:S38&gt;0,IF(V7:V38&lt;&gt;"",ROW(S7:S38)-MIN(ROW(S7:S38))+1))),ROW()-ROW(A$41)+1)),"##0")," ",SUBSTITUTE(INDEX(IF(PURCHASE_DESCRIPTION&lt;&gt;"",PURCHASE_DESCRIPTION&amp;":","")&amp;A7:A38,SMALL(IF(ISNUMBER(S7:S38),IF(S7:S38&gt;0,IF(V7:V38&lt;&gt;"",ROW(S7:S38)-MIN(ROW(S7:S38))+1))),ROW()-ROW(A$41)+1))," ",";")),"")</f>
        <v>0</v>
      </c>
      <c r="X72">
        <f t="array" ref="X72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  <c r="AC72">
        <f t="array" ref="AC72">IFERROR(CONCATENATE(INDEX(AF7:AF38,SMALL(IF(ISNUMBER(AC7:AC38),IF(AC7:AC38&gt;0,IF(AF7:AF38&lt;&gt;"",ROW(AC7:AC38)-MIN(ROW(AC7:AC38))+1))),ROW()-ROW(A$41)+1)),"|",TEXT(INDEX(AC7:AC38,SMALL(IF(ISNUMBER(AC7:AC38),IF(AC7:AC38&gt;0,IF(AF7:AF38&lt;&gt;"",ROW(AC7:AC38)-MIN(ROW(AC7:AC38))+1))),ROW()-ROW(A$41)+1)),"##0"),"|",SUBSTITUTE(SUBSTITUTE(INDEX(IF(PURCHASE_DESCRIPTION&lt;&gt;"",PURCHASE_DESCRIPTION&amp;":","")&amp;A7:A38,SMALL(IF(ISNUMBER(AC7:AC38),IF(AC7:AC38&gt;0,IF(AF7:AF38&lt;&gt;"",ROW(AC7:AC38)-MIN(ROW(AC7:AC38))+1))),ROW()-ROW(A$41)+1)),"|",";")," ","_")),"")</f>
        <v>0</v>
      </c>
      <c r="AH72">
        <f t="array" ref="AH72">IFERROR(CONCATENATE(INDEX(AK7:AK38,SMALL(IF(ISNUMBER(AH7:AH38),IF(AH7:AH38&gt;0,IF(AK7:AK38&lt;&gt;"",ROW(AH7:AH38)-MIN(ROW(AH7:AH38))+1))),ROW()-ROW(A$41)+1)),",",TEXT(INDEX(AH7:AH38,SMALL(IF(ISNUMBER(AH7:AH38),IF(AH7:AH38&gt;0,IF(AK7:AK38&lt;&gt;"",ROW(AH7:AH38)-MIN(ROW(AH7:AH38))+1))),ROW()-ROW(A$41)+1)),"##0"),",",SUBSTITUTE(INDEX(IF(PURCHASE_DESCRIPTION&lt;&gt;"",PURCHASE_DESCRIPTION&amp;":","")&amp;A7:A38,SMALL(IF(ISNUMBER(AH7:AH38),IF(AH7:AH38&gt;0,IF(AK7:AK38&lt;&gt;"",ROW(AH7:AH38)-MIN(ROW(AH7:AH38))+1))),ROW()-ROW(A$41)+1)),",",";")),"")</f>
        <v>0</v>
      </c>
      <c r="AM72">
        <f t="array" ref="AM72">IFERROR(CONCATENATE(INDEX(AP7:AP38,SMALL(IF(ISNUMBER(AM7:AM38),IF(AM7:AM38&gt;0,IF(AP7:AP38&lt;&gt;"",ROW(AM7:AM38)-MIN(ROW(AM7:AM38))+1))),ROW()-ROW(A$41)+1))," ",TEXT(INDEX(AM7:AM38,SMALL(IF(ISNUMBER(AM7:AM38),IF(AM7:AM38&gt;0,IF(AP7:AP38&lt;&gt;"",ROW(AM7:AM38)-MIN(ROW(AM7:AM38))+1))),ROW()-ROW(A$41)+1)),"##0")," ",SUBSTITUTE(INDEX(IF(PURCHASE_DESCRIPTION&lt;&gt;"",PURCHASE_DESCRIPTION&amp;":","")&amp;A7:A38,SMALL(IF(ISNUMBER(AM7:AM38),IF(AM7:AM38&gt;0,IF(AP7:AP38&lt;&gt;"",ROW(AM7:AM38)-MIN(ROW(AM7:AM38))+1))),ROW()-ROW(A$41)+1))," ",";")),"")</f>
        <v>0</v>
      </c>
      <c r="AR72">
        <f t="array" ref="AR72">IFERROR(CONCATENATE(INDEX(AU7:AU38,SMALL(IF(ISNUMBER(AR7:AR38),IF(AR7:AR38&gt;0,IF(AU7:AU38&lt;&gt;"",ROW(AR7:AR38)-MIN(ROW(AR7:AR38))+1))),ROW()-ROW(A$41)+1))," ",TEXT(INDEX(AR7:AR38,SMALL(IF(ISNUMBER(AR7:AR38),IF(AR7:AR38&gt;0,IF(AU7:AU38&lt;&gt;"",ROW(AR7:AR38)-MIN(ROW(AR7:AR38))+1))),ROW()-ROW(A$41)+1)),"##0")," ",SUBSTITUTE(INDEX(IF(PURCHASE_DESCRIPTION&lt;&gt;"",PURCHASE_DESCRIPTION&amp;":","")&amp;A7:A38,SMALL(IF(ISNUMBER(AR7:AR38),IF(AR7:AR38&gt;0,IF(AU7:AU38&lt;&gt;"",ROW(AR7:AR38)-MIN(ROW(AR7:AR38))+1))),ROW()-ROW(A$41)+1))," ",";")),"")</f>
        <v>0</v>
      </c>
    </row>
    <row r="73" spans="9:44">
      <c r="X73">
        <f t="array" ref="X73">IFERROR(CONCATENATE(TEXT(INDEX(X7:X38,SMALL(IF(ISNUMBER(X7:X38),IF(X7:X38&gt;0,IF(AA7:AA38&lt;&gt;"",ROW(X7:X38)-MIN(ROW(X7:X38))+1))),ROW()-ROW(A$42)+1)),"##0"),",",SUBSTITUTE(INDEX(IF(PURCHASE_DESCRIPTION&lt;&gt;"",PURCHASE_DESCRIPTION&amp;":","")&amp;A7:A38,SMALL(IF(ISNUMBER(X7:X38),IF(X7:X38&gt;0,IF(AA7:AA38&lt;&gt;"",ROW(X7:X38)-MIN(ROW(X7:X38))+1))),ROW()-ROW(A$42)+1)),",",";"),",",SUBSTITUTE(INDEX(IF(PURCHASE_DESCRIPTION&lt;&gt;"",PURCHASE_DESCRIPTION&amp;":","")&amp;C7:C38,SMALL(IF(ISNUMBER(X7:X38),IF(X7:X38&gt;0,IF(AA7:AA38&lt;&gt;"",ROW(X7:X38)-MIN(ROW(X7:X38))+1))),ROW()-ROW(A$42)+1)),",",";"),",",INDEX(AA7:AA38,SMALL(IF(ISNUMBER(X7:X38),IF(X7:X38&gt;0,IF(AA7:AA38&lt;&gt;"",ROW(X7:X38)-MIN(ROW(X7:X38))+1))),ROW()-ROW(A$42)+1))),"")</f>
        <v>0</v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AB26">
    <cfRule type="cellIs" dxfId="1" priority="222" operator="equal">
      <formula>0</formula>
    </cfRule>
    <cfRule type="cellIs" dxfId="2" priority="223" operator="lessThan">
      <formula>E26</formula>
    </cfRule>
  </conditionalFormatting>
  <conditionalFormatting sqref="AB28">
    <cfRule type="cellIs" dxfId="1" priority="227" operator="equal">
      <formula>0</formula>
    </cfRule>
    <cfRule type="cellIs" dxfId="2" priority="228" operator="lessThan">
      <formula>E28</formula>
    </cfRule>
  </conditionalFormatting>
  <conditionalFormatting sqref="AB37">
    <cfRule type="cellIs" dxfId="1" priority="232" operator="equal">
      <formula>0</formula>
    </cfRule>
    <cfRule type="cellIs" dxfId="2" priority="233" operator="lessThan">
      <formula>E37</formula>
    </cfRule>
  </conditionalFormatting>
  <conditionalFormatting sqref="AC26">
    <cfRule type="cellIs" dxfId="1" priority="224" operator="greaterThan">
      <formula>AB26</formula>
    </cfRule>
  </conditionalFormatting>
  <conditionalFormatting sqref="AC28">
    <cfRule type="cellIs" dxfId="1" priority="229" operator="greaterThan">
      <formula>AB28</formula>
    </cfRule>
  </conditionalFormatting>
  <conditionalFormatting sqref="AC37">
    <cfRule type="cellIs" dxfId="1" priority="234" operator="greaterThan">
      <formula>AB37</formula>
    </cfRule>
  </conditionalFormatting>
  <conditionalFormatting sqref="AD26">
    <cfRule type="cellIs" dxfId="4" priority="226" operator="lessThanOrEqual">
      <formula>F26</formula>
    </cfRule>
  </conditionalFormatting>
  <conditionalFormatting sqref="AD28">
    <cfRule type="cellIs" dxfId="4" priority="231" operator="lessThanOrEqual">
      <formula>F28</formula>
    </cfRule>
  </conditionalFormatting>
  <conditionalFormatting sqref="AD37">
    <cfRule type="cellIs" dxfId="4" priority="236" operator="lessThanOrEqual">
      <formula>F37</formula>
    </cfRule>
  </conditionalFormatting>
  <conditionalFormatting sqref="AE26">
    <cfRule type="cellIs" dxfId="4" priority="225" operator="lessThanOrEqual">
      <formula>G26</formula>
    </cfRule>
  </conditionalFormatting>
  <conditionalFormatting sqref="AE28">
    <cfRule type="cellIs" dxfId="4" priority="230" operator="lessThanOrEqual">
      <formula>G28</formula>
    </cfRule>
  </conditionalFormatting>
  <conditionalFormatting sqref="AE37">
    <cfRule type="cellIs" dxfId="4" priority="235" operator="lessThanOrEqual">
      <formula>G37</formula>
    </cfRule>
  </conditionalFormatting>
  <conditionalFormatting sqref="AG12">
    <cfRule type="cellIs" dxfId="1" priority="237" operator="equal">
      <formula>0</formula>
    </cfRule>
    <cfRule type="cellIs" dxfId="2" priority="238" operator="lessThan">
      <formula>E12</formula>
    </cfRule>
  </conditionalFormatting>
  <conditionalFormatting sqref="AG14">
    <cfRule type="cellIs" dxfId="1" priority="242" operator="equal">
      <formula>0</formula>
    </cfRule>
    <cfRule type="cellIs" dxfId="2" priority="243" operator="lessThan">
      <formula>E14</formula>
    </cfRule>
  </conditionalFormatting>
  <conditionalFormatting sqref="AG15">
    <cfRule type="cellIs" dxfId="1" priority="247" operator="equal">
      <formula>0</formula>
    </cfRule>
    <cfRule type="cellIs" dxfId="2" priority="248" operator="lessThan">
      <formula>E15</formula>
    </cfRule>
  </conditionalFormatting>
  <conditionalFormatting sqref="AG26">
    <cfRule type="cellIs" dxfId="1" priority="252" operator="equal">
      <formula>0</formula>
    </cfRule>
    <cfRule type="cellIs" dxfId="2" priority="253" operator="lessThan">
      <formula>E26</formula>
    </cfRule>
  </conditionalFormatting>
  <conditionalFormatting sqref="AG28">
    <cfRule type="cellIs" dxfId="1" priority="257" operator="equal">
      <formula>0</formula>
    </cfRule>
    <cfRule type="cellIs" dxfId="2" priority="258" operator="lessThan">
      <formula>E28</formula>
    </cfRule>
  </conditionalFormatting>
  <conditionalFormatting sqref="AG37">
    <cfRule type="cellIs" dxfId="1" priority="263" operator="equal">
      <formula>0</formula>
    </cfRule>
    <cfRule type="cellIs" dxfId="2" priority="264" operator="lessThan">
      <formula>E37</formula>
    </cfRule>
  </conditionalFormatting>
  <conditionalFormatting sqref="AH12">
    <cfRule type="cellIs" dxfId="1" priority="239" operator="greaterThan">
      <formula>AG12</formula>
    </cfRule>
  </conditionalFormatting>
  <conditionalFormatting sqref="AH14">
    <cfRule type="cellIs" dxfId="1" priority="244" operator="greaterThan">
      <formula>AG14</formula>
    </cfRule>
  </conditionalFormatting>
  <conditionalFormatting sqref="AH15">
    <cfRule type="cellIs" dxfId="1" priority="249" operator="greaterThan">
      <formula>AG15</formula>
    </cfRule>
  </conditionalFormatting>
  <conditionalFormatting sqref="AH26">
    <cfRule type="cellIs" dxfId="1" priority="254" operator="greaterThan">
      <formula>AG26</formula>
    </cfRule>
  </conditionalFormatting>
  <conditionalFormatting sqref="AH28">
    <cfRule type="expression" dxfId="3" priority="259">
      <formula>AND(AH28&gt;0,AH28&lt;10000)</formula>
    </cfRule>
    <cfRule type="cellIs" dxfId="1" priority="260" operator="greaterThan">
      <formula>AG28</formula>
    </cfRule>
  </conditionalFormatting>
  <conditionalFormatting sqref="AH37">
    <cfRule type="cellIs" dxfId="1" priority="265" operator="greaterThan">
      <formula>AG37</formula>
    </cfRule>
  </conditionalFormatting>
  <conditionalFormatting sqref="AI12">
    <cfRule type="cellIs" dxfId="4" priority="241" operator="lessThanOrEqual">
      <formula>F12</formula>
    </cfRule>
  </conditionalFormatting>
  <conditionalFormatting sqref="AI14">
    <cfRule type="cellIs" dxfId="4" priority="246" operator="lessThanOrEqual">
      <formula>F14</formula>
    </cfRule>
  </conditionalFormatting>
  <conditionalFormatting sqref="AI15">
    <cfRule type="cellIs" dxfId="4" priority="251" operator="lessThanOrEqual">
      <formula>F15</formula>
    </cfRule>
  </conditionalFormatting>
  <conditionalFormatting sqref="AI26">
    <cfRule type="cellIs" dxfId="4" priority="256" operator="lessThanOrEqual">
      <formula>F26</formula>
    </cfRule>
  </conditionalFormatting>
  <conditionalFormatting sqref="AI28">
    <cfRule type="cellIs" dxfId="4" priority="262" operator="lessThanOrEqual">
      <formula>F28</formula>
    </cfRule>
  </conditionalFormatting>
  <conditionalFormatting sqref="AI37">
    <cfRule type="cellIs" dxfId="4" priority="267" operator="lessThanOrEqual">
      <formula>F37</formula>
    </cfRule>
  </conditionalFormatting>
  <conditionalFormatting sqref="AJ12">
    <cfRule type="cellIs" dxfId="4" priority="240" operator="lessThanOrEqual">
      <formula>G12</formula>
    </cfRule>
  </conditionalFormatting>
  <conditionalFormatting sqref="AJ14">
    <cfRule type="cellIs" dxfId="4" priority="245" operator="lessThanOrEqual">
      <formula>G14</formula>
    </cfRule>
  </conditionalFormatting>
  <conditionalFormatting sqref="AJ15">
    <cfRule type="cellIs" dxfId="4" priority="250" operator="lessThanOrEqual">
      <formula>G15</formula>
    </cfRule>
  </conditionalFormatting>
  <conditionalFormatting sqref="AJ26">
    <cfRule type="cellIs" dxfId="4" priority="255" operator="lessThanOrEqual">
      <formula>G26</formula>
    </cfRule>
  </conditionalFormatting>
  <conditionalFormatting sqref="AJ28">
    <cfRule type="cellIs" dxfId="4" priority="261" operator="lessThanOrEqual">
      <formula>G28</formula>
    </cfRule>
  </conditionalFormatting>
  <conditionalFormatting sqref="AJ37">
    <cfRule type="cellIs" dxfId="4" priority="266" operator="lessThanOrEqual">
      <formula>G37</formula>
    </cfRule>
  </conditionalFormatting>
  <conditionalFormatting sqref="AL10">
    <cfRule type="cellIs" dxfId="1" priority="268" operator="equal">
      <formula>0</formula>
    </cfRule>
    <cfRule type="cellIs" dxfId="2" priority="269" operator="lessThan">
      <formula>E10</formula>
    </cfRule>
  </conditionalFormatting>
  <conditionalFormatting sqref="AL12">
    <cfRule type="cellIs" dxfId="1" priority="274" operator="equal">
      <formula>0</formula>
    </cfRule>
    <cfRule type="cellIs" dxfId="2" priority="275" operator="lessThan">
      <formula>E12</formula>
    </cfRule>
  </conditionalFormatting>
  <conditionalFormatting sqref="AL28">
    <cfRule type="cellIs" dxfId="1" priority="280" operator="equal">
      <formula>0</formula>
    </cfRule>
    <cfRule type="cellIs" dxfId="2" priority="281" operator="lessThan">
      <formula>E28</formula>
    </cfRule>
  </conditionalFormatting>
  <conditionalFormatting sqref="AM10">
    <cfRule type="expression" dxfId="3" priority="270">
      <formula>AND(AM10&gt;0,AM10&lt;10000)</formula>
    </cfRule>
    <cfRule type="cellIs" dxfId="1" priority="271" operator="greaterThan">
      <formula>AL10</formula>
    </cfRule>
  </conditionalFormatting>
  <conditionalFormatting sqref="AM12">
    <cfRule type="expression" dxfId="3" priority="276">
      <formula>AND(AM12&gt;0,AM12&lt;10000)</formula>
    </cfRule>
    <cfRule type="cellIs" dxfId="1" priority="277" operator="greaterThan">
      <formula>AL12</formula>
    </cfRule>
  </conditionalFormatting>
  <conditionalFormatting sqref="AM28">
    <cfRule type="expression" dxfId="3" priority="282">
      <formula>AND(AM28&gt;0,AM28&lt;10)</formula>
    </cfRule>
    <cfRule type="cellIs" dxfId="1" priority="283" operator="greaterThan">
      <formula>AL28</formula>
    </cfRule>
  </conditionalFormatting>
  <conditionalFormatting sqref="AN10">
    <cfRule type="cellIs" dxfId="4" priority="273" operator="lessThanOrEqual">
      <formula>F10</formula>
    </cfRule>
  </conditionalFormatting>
  <conditionalFormatting sqref="AN12">
    <cfRule type="cellIs" dxfId="4" priority="279" operator="lessThanOrEqual">
      <formula>F12</formula>
    </cfRule>
  </conditionalFormatting>
  <conditionalFormatting sqref="AN28">
    <cfRule type="cellIs" dxfId="4" priority="285" operator="lessThanOrEqual">
      <formula>F28</formula>
    </cfRule>
  </conditionalFormatting>
  <conditionalFormatting sqref="AO10">
    <cfRule type="cellIs" dxfId="4" priority="272" operator="lessThanOrEqual">
      <formula>G10</formula>
    </cfRule>
  </conditionalFormatting>
  <conditionalFormatting sqref="AO12">
    <cfRule type="cellIs" dxfId="4" priority="278" operator="lessThanOrEqual">
      <formula>G12</formula>
    </cfRule>
  </conditionalFormatting>
  <conditionalFormatting sqref="AO28">
    <cfRule type="cellIs" dxfId="4" priority="284" operator="lessThanOrEqual">
      <formula>G28</formula>
    </cfRule>
  </conditionalFormatting>
  <conditionalFormatting sqref="AQ10">
    <cfRule type="cellIs" dxfId="1" priority="286" operator="equal">
      <formula>0</formula>
    </cfRule>
    <cfRule type="cellIs" dxfId="2" priority="287" operator="lessThan">
      <formula>E10</formula>
    </cfRule>
  </conditionalFormatting>
  <conditionalFormatting sqref="AQ12">
    <cfRule type="cellIs" dxfId="1" priority="292" operator="equal">
      <formula>0</formula>
    </cfRule>
    <cfRule type="cellIs" dxfId="2" priority="293" operator="lessThan">
      <formula>E12</formula>
    </cfRule>
  </conditionalFormatting>
  <conditionalFormatting sqref="AQ15">
    <cfRule type="cellIs" dxfId="1" priority="298" operator="equal">
      <formula>0</formula>
    </cfRule>
    <cfRule type="cellIs" dxfId="2" priority="299" operator="lessThan">
      <formula>E15</formula>
    </cfRule>
  </conditionalFormatting>
  <conditionalFormatting sqref="AQ31">
    <cfRule type="cellIs" dxfId="1" priority="304" operator="equal">
      <formula>0</formula>
    </cfRule>
    <cfRule type="cellIs" dxfId="2" priority="305" operator="lessThan">
      <formula>E31</formula>
    </cfRule>
  </conditionalFormatting>
  <conditionalFormatting sqref="AR10">
    <cfRule type="expression" dxfId="3" priority="288">
      <formula>AND(AR10&gt;0,AR10&lt;100)</formula>
    </cfRule>
    <cfRule type="cellIs" dxfId="1" priority="289" operator="greaterThan">
      <formula>AQ10</formula>
    </cfRule>
  </conditionalFormatting>
  <conditionalFormatting sqref="AR12">
    <cfRule type="expression" dxfId="3" priority="294">
      <formula>AND(AR12&gt;0,AR12&lt;100)</formula>
    </cfRule>
    <cfRule type="cellIs" dxfId="1" priority="295" operator="greaterThan">
      <formula>AQ12</formula>
    </cfRule>
  </conditionalFormatting>
  <conditionalFormatting sqref="AR15">
    <cfRule type="expression" dxfId="3" priority="300">
      <formula>AND(AR15&gt;0,AR15&lt;25)</formula>
    </cfRule>
    <cfRule type="cellIs" dxfId="1" priority="301" operator="greaterThan">
      <formula>AQ15</formula>
    </cfRule>
  </conditionalFormatting>
  <conditionalFormatting sqref="AR31">
    <cfRule type="expression" dxfId="3" priority="306">
      <formula>AND(AR31&gt;0,AR31&lt;100)</formula>
    </cfRule>
    <cfRule type="cellIs" dxfId="1" priority="307" operator="greaterThan">
      <formula>AQ31</formula>
    </cfRule>
  </conditionalFormatting>
  <conditionalFormatting sqref="AS10">
    <cfRule type="cellIs" dxfId="4" priority="291" operator="lessThanOrEqual">
      <formula>F10</formula>
    </cfRule>
  </conditionalFormatting>
  <conditionalFormatting sqref="AS12">
    <cfRule type="cellIs" dxfId="4" priority="297" operator="lessThanOrEqual">
      <formula>F12</formula>
    </cfRule>
  </conditionalFormatting>
  <conditionalFormatting sqref="AS15">
    <cfRule type="cellIs" dxfId="4" priority="303" operator="lessThanOrEqual">
      <formula>F15</formula>
    </cfRule>
  </conditionalFormatting>
  <conditionalFormatting sqref="AS31">
    <cfRule type="cellIs" dxfId="4" priority="309" operator="lessThanOrEqual">
      <formula>F31</formula>
    </cfRule>
  </conditionalFormatting>
  <conditionalFormatting sqref="AT10">
    <cfRule type="cellIs" dxfId="4" priority="290" operator="lessThanOrEqual">
      <formula>G10</formula>
    </cfRule>
  </conditionalFormatting>
  <conditionalFormatting sqref="AT12">
    <cfRule type="cellIs" dxfId="4" priority="296" operator="lessThanOrEqual">
      <formula>G12</formula>
    </cfRule>
  </conditionalFormatting>
  <conditionalFormatting sqref="AT15">
    <cfRule type="cellIs" dxfId="4" priority="302" operator="lessThanOrEqual">
      <formula>G15</formula>
    </cfRule>
  </conditionalFormatting>
  <conditionalFormatting sqref="AT31">
    <cfRule type="cellIs" dxfId="4" priority="308" operator="lessThanOrEqual">
      <formula>G31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2">
    <cfRule type="expression" dxfId="0" priority="61">
      <formula>AND(ISBLANK(D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3">
    <cfRule type="expression" dxfId="0" priority="65">
      <formula>AND(ISBLANK(D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4">
    <cfRule type="expression" dxfId="0" priority="69">
      <formula>AND(ISBLANK(D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5">
    <cfRule type="expression" dxfId="0" priority="73">
      <formula>AND(ISBLANK(D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6">
    <cfRule type="expression" dxfId="0" priority="77">
      <formula>AND(ISBLANK(D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7">
    <cfRule type="expression" dxfId="0" priority="81">
      <formula>AND(ISBLANK(D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8">
    <cfRule type="expression" dxfId="0" priority="85">
      <formula>AND(ISBLANK(D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29">
    <cfRule type="expression" dxfId="0" priority="89">
      <formula>AND(ISBLANK(D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0">
    <cfRule type="expression" dxfId="0" priority="93">
      <formula>AND(ISBLANK(D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1">
    <cfRule type="expression" dxfId="0" priority="97">
      <formula>AND(ISBLANK(D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2">
    <cfRule type="expression" dxfId="0" priority="101">
      <formula>AND(ISBLANK(D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3">
    <cfRule type="expression" dxfId="0" priority="105">
      <formula>AND(ISBLANK(D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4">
    <cfRule type="expression" dxfId="0" priority="109">
      <formula>AND(ISBLANK(D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5">
    <cfRule type="expression" dxfId="0" priority="113">
      <formula>AND(ISBLANK(D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6">
    <cfRule type="expression" dxfId="0" priority="117">
      <formula>AND(ISBLANK(D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7">
    <cfRule type="expression" dxfId="0" priority="121">
      <formula>AND(ISBLANK(D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38">
    <cfRule type="expression" dxfId="0" priority="125">
      <formula>AND(ISBLANK(D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0">
    <cfRule type="cellIs" dxfId="1" priority="129" operator="equal">
      <formula>0</formula>
    </cfRule>
    <cfRule type="cellIs" dxfId="2" priority="130" operator="lessThan">
      <formula>E10</formula>
    </cfRule>
  </conditionalFormatting>
  <conditionalFormatting sqref="M12">
    <cfRule type="cellIs" dxfId="1" priority="134" operator="equal">
      <formula>0</formula>
    </cfRule>
    <cfRule type="cellIs" dxfId="2" priority="135" operator="lessThan">
      <formula>E12</formula>
    </cfRule>
  </conditionalFormatting>
  <conditionalFormatting sqref="M14">
    <cfRule type="cellIs" dxfId="1" priority="139" operator="equal">
      <formula>0</formula>
    </cfRule>
    <cfRule type="cellIs" dxfId="2" priority="140" operator="lessThan">
      <formula>E14</formula>
    </cfRule>
  </conditionalFormatting>
  <conditionalFormatting sqref="M15">
    <cfRule type="cellIs" dxfId="1" priority="144" operator="equal">
      <formula>0</formula>
    </cfRule>
    <cfRule type="cellIs" dxfId="2" priority="145" operator="lessThan">
      <formula>E15</formula>
    </cfRule>
  </conditionalFormatting>
  <conditionalFormatting sqref="M26">
    <cfRule type="cellIs" dxfId="1" priority="149" operator="equal">
      <formula>0</formula>
    </cfRule>
    <cfRule type="cellIs" dxfId="2" priority="150" operator="lessThan">
      <formula>E26</formula>
    </cfRule>
  </conditionalFormatting>
  <conditionalFormatting sqref="M28">
    <cfRule type="cellIs" dxfId="1" priority="154" operator="equal">
      <formula>0</formula>
    </cfRule>
    <cfRule type="cellIs" dxfId="2" priority="155" operator="lessThan">
      <formula>E28</formula>
    </cfRule>
  </conditionalFormatting>
  <conditionalFormatting sqref="M37">
    <cfRule type="cellIs" dxfId="1" priority="159" operator="equal">
      <formula>0</formula>
    </cfRule>
    <cfRule type="cellIs" dxfId="2" priority="160" operator="lessThan">
      <formula>E37</formula>
    </cfRule>
  </conditionalFormatting>
  <conditionalFormatting sqref="N10">
    <cfRule type="cellIs" dxfId="1" priority="131" operator="greaterThan">
      <formula>M10</formula>
    </cfRule>
  </conditionalFormatting>
  <conditionalFormatting sqref="N12">
    <cfRule type="cellIs" dxfId="1" priority="136" operator="greaterThan">
      <formula>M12</formula>
    </cfRule>
  </conditionalFormatting>
  <conditionalFormatting sqref="N14">
    <cfRule type="cellIs" dxfId="1" priority="141" operator="greaterThan">
      <formula>M14</formula>
    </cfRule>
  </conditionalFormatting>
  <conditionalFormatting sqref="N15">
    <cfRule type="cellIs" dxfId="1" priority="146" operator="greaterThan">
      <formula>M15</formula>
    </cfRule>
  </conditionalFormatting>
  <conditionalFormatting sqref="N26">
    <cfRule type="cellIs" dxfId="1" priority="151" operator="greaterThan">
      <formula>M26</formula>
    </cfRule>
  </conditionalFormatting>
  <conditionalFormatting sqref="N28">
    <cfRule type="cellIs" dxfId="1" priority="156" operator="greaterThan">
      <formula>M28</formula>
    </cfRule>
  </conditionalFormatting>
  <conditionalFormatting sqref="N37">
    <cfRule type="cellIs" dxfId="1" priority="161" operator="greaterThan">
      <formula>M37</formula>
    </cfRule>
  </conditionalFormatting>
  <conditionalFormatting sqref="O10">
    <cfRule type="cellIs" dxfId="4" priority="133" operator="lessThanOrEqual">
      <formula>F10</formula>
    </cfRule>
  </conditionalFormatting>
  <conditionalFormatting sqref="O12">
    <cfRule type="cellIs" dxfId="4" priority="138" operator="lessThanOrEqual">
      <formula>F12</formula>
    </cfRule>
  </conditionalFormatting>
  <conditionalFormatting sqref="O14">
    <cfRule type="cellIs" dxfId="4" priority="143" operator="lessThanOrEqual">
      <formula>F14</formula>
    </cfRule>
  </conditionalFormatting>
  <conditionalFormatting sqref="O15">
    <cfRule type="cellIs" dxfId="4" priority="148" operator="lessThanOrEqual">
      <formula>F15</formula>
    </cfRule>
  </conditionalFormatting>
  <conditionalFormatting sqref="O26">
    <cfRule type="cellIs" dxfId="4" priority="153" operator="lessThanOrEqual">
      <formula>F26</formula>
    </cfRule>
  </conditionalFormatting>
  <conditionalFormatting sqref="O28">
    <cfRule type="cellIs" dxfId="4" priority="158" operator="lessThanOrEqual">
      <formula>F28</formula>
    </cfRule>
  </conditionalFormatting>
  <conditionalFormatting sqref="O37">
    <cfRule type="cellIs" dxfId="4" priority="163" operator="lessThanOrEqual">
      <formula>F37</formula>
    </cfRule>
  </conditionalFormatting>
  <conditionalFormatting sqref="P10">
    <cfRule type="cellIs" dxfId="4" priority="132" operator="lessThanOrEqual">
      <formula>G10</formula>
    </cfRule>
  </conditionalFormatting>
  <conditionalFormatting sqref="P12">
    <cfRule type="cellIs" dxfId="4" priority="137" operator="lessThanOrEqual">
      <formula>G12</formula>
    </cfRule>
  </conditionalFormatting>
  <conditionalFormatting sqref="P14">
    <cfRule type="cellIs" dxfId="4" priority="142" operator="lessThanOrEqual">
      <formula>G14</formula>
    </cfRule>
  </conditionalFormatting>
  <conditionalFormatting sqref="P15">
    <cfRule type="cellIs" dxfId="4" priority="147" operator="lessThanOrEqual">
      <formula>G15</formula>
    </cfRule>
  </conditionalFormatting>
  <conditionalFormatting sqref="P26">
    <cfRule type="cellIs" dxfId="4" priority="152" operator="lessThanOrEqual">
      <formula>G26</formula>
    </cfRule>
  </conditionalFormatting>
  <conditionalFormatting sqref="P28">
    <cfRule type="cellIs" dxfId="4" priority="157" operator="lessThanOrEqual">
      <formula>G28</formula>
    </cfRule>
  </conditionalFormatting>
  <conditionalFormatting sqref="P37">
    <cfRule type="cellIs" dxfId="4" priority="162" operator="lessThanOrEqual">
      <formula>G37</formula>
    </cfRule>
  </conditionalFormatting>
  <conditionalFormatting sqref="R12">
    <cfRule type="cellIs" dxfId="1" priority="164" operator="equal">
      <formula>0</formula>
    </cfRule>
    <cfRule type="cellIs" dxfId="2" priority="165" operator="lessThan">
      <formula>E12</formula>
    </cfRule>
  </conditionalFormatting>
  <conditionalFormatting sqref="R37">
    <cfRule type="cellIs" dxfId="1" priority="170" operator="equal">
      <formula>0</formula>
    </cfRule>
    <cfRule type="cellIs" dxfId="2" priority="171" operator="lessThan">
      <formula>E37</formula>
    </cfRule>
  </conditionalFormatting>
  <conditionalFormatting sqref="S12">
    <cfRule type="expression" dxfId="3" priority="166">
      <formula>AND(S12&gt;0,S12&lt;10)</formula>
    </cfRule>
    <cfRule type="cellIs" dxfId="1" priority="167" operator="greaterThan">
      <formula>R12</formula>
    </cfRule>
  </conditionalFormatting>
  <conditionalFormatting sqref="S37">
    <cfRule type="cellIs" dxfId="1" priority="172" operator="greaterThan">
      <formula>R37</formula>
    </cfRule>
  </conditionalFormatting>
  <conditionalFormatting sqref="T12">
    <cfRule type="cellIs" dxfId="4" priority="169" operator="lessThanOrEqual">
      <formula>F12</formula>
    </cfRule>
  </conditionalFormatting>
  <conditionalFormatting sqref="T37">
    <cfRule type="cellIs" dxfId="4" priority="174" operator="lessThanOrEqual">
      <formula>F37</formula>
    </cfRule>
  </conditionalFormatting>
  <conditionalFormatting sqref="U12">
    <cfRule type="cellIs" dxfId="4" priority="168" operator="lessThanOrEqual">
      <formula>G12</formula>
    </cfRule>
  </conditionalFormatting>
  <conditionalFormatting sqref="U37">
    <cfRule type="cellIs" dxfId="4" priority="173" operator="lessThanOrEqual">
      <formula>G37</formula>
    </cfRule>
  </conditionalFormatting>
  <conditionalFormatting sqref="W10">
    <cfRule type="cellIs" dxfId="1" priority="175" operator="equal">
      <formula>0</formula>
    </cfRule>
    <cfRule type="cellIs" dxfId="2" priority="176" operator="lessThan">
      <formula>E10</formula>
    </cfRule>
  </conditionalFormatting>
  <conditionalFormatting sqref="W12">
    <cfRule type="cellIs" dxfId="1" priority="181" operator="equal">
      <formula>0</formula>
    </cfRule>
    <cfRule type="cellIs" dxfId="2" priority="182" operator="lessThan">
      <formula>E12</formula>
    </cfRule>
  </conditionalFormatting>
  <conditionalFormatting sqref="W14">
    <cfRule type="cellIs" dxfId="1" priority="187" operator="equal">
      <formula>0</formula>
    </cfRule>
    <cfRule type="cellIs" dxfId="2" priority="188" operator="lessThan">
      <formula>E14</formula>
    </cfRule>
  </conditionalFormatting>
  <conditionalFormatting sqref="W15">
    <cfRule type="cellIs" dxfId="1" priority="193" operator="equal">
      <formula>0</formula>
    </cfRule>
    <cfRule type="cellIs" dxfId="2" priority="194" operator="lessThan">
      <formula>E15</formula>
    </cfRule>
  </conditionalFormatting>
  <conditionalFormatting sqref="W26">
    <cfRule type="cellIs" dxfId="1" priority="199" operator="equal">
      <formula>0</formula>
    </cfRule>
    <cfRule type="cellIs" dxfId="2" priority="200" operator="lessThan">
      <formula>E26</formula>
    </cfRule>
  </conditionalFormatting>
  <conditionalFormatting sqref="W27">
    <cfRule type="cellIs" dxfId="1" priority="205" operator="equal">
      <formula>0</formula>
    </cfRule>
    <cfRule type="cellIs" dxfId="2" priority="206" operator="lessThan">
      <formula>E27</formula>
    </cfRule>
  </conditionalFormatting>
  <conditionalFormatting sqref="W28">
    <cfRule type="cellIs" dxfId="1" priority="211" operator="equal">
      <formula>0</formula>
    </cfRule>
    <cfRule type="cellIs" dxfId="2" priority="212" operator="lessThan">
      <formula>E28</formula>
    </cfRule>
  </conditionalFormatting>
  <conditionalFormatting sqref="W38">
    <cfRule type="cellIs" dxfId="1" priority="217" operator="equal">
      <formula>0</formula>
    </cfRule>
    <cfRule type="cellIs" dxfId="2" priority="218" operator="lessThan">
      <formula>E38</formula>
    </cfRule>
  </conditionalFormatting>
  <conditionalFormatting sqref="X10">
    <cfRule type="expression" dxfId="3" priority="177">
      <formula>AND(X10&gt;0,X10&lt;50)</formula>
    </cfRule>
    <cfRule type="cellIs" dxfId="1" priority="178" operator="greaterThan">
      <formula>W10</formula>
    </cfRule>
  </conditionalFormatting>
  <conditionalFormatting sqref="X12">
    <cfRule type="expression" dxfId="3" priority="183">
      <formula>AND(X12&gt;0,X12&lt;100)</formula>
    </cfRule>
    <cfRule type="cellIs" dxfId="1" priority="184" operator="greaterThan">
      <formula>W12</formula>
    </cfRule>
  </conditionalFormatting>
  <conditionalFormatting sqref="X14">
    <cfRule type="expression" dxfId="3" priority="189">
      <formula>AND(X14&gt;0,X14&lt;50)</formula>
    </cfRule>
    <cfRule type="cellIs" dxfId="1" priority="190" operator="greaterThan">
      <formula>W14</formula>
    </cfRule>
  </conditionalFormatting>
  <conditionalFormatting sqref="X15">
    <cfRule type="expression" dxfId="3" priority="195">
      <formula>AND(X15&gt;0,X15&lt;50)</formula>
    </cfRule>
    <cfRule type="cellIs" dxfId="1" priority="196" operator="greaterThan">
      <formula>W15</formula>
    </cfRule>
  </conditionalFormatting>
  <conditionalFormatting sqref="X26">
    <cfRule type="expression" dxfId="3" priority="201">
      <formula>AND(X26&gt;0,X26&lt;50)</formula>
    </cfRule>
    <cfRule type="cellIs" dxfId="1" priority="202" operator="greaterThan">
      <formula>W26</formula>
    </cfRule>
  </conditionalFormatting>
  <conditionalFormatting sqref="X27">
    <cfRule type="expression" dxfId="3" priority="207">
      <formula>AND(X27&gt;0,X27&lt;100)</formula>
    </cfRule>
    <cfRule type="cellIs" dxfId="1" priority="208" operator="greaterThan">
      <formula>W27</formula>
    </cfRule>
  </conditionalFormatting>
  <conditionalFormatting sqref="X28">
    <cfRule type="expression" dxfId="3" priority="213">
      <formula>AND(X28&gt;0,X28&lt;50)</formula>
    </cfRule>
    <cfRule type="cellIs" dxfId="1" priority="214" operator="greaterThan">
      <formula>W28</formula>
    </cfRule>
  </conditionalFormatting>
  <conditionalFormatting sqref="X38">
    <cfRule type="cellIs" dxfId="1" priority="219" operator="greaterThan">
      <formula>W38</formula>
    </cfRule>
  </conditionalFormatting>
  <conditionalFormatting sqref="Y10">
    <cfRule type="cellIs" dxfId="4" priority="180" operator="lessThanOrEqual">
      <formula>F10</formula>
    </cfRule>
  </conditionalFormatting>
  <conditionalFormatting sqref="Y12">
    <cfRule type="cellIs" dxfId="4" priority="186" operator="lessThanOrEqual">
      <formula>F12</formula>
    </cfRule>
  </conditionalFormatting>
  <conditionalFormatting sqref="Y14">
    <cfRule type="cellIs" dxfId="4" priority="192" operator="lessThanOrEqual">
      <formula>F14</formula>
    </cfRule>
  </conditionalFormatting>
  <conditionalFormatting sqref="Y15">
    <cfRule type="cellIs" dxfId="4" priority="198" operator="lessThanOrEqual">
      <formula>F15</formula>
    </cfRule>
  </conditionalFormatting>
  <conditionalFormatting sqref="Y26">
    <cfRule type="cellIs" dxfId="4" priority="204" operator="lessThanOrEqual">
      <formula>F26</formula>
    </cfRule>
  </conditionalFormatting>
  <conditionalFormatting sqref="Y27">
    <cfRule type="cellIs" dxfId="4" priority="210" operator="lessThanOrEqual">
      <formula>F27</formula>
    </cfRule>
  </conditionalFormatting>
  <conditionalFormatting sqref="Y28">
    <cfRule type="cellIs" dxfId="4" priority="216" operator="lessThanOrEqual">
      <formula>F28</formula>
    </cfRule>
  </conditionalFormatting>
  <conditionalFormatting sqref="Y38">
    <cfRule type="cellIs" dxfId="4" priority="221" operator="lessThanOrEqual">
      <formula>F38</formula>
    </cfRule>
  </conditionalFormatting>
  <conditionalFormatting sqref="Z10">
    <cfRule type="cellIs" dxfId="4" priority="179" operator="lessThanOrEqual">
      <formula>G10</formula>
    </cfRule>
  </conditionalFormatting>
  <conditionalFormatting sqref="Z12">
    <cfRule type="cellIs" dxfId="4" priority="185" operator="lessThanOrEqual">
      <formula>G12</formula>
    </cfRule>
  </conditionalFormatting>
  <conditionalFormatting sqref="Z14">
    <cfRule type="cellIs" dxfId="4" priority="191" operator="lessThanOrEqual">
      <formula>G14</formula>
    </cfRule>
  </conditionalFormatting>
  <conditionalFormatting sqref="Z15">
    <cfRule type="cellIs" dxfId="4" priority="197" operator="lessThanOrEqual">
      <formula>G15</formula>
    </cfRule>
  </conditionalFormatting>
  <conditionalFormatting sqref="Z26">
    <cfRule type="cellIs" dxfId="4" priority="203" operator="lessThanOrEqual">
      <formula>G26</formula>
    </cfRule>
  </conditionalFormatting>
  <conditionalFormatting sqref="Z27">
    <cfRule type="cellIs" dxfId="4" priority="209" operator="lessThanOrEqual">
      <formula>G27</formula>
    </cfRule>
  </conditionalFormatting>
  <conditionalFormatting sqref="Z28">
    <cfRule type="cellIs" dxfId="4" priority="215" operator="lessThanOrEqual">
      <formula>G28</formula>
    </cfRule>
  </conditionalFormatting>
  <conditionalFormatting sqref="Z38">
    <cfRule type="cellIs" dxfId="4" priority="220" operator="lessThanOrEqual">
      <formula>G38</formula>
    </cfRule>
  </conditionalFormatting>
  <hyperlinks>
    <hyperlink ref="B2" r:id="rId1"/>
    <hyperlink ref="D7" r:id="rId2"/>
    <hyperlink ref="Q10" r:id="rId3"/>
    <hyperlink ref="AA10" r:id="rId4"/>
    <hyperlink ref="AP10" r:id="rId5"/>
    <hyperlink ref="AU10" r:id="rId6"/>
    <hyperlink ref="Q12" r:id="rId7"/>
    <hyperlink ref="V12" r:id="rId8"/>
    <hyperlink ref="AA12" r:id="rId9"/>
    <hyperlink ref="AK12" r:id="rId10"/>
    <hyperlink ref="AP12" r:id="rId11"/>
    <hyperlink ref="AU12" r:id="rId12"/>
    <hyperlink ref="Q14" r:id="rId13"/>
    <hyperlink ref="AA14" r:id="rId14"/>
    <hyperlink ref="AK14" r:id="rId15"/>
    <hyperlink ref="Q15" r:id="rId16"/>
    <hyperlink ref="AA15" r:id="rId17"/>
    <hyperlink ref="AK15" r:id="rId18"/>
    <hyperlink ref="AU15" r:id="rId19"/>
    <hyperlink ref="Q26" r:id="rId20"/>
    <hyperlink ref="AA26" r:id="rId21"/>
    <hyperlink ref="AF26" r:id="rId22"/>
    <hyperlink ref="AK26" r:id="rId23"/>
    <hyperlink ref="AA27" r:id="rId24"/>
    <hyperlink ref="Q28" r:id="rId25"/>
    <hyperlink ref="AA28" r:id="rId26"/>
    <hyperlink ref="AF28" r:id="rId27"/>
    <hyperlink ref="AK28" r:id="rId28"/>
    <hyperlink ref="AP28" r:id="rId29"/>
    <hyperlink ref="AU31" r:id="rId30"/>
    <hyperlink ref="D36" r:id="rId31"/>
    <hyperlink ref="D37" r:id="rId32"/>
    <hyperlink ref="Q37" r:id="rId33"/>
    <hyperlink ref="V37" r:id="rId34"/>
    <hyperlink ref="AF37" r:id="rId35"/>
    <hyperlink ref="AK37" r:id="rId36"/>
    <hyperlink ref="AA38" r:id="rId37"/>
  </hyperlinks>
  <pageMargins left="0.7" right="0.7" top="0.75" bottom="0.75" header="0.3" footer="0.3"/>
  <legacy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ProMicro_LORA.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USD_EUR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2020-07-10T20:02:26Z</dcterms:created>
  <dcterms:modified xsi:type="dcterms:W3CDTF">2020-07-10T20:02:26Z</dcterms:modified>
</cp:coreProperties>
</file>