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Micro_CONN. " sheetId="1" r:id="rId1"/>
  </sheets>
  <definedNames>
    <definedName name="arrow_part_data">'ProMicro_CONN. '!$H$5:$L$18</definedName>
    <definedName name="BoardQty">'ProMicro_CONN. '!$G$1</definedName>
    <definedName name="digikey_part_data">'ProMicro_CONN. '!$M$5:$Q$18</definedName>
    <definedName name="farnell_part_data">'ProMicro_CONN. '!$R$5:$V$18</definedName>
    <definedName name="global_part_data">'ProMicro_CONN. '!$A$5:$G$18</definedName>
    <definedName name="lcsc_part_data">'ProMicro_CONN. '!$W$5:$AA$18</definedName>
    <definedName name="mouser_part_data">'ProMicro_CONN. '!$AB$5:$AF$18</definedName>
    <definedName name="newark_part_data">'ProMicro_CONN. '!$AG$5:$AK$18</definedName>
    <definedName name="PURCHASE_DESCRIPTION">'ProMicro_CONN. '!$G$21</definedName>
    <definedName name="rs_part_data">'ProMicro_CONN. '!$AL$5:$AP$18</definedName>
    <definedName name="tme_part_data">'ProMicro_CONN. '!$AQ$5:$AU$18</definedName>
    <definedName name="TotalCost">'ProMicro_CONN. '!$G$3</definedName>
    <definedName name="USD_EUR">'ProMicro_CONN. '!$C$22</definedName>
    <definedName name="USD_GBP">'ProMicro_CONN. '!$C$21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F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P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M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$0.12      $1.15
    50   $0.07      $3.28
   100   $0.05      $5.43
   500   $0.04     $19.04
  1000   $0.03     $31.52
  4000   $0.02     $97.64
  8000   $0.02    $181.60
 12000   $0.02    $258.84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£0.14      £1.36
   100   £0.06      £5.80
   150   £0.06      £8.70
   500   £0.04     £18.80
  1000   £0.03     £29.10
  2000   £0.03     £54.80
  4000   £0.02     £80.00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$0.50
   500   $0.01      $3.64
  1500   $0.01     $10.20
  5000   $0.01     $31.60
 25000   $0.01    $150.00
 50000   $0.01    $297.50</t>
        </r>
      </text>
    </comment>
    <comment ref="AI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$0.03      $0.03
    25   $0.15      $3.78
    50   $0.11      $5.55
   100   $0.07      $7.00
   250   $0.06     $15.00
   500   $0.05     $24.50
  1000   $0.04     $41.00
  4000   $0.02    $100.00
  8000   $0.02    $192.00</t>
        </r>
      </text>
    </comment>
    <comment ref="AS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€0.05      €5.07
  1000   €0.02     €21.30
  4000   €0.01     €56.00
 12000   €0.01    €157.20
 20000   €0.01    €250.00</t>
        </r>
      </text>
    </comment>
    <comment ref="M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$0.07      $0.66
    50   $0.04      $1.80
   100   $0.03      $2.93
   500   $0.02     $10.47
  1000   $0.02     $16.46
  4000   $0.01     $50.08
  8000   $0.01     $91.52
 12000   $0.01    $130.68</t>
        </r>
      </text>
    </comment>
    <comment ref="T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£0.07      £0.68
   100   £0.03      £3.40
   150   £0.03      £5.10
   500   £0.03     £12.75
  1000   £0.02     £22.60
  2000   £0.02     £40.80
  4000   £0.02     £74.40
 20000   £0.01    £292.00</t>
        </r>
      </text>
    </comment>
    <comment ref="AD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$0.49
   100   $0.02      $1.90
  1000   $0.02     $15.00
  4000   $0.01     $40.00
  8000   $0.01     $80.00</t>
        </r>
      </text>
    </comment>
    <comment ref="AI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$0.01      $0.01
    10   $0.13      $1.26
    25   $0.06      $1.55
    50   $0.04      $2.10
   100   $0.02      $2.20
   250   $0.02      $5.00
   500   $0.02      $9.50
  1000   $0.02     $17.00
  4000   $0.01     $48.00</t>
        </r>
      </text>
    </comment>
    <comment ref="AN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4000   £0.01     £32.00
 40000   £0.01    £280.00</t>
        </r>
      </text>
    </comment>
    <comment ref="AS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100   €0.02      €1.58
  1000   €0.01      €8.90
  4000   €0.01     €26.40
 12000   €0.00     €57.84
 40000   €0.00    €187.60</t>
        </r>
      </text>
    </comment>
    <comment ref="M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O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9000   $0.11    $996.30</t>
        </r>
      </text>
    </comment>
    <comment ref="AD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$0.32      $3.25
   100   $0.20     $20.00
  1000   $0.14    $145.00
  3000   $0.11    $333.00
  9000   $0.10    $918.00</t>
        </r>
      </text>
    </comment>
    <comment ref="O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$0.98      $0.98
    10   $0.94      $9.43
    25   $0.88     $22.03
   100   $0.76     $76.50
   250   $0.70    $174.03
   500   $0.65    $322.68
  1000   $0.60    $598.22
  3500   $0.49  $1,730.40
  7000   $0.46  $3,230.08
 10500   $0.43  $4,499.04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£0.91      £0.91
     5   £0.74      £3.68
    10   £0.74      £7.37
    25   £0.85     £21.15
    50   £0.66     £33.00
   100   £0.58     £58.20
   250   £0.64    £161.00
   500   £0.54    £270.50
  1000   £0.41    £414.00</t>
        </r>
      </text>
    </comment>
    <comment ref="Y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$0.26      $2.58
    30   $0.24      $7.25
   100   $0.23     $22.67
   500   $0.22    $110.00
  1000   $0.22    $216.67</t>
        </r>
      </text>
    </comment>
    <comment ref="AD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$0.95      $0.95
    10   $0.83      $8.28
   100   $0.67     $67.20
   500   $0.63    $316.50
  1000   $0.55    $548.00
  3500   $0.49  $1,729.00</t>
        </r>
      </text>
    </comment>
    <comment ref="AI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$1.02      $1.02
    10   $0.98      $9.81
    25   $0.93     $23.22
    50   $0.83     $41.35
   100   $0.76     $75.90
   250   $0.72    $181.00
   500   $0.71    $353.50
  1000   $0.57    $571.00</t>
        </r>
      </text>
    </comment>
    <comment ref="O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$0.98      $0.98
    10   $0.94      $9.43
    25   $0.88     $22.03
   100   $0.76     $76.50
   250   $0.70    $174.03
   500   $0.65    $322.68
  1000   $0.60    $598.22
  3500   $0.49  $1,730.40
  7000   $0.46  $3,230.08
 10500   $0.43  $4,499.04</t>
        </r>
      </text>
    </comment>
    <comment ref="T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£0.91      £0.91
     5   £0.74      £3.68
    10   £0.74      £7.37
    25   £0.85     £21.15
    50   £0.66     £33.00
   100   £0.58     £58.20
   250   £0.64    £161.00
   500   £0.54    £270.50
  1000   £0.41    £414.00</t>
        </r>
      </text>
    </comment>
    <comment ref="Y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$0.26      $2.58
    30   $0.24      $7.25
   100   $0.23     $22.67
   500   $0.22    $110.00
  1000   $0.22    $216.67</t>
        </r>
      </text>
    </comment>
    <comment ref="AD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$0.95      $0.95
    10   $0.83      $8.28
   100   $0.67     $67.20
   500   $0.63    $316.50
  1000   $0.55    $548.00
  3500   $0.49  $1,729.00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$1.02      $1.02
    10   $0.98      $9.81
    25   $0.93     $23.22
    50   $0.83     $41.35
   100   $0.76     $75.90
   250   $0.72    $181.00
   500   $0.71    $353.50
  1000   $0.57    $571.00</t>
        </r>
      </text>
    </comment>
    <comment ref="F2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I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M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R2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F2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X21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<sst xmlns="http://schemas.openxmlformats.org/spreadsheetml/2006/main" count="166" uniqueCount="93">
  <si>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</si>
  <si>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</si>
  <si>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</si>
  <si>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</si>
  <si>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</si>
  <si>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</si>
  <si>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</si>
  <si>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</si>
  <si>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A1</t>
  </si>
  <si>
    <t>Sparkfun_Pro_Micro_3V3</t>
  </si>
  <si>
    <t>Sparkfun_Pro_Micro</t>
  </si>
  <si>
    <t>https://www.sparkfun.com/products/12587</t>
  </si>
  <si>
    <t>C1,C2</t>
  </si>
  <si>
    <t>1µ</t>
  </si>
  <si>
    <t>C_0603_1608Metric</t>
  </si>
  <si>
    <t>CL10A105KB8NNNC</t>
  </si>
  <si>
    <t>C3</t>
  </si>
  <si>
    <t>100n</t>
  </si>
  <si>
    <t>CC0603KRX7R9BB104</t>
  </si>
  <si>
    <t>D1</t>
  </si>
  <si>
    <t>LED</t>
  </si>
  <si>
    <t>LED_0603_1608Metric</t>
  </si>
  <si>
    <t>19-217/GHC-YR1S2/3T</t>
  </si>
  <si>
    <t>J1</t>
  </si>
  <si>
    <t>AVR-JTAG-10</t>
  </si>
  <si>
    <t>IDC-Header_2x05_P2.54mm_Vertical</t>
  </si>
  <si>
    <t>J2</t>
  </si>
  <si>
    <t>UEXT_Host</t>
  </si>
  <si>
    <t>UEXT</t>
  </si>
  <si>
    <t>https://www.olimex.com/Products/Modules/UEXT/resources/UEXT_rev_B.pdf</t>
  </si>
  <si>
    <t>J3</t>
  </si>
  <si>
    <t>Display</t>
  </si>
  <si>
    <t>PinHeader_1x04_P2.54mm_Vertical</t>
  </si>
  <si>
    <t>LOGO1</t>
  </si>
  <si>
    <t>Logo_Open_Hardware_Small</t>
  </si>
  <si>
    <t>OSHW-Logo2_7.3x6mm_SilkScreen</t>
  </si>
  <si>
    <t>R8</t>
  </si>
  <si>
    <t>1k</t>
  </si>
  <si>
    <t>R_0603_1608Metric</t>
  </si>
  <si>
    <t>R1-R7,R9</t>
  </si>
  <si>
    <t>4k7</t>
  </si>
  <si>
    <t>0603WAF4701T5E</t>
  </si>
  <si>
    <t>SW1</t>
  </si>
  <si>
    <t>reset</t>
  </si>
  <si>
    <t>SW_SPST_B3U-1000P</t>
  </si>
  <si>
    <t>B3U-1000P</t>
  </si>
  <si>
    <t>SW2</t>
  </si>
  <si>
    <t>user</t>
  </si>
  <si>
    <t>Total Purchase:</t>
  </si>
  <si>
    <t>Purchase description:</t>
  </si>
  <si>
    <t>Used currency rates:</t>
  </si>
  <si>
    <t>USD($)/GBP(£):</t>
  </si>
  <si>
    <t>USD($)/EUR(€):</t>
  </si>
  <si>
    <t>Prj:</t>
  </si>
  <si>
    <t xml:space="preserve"> ProMicro_CONN</t>
  </si>
  <si>
    <t>Co.:</t>
  </si>
  <si>
    <t>https://github.com/nerdyscout/ProMicro_CONN</t>
  </si>
  <si>
    <t>Prj date:</t>
  </si>
  <si>
    <t>Sat Jul 11 08:05:36 2020</t>
  </si>
  <si>
    <t>Board Qty:</t>
  </si>
  <si>
    <t>Total Cost:</t>
  </si>
  <si>
    <t>Unit Cost:</t>
  </si>
  <si>
    <t>$ date:</t>
  </si>
  <si>
    <t>2020-07-11 08:05:43</t>
  </si>
  <si>
    <t>Arrow</t>
  </si>
  <si>
    <t>Avail</t>
  </si>
  <si>
    <t>Purch</t>
  </si>
  <si>
    <t>Cat#</t>
  </si>
  <si>
    <t>Digi-Key</t>
  </si>
  <si>
    <t>1276-1860-1-ND</t>
  </si>
  <si>
    <t>NonStk</t>
  </si>
  <si>
    <t>311-1344-1-ND</t>
  </si>
  <si>
    <t>19-217/GHC-YR1S2/3T-ND</t>
  </si>
  <si>
    <t>SW1020CT-ND</t>
  </si>
  <si>
    <t>Farnell</t>
  </si>
  <si>
    <t>3013383</t>
  </si>
  <si>
    <t>1362556</t>
  </si>
  <si>
    <t>2500851</t>
  </si>
  <si>
    <t>LCSC</t>
  </si>
  <si>
    <t>C15849</t>
  </si>
  <si>
    <t>C231329</t>
  </si>
  <si>
    <t>Mouser</t>
  </si>
  <si>
    <t>603CC603KRX7R9BB104</t>
  </si>
  <si>
    <t>63819217GHCYR1S23T</t>
  </si>
  <si>
    <t>653B3U1000P</t>
  </si>
  <si>
    <t>Newark</t>
  </si>
  <si>
    <t>82AC9277</t>
  </si>
  <si>
    <t>50M6494</t>
  </si>
  <si>
    <t>78M0188</t>
  </si>
  <si>
    <t>RS Components</t>
  </si>
  <si>
    <t>6698767</t>
  </si>
  <si>
    <t>TME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</si>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</sst>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1" applyAlignment="1" applyProtection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nerdyscout/ProMicro_CONN" TargetMode="External"/><Relationship Id="rId2" Type="http://schemas.openxmlformats.org/officeDocument/2006/relationships/hyperlink" Target="https://www.sparkfun.com/products/12587" TargetMode="External"/><Relationship Id="rId3" Type="http://schemas.openxmlformats.org/officeDocument/2006/relationships/hyperlink" Target="https://octopart.com/click/track?c=1&amp;ai=8078&amp;sig=0588127&amp;sid=459&amp;ppid=23919125&amp;vpid=72523544&amp;ct=offers" TargetMode="External"/><Relationship Id="rId4" Type="http://schemas.openxmlformats.org/officeDocument/2006/relationships/hyperlink" Target="https://octopart.com/click/track?ai=8078&amp;sig=06f3286&amp;sid=819&amp;ppid=23919125&amp;vpid=541437241&amp;ct=offers" TargetMode="External"/><Relationship Id="rId5" Type="http://schemas.openxmlformats.org/officeDocument/2006/relationships/hyperlink" Target="https://octopart.com/click/track?ai=8078&amp;sig=0895b24&amp;sid=27971&amp;ppid=23919125&amp;vpid=476994652&amp;ct=offers" TargetMode="External"/><Relationship Id="rId6" Type="http://schemas.openxmlformats.org/officeDocument/2006/relationships/hyperlink" Target="https://octopart.com/click/track?ai=8078&amp;sig=03333e5&amp;sid=2402&amp;ppid=23919125&amp;vpid=511545386&amp;ct=offers" TargetMode="External"/><Relationship Id="rId7" Type="http://schemas.openxmlformats.org/officeDocument/2006/relationships/hyperlink" Target="https://octopart.com/click/track?ai=8078&amp;sig=079e760&amp;sid=1532&amp;ppid=23919125&amp;vpid=262450101&amp;ct=offers" TargetMode="External"/><Relationship Id="rId8" Type="http://schemas.openxmlformats.org/officeDocument/2006/relationships/hyperlink" Target="https://octopart.com/click/track?c=1&amp;ai=8078&amp;sig=0825442&amp;sid=459&amp;ppid=42244635&amp;vpid=115141230&amp;ct=offers" TargetMode="External"/><Relationship Id="rId9" Type="http://schemas.openxmlformats.org/officeDocument/2006/relationships/hyperlink" Target="https://octopart.com/click/track?ai=8078&amp;sig=0759d33&amp;sid=11744&amp;ppid=42244635&amp;vpid=482462222&amp;ct=offers" TargetMode="External"/><Relationship Id="rId10" Type="http://schemas.openxmlformats.org/officeDocument/2006/relationships/hyperlink" Target="https://octopart.com/click/track?ai=8078&amp;sig=0890135&amp;sid=2401&amp;ppid=42244635&amp;vpid=115540542&amp;ct=offers" TargetMode="External"/><Relationship Id="rId11" Type="http://schemas.openxmlformats.org/officeDocument/2006/relationships/hyperlink" Target="https://octopart.com/click/track?ai=8078&amp;sig=0f50bae&amp;sid=2402&amp;ppid=42244635&amp;vpid=115423539&amp;ct=offers" TargetMode="External"/><Relationship Id="rId12" Type="http://schemas.openxmlformats.org/officeDocument/2006/relationships/hyperlink" Target="https://octopart.com/click/track?ai=8078&amp;sig=01fcc60&amp;sid=10022&amp;ppid=42244635&amp;vpid=199200276&amp;ct=offers" TargetMode="External"/><Relationship Id="rId13" Type="http://schemas.openxmlformats.org/officeDocument/2006/relationships/hyperlink" Target="https://octopart.com/click/track?ai=8078&amp;sig=0c92035&amp;sid=1532&amp;ppid=42244635&amp;vpid=593887472&amp;ct=offers" TargetMode="External"/><Relationship Id="rId14" Type="http://schemas.openxmlformats.org/officeDocument/2006/relationships/hyperlink" Target="https://octopart.com/click/track?c=1&amp;ai=8078&amp;sig=05bb2fa&amp;sid=459&amp;ppid=12410178&amp;vpid=39241339&amp;ct=offers" TargetMode="External"/><Relationship Id="rId15" Type="http://schemas.openxmlformats.org/officeDocument/2006/relationships/hyperlink" Target="https://octopart.com/click/track?ai=8078&amp;sig=01732ef&amp;sid=2401&amp;ppid=12410178&amp;vpid=165359870&amp;ct=offers" TargetMode="External"/><Relationship Id="rId16" Type="http://schemas.openxmlformats.org/officeDocument/2006/relationships/hyperlink" Target="https://www.olimex.com/Products/Modules/UEXT/resources/UEXT_rev_B.pdf" TargetMode="External"/><Relationship Id="rId17" Type="http://schemas.openxmlformats.org/officeDocument/2006/relationships/hyperlink" Target="https://octopart.com/click/track?ai=8078&amp;sig=070966c&amp;sid=459&amp;ppid=1057357&amp;vpid=34033658&amp;ct=offers" TargetMode="External"/><Relationship Id="rId18" Type="http://schemas.openxmlformats.org/officeDocument/2006/relationships/hyperlink" Target="https://octopart.com/click/track?ai=8078&amp;sig=026c346&amp;sid=819&amp;ppid=1057357&amp;vpid=454205027&amp;ct=offers" TargetMode="External"/><Relationship Id="rId19" Type="http://schemas.openxmlformats.org/officeDocument/2006/relationships/hyperlink" Target="https://octopart.com/click/track?ai=8078&amp;sig=05c41a0&amp;sid=27971&amp;ppid=1057357&amp;vpid=490107623&amp;ct=offers" TargetMode="External"/><Relationship Id="rId20" Type="http://schemas.openxmlformats.org/officeDocument/2006/relationships/hyperlink" Target="https://octopart.com/click/track?ai=8078&amp;sig=051b9d6&amp;sid=2401&amp;ppid=1057357&amp;vpid=37857541&amp;ct=offers" TargetMode="External"/><Relationship Id="rId21" Type="http://schemas.openxmlformats.org/officeDocument/2006/relationships/hyperlink" Target="https://octopart.com/click/track?ai=8078&amp;sig=0a2dbf5&amp;sid=2402&amp;ppid=1057357&amp;vpid=96429018&amp;ct=offers" TargetMode="External"/><Relationship Id="rId22" Type="http://schemas.openxmlformats.org/officeDocument/2006/relationships/hyperlink" Target="https://octopart.com/click/track?ai=8078&amp;sig=070966c&amp;sid=459&amp;ppid=1057357&amp;vpid=34033658&amp;ct=offers" TargetMode="External"/><Relationship Id="rId23" Type="http://schemas.openxmlformats.org/officeDocument/2006/relationships/hyperlink" Target="https://octopart.com/click/track?ai=8078&amp;sig=026c346&amp;sid=819&amp;ppid=1057357&amp;vpid=454205027&amp;ct=offers" TargetMode="External"/><Relationship Id="rId24" Type="http://schemas.openxmlformats.org/officeDocument/2006/relationships/hyperlink" Target="https://octopart.com/click/track?ai=8078&amp;sig=05c41a0&amp;sid=27971&amp;ppid=1057357&amp;vpid=490107623&amp;ct=offers" TargetMode="External"/><Relationship Id="rId25" Type="http://schemas.openxmlformats.org/officeDocument/2006/relationships/hyperlink" Target="https://octopart.com/click/track?ai=8078&amp;sig=051b9d6&amp;sid=2401&amp;ppid=1057357&amp;vpid=37857541&amp;ct=offers" TargetMode="External"/><Relationship Id="rId26" Type="http://schemas.openxmlformats.org/officeDocument/2006/relationships/hyperlink" Target="https://octopart.com/click/track?ai=8078&amp;sig=0a2dbf5&amp;sid=2402&amp;ppid=1057357&amp;vpid=96429018&amp;ct=offers" TargetMode="External"/><Relationship Id="rId27" Type="http://schemas.openxmlformats.org/officeDocument/2006/relationships/vmlDrawing" Target="../drawings/vmlDrawing1.vml"/><Relationship Id="rId2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3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 outlineLevel="1"/>
    <col min="5" max="5" width="9.140625" outlineLevel="1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  <col min="38" max="38" width="9.140625" outlineLevel="1"/>
    <col min="39" max="39" width="9.140625" outlineLevel="2"/>
    <col min="40" max="40" width="9.140625" outlineLevel="2"/>
    <col min="41" max="41" width="15.7109375" customWidth="1"/>
    <col min="42" max="42" width="15.7109375" customWidth="1" outlineLevel="2"/>
    <col min="43" max="43" width="9.140625" outlineLevel="1"/>
    <col min="44" max="44" width="9.140625" outlineLevel="2"/>
    <col min="45" max="45" width="9.140625" outlineLevel="2"/>
    <col min="46" max="46" width="15.7109375" customWidth="1"/>
    <col min="47" max="47" width="15.7109375" customWidth="1" outlineLevel="2"/>
  </cols>
  <sheetData>
    <row r="1" spans="1:47">
      <c r="A1" s="1" t="s">
        <v>53</v>
      </c>
      <c r="B1" s="2" t="s">
        <v>54</v>
      </c>
      <c r="F1" s="3" t="s">
        <v>59</v>
      </c>
      <c r="G1" s="3">
        <v>100</v>
      </c>
    </row>
    <row r="2" spans="1:47">
      <c r="A2" s="1" t="s">
        <v>55</v>
      </c>
      <c r="B2" s="2" t="s">
        <v>56</v>
      </c>
      <c r="F2" s="1" t="s">
        <v>61</v>
      </c>
      <c r="G2" s="4">
        <f>TotalCost/BoardQty</f>
        <v>0</v>
      </c>
    </row>
    <row r="3" spans="1:47">
      <c r="A3" s="1" t="s">
        <v>57</v>
      </c>
      <c r="B3" s="2" t="s">
        <v>58</v>
      </c>
      <c r="F3" s="1" t="s">
        <v>60</v>
      </c>
      <c r="G3" s="5">
        <f>SUM(G7:G18)</f>
        <v>0</v>
      </c>
      <c r="K3" s="5">
        <f>SUM(K7:K18)</f>
        <v>0</v>
      </c>
      <c r="L3" s="6">
        <f>(COUNTA(K7:K18)&amp;" of "&amp;ROWS(K7:K18)&amp;" parts found"</f>
        <v>0</v>
      </c>
      <c r="P3" s="5">
        <f>SUM(P7:P18)</f>
        <v>0</v>
      </c>
      <c r="Q3" s="6">
        <f>(COUNTA(P7:P18)&amp;" of "&amp;ROWS(P7:P18)&amp;" parts found"</f>
        <v>0</v>
      </c>
      <c r="U3" s="5">
        <f>SUM(U7:U18)</f>
        <v>0</v>
      </c>
      <c r="V3" s="6">
        <f>(COUNTA(U7:U18)&amp;" of "&amp;ROWS(U7:U18)&amp;" parts found"</f>
        <v>0</v>
      </c>
      <c r="Z3" s="5">
        <f>SUM(Z7:Z18)</f>
        <v>0</v>
      </c>
      <c r="AA3" s="6">
        <f>(COUNTA(Z7:Z18)&amp;" of "&amp;ROWS(Z7:Z18)&amp;" parts found"</f>
        <v>0</v>
      </c>
      <c r="AE3" s="5">
        <f>SUM(AE7:AE18)</f>
        <v>0</v>
      </c>
      <c r="AF3" s="6">
        <f>(COUNTA(AE7:AE18)&amp;" of "&amp;ROWS(AE7:AE18)&amp;" parts found"</f>
        <v>0</v>
      </c>
      <c r="AJ3" s="5">
        <f>SUM(AJ7:AJ18)</f>
        <v>0</v>
      </c>
      <c r="AK3" s="6">
        <f>(COUNTA(AJ7:AJ18)&amp;" of "&amp;ROWS(AJ7:AJ18)&amp;" parts found"</f>
        <v>0</v>
      </c>
      <c r="AO3" s="5">
        <f>SUM(AO7:AO18)</f>
        <v>0</v>
      </c>
      <c r="AP3" s="6">
        <f>(COUNTA(AO7:AO18)&amp;" of "&amp;ROWS(AO7:AO18)&amp;" parts found"</f>
        <v>0</v>
      </c>
      <c r="AT3" s="5">
        <f>SUM(AT7:AT18)</f>
        <v>0</v>
      </c>
      <c r="AU3" s="6">
        <f>(COUNTA(AT7:AT18)&amp;" of "&amp;ROWS(AT7:AT18)&amp;" parts found"</f>
        <v>0</v>
      </c>
    </row>
    <row r="4" spans="1:47">
      <c r="A4" s="1" t="s">
        <v>62</v>
      </c>
      <c r="B4" s="2" t="s">
        <v>63</v>
      </c>
    </row>
    <row r="5" spans="1:47">
      <c r="A5" s="7" t="s">
        <v>0</v>
      </c>
      <c r="B5" s="7"/>
      <c r="C5" s="7"/>
      <c r="D5" s="7"/>
      <c r="E5" s="7"/>
      <c r="F5" s="7"/>
      <c r="G5" s="7"/>
      <c r="H5" s="8" t="s">
        <v>64</v>
      </c>
      <c r="I5" s="8"/>
      <c r="J5" s="8"/>
      <c r="K5" s="8"/>
      <c r="L5" s="8"/>
      <c r="M5" s="9" t="s">
        <v>68</v>
      </c>
      <c r="N5" s="9"/>
      <c r="O5" s="9"/>
      <c r="P5" s="9"/>
      <c r="Q5" s="9"/>
      <c r="R5" s="10" t="s">
        <v>74</v>
      </c>
      <c r="S5" s="10"/>
      <c r="T5" s="10"/>
      <c r="U5" s="10"/>
      <c r="V5" s="10"/>
      <c r="W5" s="11" t="s">
        <v>78</v>
      </c>
      <c r="X5" s="11"/>
      <c r="Y5" s="11"/>
      <c r="Z5" s="11"/>
      <c r="AA5" s="11"/>
      <c r="AB5" s="12" t="s">
        <v>81</v>
      </c>
      <c r="AC5" s="12"/>
      <c r="AD5" s="12"/>
      <c r="AE5" s="12"/>
      <c r="AF5" s="12"/>
      <c r="AG5" s="13" t="s">
        <v>85</v>
      </c>
      <c r="AH5" s="13"/>
      <c r="AI5" s="13"/>
      <c r="AJ5" s="13"/>
      <c r="AK5" s="13"/>
      <c r="AL5" s="14" t="s">
        <v>89</v>
      </c>
      <c r="AM5" s="14"/>
      <c r="AN5" s="14"/>
      <c r="AO5" s="14"/>
      <c r="AP5" s="14"/>
      <c r="AQ5" s="15" t="s">
        <v>91</v>
      </c>
      <c r="AR5" s="15"/>
      <c r="AS5" s="15"/>
      <c r="AT5" s="15"/>
      <c r="AU5" s="15"/>
    </row>
    <row r="6" spans="1:47">
      <c r="A6" s="16" t="s">
        <v>1</v>
      </c>
      <c r="B6" s="16" t="s">
        <v>2</v>
      </c>
      <c r="C6" s="16" t="s">
        <v>3</v>
      </c>
      <c r="D6" s="16" t="s">
        <v>4</v>
      </c>
      <c r="E6" s="16" t="s">
        <v>5</v>
      </c>
      <c r="F6" s="16" t="s">
        <v>6</v>
      </c>
      <c r="G6" s="16" t="s">
        <v>7</v>
      </c>
      <c r="H6" s="16" t="s">
        <v>65</v>
      </c>
      <c r="I6" s="16" t="s">
        <v>66</v>
      </c>
      <c r="J6" s="16" t="s">
        <v>6</v>
      </c>
      <c r="K6" s="16" t="s">
        <v>7</v>
      </c>
      <c r="L6" s="16" t="s">
        <v>67</v>
      </c>
      <c r="M6" s="16" t="s">
        <v>65</v>
      </c>
      <c r="N6" s="16" t="s">
        <v>66</v>
      </c>
      <c r="O6" s="16" t="s">
        <v>6</v>
      </c>
      <c r="P6" s="16" t="s">
        <v>7</v>
      </c>
      <c r="Q6" s="16" t="s">
        <v>67</v>
      </c>
      <c r="R6" s="16" t="s">
        <v>65</v>
      </c>
      <c r="S6" s="16" t="s">
        <v>66</v>
      </c>
      <c r="T6" s="16" t="s">
        <v>6</v>
      </c>
      <c r="U6" s="16" t="s">
        <v>7</v>
      </c>
      <c r="V6" s="16" t="s">
        <v>67</v>
      </c>
      <c r="W6" s="16" t="s">
        <v>65</v>
      </c>
      <c r="X6" s="16" t="s">
        <v>66</v>
      </c>
      <c r="Y6" s="16" t="s">
        <v>6</v>
      </c>
      <c r="Z6" s="16" t="s">
        <v>7</v>
      </c>
      <c r="AA6" s="16" t="s">
        <v>67</v>
      </c>
      <c r="AB6" s="16" t="s">
        <v>65</v>
      </c>
      <c r="AC6" s="16" t="s">
        <v>66</v>
      </c>
      <c r="AD6" s="16" t="s">
        <v>6</v>
      </c>
      <c r="AE6" s="16" t="s">
        <v>7</v>
      </c>
      <c r="AF6" s="16" t="s">
        <v>67</v>
      </c>
      <c r="AG6" s="16" t="s">
        <v>65</v>
      </c>
      <c r="AH6" s="16" t="s">
        <v>66</v>
      </c>
      <c r="AI6" s="16" t="s">
        <v>6</v>
      </c>
      <c r="AJ6" s="16" t="s">
        <v>7</v>
      </c>
      <c r="AK6" s="16" t="s">
        <v>67</v>
      </c>
      <c r="AL6" s="16" t="s">
        <v>65</v>
      </c>
      <c r="AM6" s="16" t="s">
        <v>66</v>
      </c>
      <c r="AN6" s="16" t="s">
        <v>6</v>
      </c>
      <c r="AO6" s="16" t="s">
        <v>7</v>
      </c>
      <c r="AP6" s="16" t="s">
        <v>67</v>
      </c>
      <c r="AQ6" s="16" t="s">
        <v>65</v>
      </c>
      <c r="AR6" s="16" t="s">
        <v>66</v>
      </c>
      <c r="AS6" s="16" t="s">
        <v>6</v>
      </c>
      <c r="AT6" s="16" t="s">
        <v>7</v>
      </c>
      <c r="AU6" s="16" t="s">
        <v>67</v>
      </c>
    </row>
    <row r="7" spans="1:47">
      <c r="A7" s="17" t="s">
        <v>8</v>
      </c>
      <c r="B7" s="17" t="s">
        <v>9</v>
      </c>
      <c r="C7" s="17" t="s">
        <v>10</v>
      </c>
      <c r="D7" s="17" t="s">
        <v>11</v>
      </c>
      <c r="E7" s="17">
        <f>BoardQty*1</f>
        <v>0</v>
      </c>
      <c r="F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7" s="18">
        <f>iferror(E7*F7,"")</f>
        <v>0</v>
      </c>
    </row>
    <row r="8" spans="1:47">
      <c r="A8" s="17" t="s">
        <v>12</v>
      </c>
      <c r="B8" s="17" t="s">
        <v>13</v>
      </c>
      <c r="C8" s="17" t="s">
        <v>14</v>
      </c>
      <c r="D8" s="17" t="s">
        <v>15</v>
      </c>
      <c r="E8" s="17">
        <f>BoardQty*2</f>
        <v>0</v>
      </c>
      <c r="F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8" s="18">
        <f>iferror(E8*F8,"")</f>
        <v>0</v>
      </c>
      <c r="M8" s="19" t="s">
        <v>70</v>
      </c>
      <c r="O8" s="18">
        <f>iferror(lookup(if(N8="",E8,N8),{0,1,10,50,100,500,1000,4000,8000,12000},{0.0,0.16,0.115,0.0656,0.0543,0.03808,0.03152,0.02441,0.0227,0.02157}),"")</f>
        <v>0</v>
      </c>
      <c r="P8" s="18">
        <f>iferror(if(N8="",E8,N8)*O8,"")</f>
        <v>0</v>
      </c>
      <c r="Q8" s="20" t="s">
        <v>69</v>
      </c>
      <c r="R8" s="17">
        <v>21423</v>
      </c>
      <c r="T8" s="18">
        <f>iferror(USD_GBP*lookup(if(S8="",E8,S8),{0,1,10,100,150,500,1000,2000,4000},{0.0,0.136,0.136,0.058,0.058,0.0376,0.0291,0.0274,0.02}),"")</f>
        <v>0</v>
      </c>
      <c r="U8" s="18">
        <f>iferror(if(S8="",E8,S8)*T8,"")</f>
        <v>0</v>
      </c>
      <c r="V8" s="20" t="s">
        <v>75</v>
      </c>
      <c r="W8" s="17">
        <v>104600</v>
      </c>
      <c r="Y8" s="18">
        <f>iferror(lookup(if(X8="",E8,X8),{0,1,50,500,1500,5000,25000,50000},{0.0,0.00997,0.00997,0.00729,0.0068,0.00632,0.006,0.00595}),"")</f>
        <v>0</v>
      </c>
      <c r="Z8" s="18">
        <f>iferror(if(X8="",E8,X8)*Y8,"")</f>
        <v>0</v>
      </c>
      <c r="AA8" s="20" t="s">
        <v>79</v>
      </c>
      <c r="AG8" s="17">
        <v>28000</v>
      </c>
      <c r="AI8" s="18">
        <f>iferror(lookup(if(AH8="",E8,AH8),{0,1,25,50,100,250,500,1000,4000,8000},{0.0,0.026,0.151,0.111,0.07,0.06,0.049,0.041,0.025,0.024}),"")</f>
        <v>0</v>
      </c>
      <c r="AJ8" s="18">
        <f>iferror(if(AH8="",E8,AH8)*AI8,"")</f>
        <v>0</v>
      </c>
      <c r="AK8" s="20" t="s">
        <v>86</v>
      </c>
      <c r="AQ8" s="17">
        <v>338400</v>
      </c>
      <c r="AS8" s="18">
        <f>iferror(USD_EUR*lookup(if(AR8="",E8,AR8),{0,1,100,1000,4000,12000,20000},{0.0,0.0507,0.0507,0.0213,0.014,0.0131,0.0125}),"")</f>
        <v>0</v>
      </c>
      <c r="AT8" s="18">
        <f>iferror(if(AR8="",E8,AR8)*AS8,"")</f>
        <v>0</v>
      </c>
      <c r="AU8" s="20" t="s">
        <v>15</v>
      </c>
    </row>
    <row r="9" spans="1:47">
      <c r="A9" s="17" t="s">
        <v>16</v>
      </c>
      <c r="B9" s="17" t="s">
        <v>17</v>
      </c>
      <c r="C9" s="17" t="s">
        <v>14</v>
      </c>
      <c r="D9" s="17" t="s">
        <v>18</v>
      </c>
      <c r="E9" s="17">
        <f>BoardQty*1</f>
        <v>0</v>
      </c>
      <c r="F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9" s="18">
        <f>iferror(E9*F9,"")</f>
        <v>0</v>
      </c>
      <c r="M9" s="19" t="s">
        <v>70</v>
      </c>
      <c r="O9" s="18">
        <f>iferror(lookup(if(N9="",E9,N9),{0,1,10,50,100,500,1000,4000,8000,12000},{0.0,0.1,0.066,0.036,0.0293,0.02094,0.01646,0.01252,0.01144,0.01089}),"")</f>
        <v>0</v>
      </c>
      <c r="P9" s="18">
        <f>iferror(if(N9="",E9,N9)*O9,"")</f>
        <v>0</v>
      </c>
      <c r="Q9" s="20" t="s">
        <v>71</v>
      </c>
      <c r="R9" s="17">
        <v>184788</v>
      </c>
      <c r="T9" s="18">
        <f>iferror(USD_GBP*lookup(if(S9="",E9,S9),{0,1,10,100,150,500,1000,2000,4000,20000},{0.0,0.068,0.068,0.034,0.034,0.0255,0.0226,0.0204,0.0186,0.0146}),"")</f>
        <v>0</v>
      </c>
      <c r="U9" s="18">
        <f>iferror(if(S9="",E9,S9)*T9,"")</f>
        <v>0</v>
      </c>
      <c r="V9" s="20" t="s">
        <v>76</v>
      </c>
      <c r="AB9" s="17">
        <v>101727243</v>
      </c>
      <c r="AD9" s="18">
        <f>iferror(lookup(if(AC9="",E9,AC9),{0,1,10,100,1000,4000,8000},{0.0,0.1,0.049,0.019,0.015,0.01,0.01}),"")</f>
        <v>0</v>
      </c>
      <c r="AE9" s="18">
        <f>iferror(if(AC9="",E9,AC9)*AD9,"")</f>
        <v>0</v>
      </c>
      <c r="AF9" s="20" t="s">
        <v>82</v>
      </c>
      <c r="AG9" s="17">
        <v>144000</v>
      </c>
      <c r="AI9" s="18">
        <f>iferror(lookup(if(AH9="",E9,AH9),{0,1,10,25,50,100,250,500,1000,4000},{0.0,0.012,0.126,0.062,0.042,0.022,0.02,0.019,0.017,0.012}),"")</f>
        <v>0</v>
      </c>
      <c r="AJ9" s="18">
        <f>iferror(if(AH9="",E9,AH9)*AI9,"")</f>
        <v>0</v>
      </c>
      <c r="AK9" s="20" t="s">
        <v>87</v>
      </c>
      <c r="AL9" s="17">
        <v>2736000</v>
      </c>
      <c r="AN9" s="18">
        <f>iferror(USD_GBP*lookup(if(AM9="",E9,AM9),{0,1,4000,40000},{0.0,0.008,0.008,0.007}),"")</f>
        <v>0</v>
      </c>
      <c r="AO9" s="18">
        <f>iferror(if(AM9="",E9,AM9)*AN9,"")</f>
        <v>0</v>
      </c>
      <c r="AP9" s="20" t="s">
        <v>90</v>
      </c>
      <c r="AQ9" s="17">
        <v>483000</v>
      </c>
      <c r="AS9" s="18">
        <f>iferror(USD_EUR*lookup(if(AR9="",E9,AR9),{0,1,100,1000,4000,12000,40000},{0.0,0.0158,0.0158,0.0089,0.0066,0.00482,0.00469}),"")</f>
        <v>0</v>
      </c>
      <c r="AT9" s="18">
        <f>iferror(if(AR9="",E9,AR9)*AS9,"")</f>
        <v>0</v>
      </c>
      <c r="AU9" s="20" t="s">
        <v>18</v>
      </c>
    </row>
    <row r="10" spans="1:47">
      <c r="A10" s="17" t="s">
        <v>19</v>
      </c>
      <c r="B10" s="17" t="s">
        <v>20</v>
      </c>
      <c r="C10" s="17" t="s">
        <v>21</v>
      </c>
      <c r="D10" s="17" t="s">
        <v>22</v>
      </c>
      <c r="E10" s="17">
        <f>BoardQty*1</f>
        <v>0</v>
      </c>
      <c r="F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0" s="18">
        <f>iferror(E10*F10,"")</f>
        <v>0</v>
      </c>
      <c r="M10" s="19" t="s">
        <v>70</v>
      </c>
      <c r="O10" s="18">
        <f>iferror(lookup(if(N10="",E10,N10),{0,1,9000},{0.0,0.1107,0.1107}),"")</f>
        <v>0</v>
      </c>
      <c r="P10" s="18">
        <f>iferror(if(N10="",E10,N10)*O10,"")</f>
        <v>0</v>
      </c>
      <c r="Q10" s="20" t="s">
        <v>72</v>
      </c>
      <c r="AB10" s="17">
        <v>3560</v>
      </c>
      <c r="AD10" s="18">
        <f>iferror(lookup(if(AC10="",E10,AC10),{0,1,10,100,1000,3000,9000},{0.0,0.55,0.325,0.2,0.145,0.111,0.102}),"")</f>
        <v>0</v>
      </c>
      <c r="AE10" s="18">
        <f>iferror(if(AC10="",E10,AC10)*AD10,"")</f>
        <v>0</v>
      </c>
      <c r="AF10" s="20" t="s">
        <v>83</v>
      </c>
    </row>
    <row r="11" spans="1:47">
      <c r="A11" s="17" t="s">
        <v>23</v>
      </c>
      <c r="B11" s="17" t="s">
        <v>24</v>
      </c>
      <c r="C11" s="17" t="s">
        <v>25</v>
      </c>
      <c r="E11" s="17">
        <f>BoardQty*1</f>
        <v>0</v>
      </c>
      <c r="F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1" s="18">
        <f>iferror(E11*F11,"")</f>
        <v>0</v>
      </c>
    </row>
    <row r="12" spans="1:47">
      <c r="A12" s="17" t="s">
        <v>26</v>
      </c>
      <c r="B12" s="17" t="s">
        <v>27</v>
      </c>
      <c r="C12" s="17" t="s">
        <v>28</v>
      </c>
      <c r="D12" s="17" t="s">
        <v>29</v>
      </c>
      <c r="E12" s="17">
        <f>BoardQty*1</f>
        <v>0</v>
      </c>
      <c r="F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2" s="18">
        <f>iferror(E12*F12,"")</f>
        <v>0</v>
      </c>
    </row>
    <row r="13" spans="1:47">
      <c r="A13" s="17" t="s">
        <v>30</v>
      </c>
      <c r="B13" s="17" t="s">
        <v>31</v>
      </c>
      <c r="C13" s="17" t="s">
        <v>32</v>
      </c>
      <c r="E13" s="17">
        <f>BoardQty*1</f>
        <v>0</v>
      </c>
      <c r="F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3" s="18">
        <f>iferror(E13*F13,"")</f>
        <v>0</v>
      </c>
    </row>
    <row r="14" spans="1:47">
      <c r="A14" s="17" t="s">
        <v>33</v>
      </c>
      <c r="B14" s="17" t="s">
        <v>34</v>
      </c>
      <c r="C14" s="17" t="s">
        <v>35</v>
      </c>
      <c r="E14" s="17">
        <f>BoardQty*1</f>
        <v>0</v>
      </c>
      <c r="F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4" s="18">
        <f>iferror(E14*F14,"")</f>
        <v>0</v>
      </c>
    </row>
    <row r="15" spans="1:47">
      <c r="A15" s="17" t="s">
        <v>36</v>
      </c>
      <c r="B15" s="17" t="s">
        <v>37</v>
      </c>
      <c r="C15" s="17" t="s">
        <v>38</v>
      </c>
      <c r="E15" s="17">
        <f>BoardQty*1</f>
        <v>0</v>
      </c>
      <c r="F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5" s="18">
        <f>iferror(E15*F15,"")</f>
        <v>0</v>
      </c>
    </row>
    <row r="16" spans="1:47">
      <c r="A16" s="17" t="s">
        <v>39</v>
      </c>
      <c r="B16" s="17" t="s">
        <v>40</v>
      </c>
      <c r="C16" s="17" t="s">
        <v>38</v>
      </c>
      <c r="D16" s="17" t="s">
        <v>41</v>
      </c>
      <c r="E16" s="17">
        <f>BoardQty*8</f>
        <v>0</v>
      </c>
      <c r="F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6" s="18">
        <f>iferror(E16*F16,"")</f>
        <v>0</v>
      </c>
    </row>
    <row r="17" spans="1:46">
      <c r="A17" s="17" t="s">
        <v>42</v>
      </c>
      <c r="B17" s="17" t="s">
        <v>43</v>
      </c>
      <c r="C17" s="17" t="s">
        <v>44</v>
      </c>
      <c r="D17" s="17" t="s">
        <v>45</v>
      </c>
      <c r="E17" s="17">
        <f>BoardQty*1</f>
        <v>0</v>
      </c>
      <c r="F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7" s="18">
        <f>iferror(E17*F17,"")</f>
        <v>0</v>
      </c>
      <c r="M17" s="17">
        <v>41786</v>
      </c>
      <c r="O17" s="18">
        <f>iferror(lookup(if(N17="",E17,N17),{0,1,10,25,100,250,500,1000,3500,7000,10500},{0.0,0.98,0.943,0.8812,0.765,0.69612,0.64536,0.59822,0.4944,0.46144,0.42848}),"")</f>
        <v>0</v>
      </c>
      <c r="P17" s="18">
        <f>iferror(if(N17="",E17,N17)*O17,"")</f>
        <v>0</v>
      </c>
      <c r="Q17" s="20" t="s">
        <v>73</v>
      </c>
      <c r="R17" s="17">
        <v>20559</v>
      </c>
      <c r="T17" s="18">
        <f>iferror(USD_GBP*lookup(if(S17="",E17,S17),{0,1,5,10,25,50,100,250,500,1000},{0.0,0.907,0.737,0.737,0.846,0.66,0.582,0.644,0.541,0.414}),"")</f>
        <v>0</v>
      </c>
      <c r="U17" s="18">
        <f>iferror(if(S17="",E17,S17)*T17,"")</f>
        <v>0</v>
      </c>
      <c r="V17" s="20" t="s">
        <v>77</v>
      </c>
      <c r="W17" s="17">
        <v>21435</v>
      </c>
      <c r="Y17" s="18">
        <f>iferror(lookup(if(X17="",E17,X17),{0,1,10,30,100,500,1000},{0.0,0.34167,0.25833,0.24167,0.22667,0.22,0.21667}),"")</f>
        <v>0</v>
      </c>
      <c r="Z17" s="18">
        <f>iferror(if(X17="",E17,X17)*Y17,"")</f>
        <v>0</v>
      </c>
      <c r="AA17" s="20" t="s">
        <v>80</v>
      </c>
      <c r="AB17" s="17">
        <v>5171</v>
      </c>
      <c r="AD17" s="18">
        <f>iferror(lookup(if(AC17="",E17,AC17),{0,1,10,100,500,1000,3500},{0.0,0.95,0.828,0.672,0.633,0.548,0.494}),"")</f>
        <v>0</v>
      </c>
      <c r="AE17" s="18">
        <f>iferror(if(AC17="",E17,AC17)*AD17,"")</f>
        <v>0</v>
      </c>
      <c r="AF17" s="20" t="s">
        <v>84</v>
      </c>
      <c r="AG17" s="17">
        <v>21454</v>
      </c>
      <c r="AI17" s="18">
        <f>iferror(lookup(if(AH17="",E17,AH17),{0,1,10,25,50,100,250,500,1000},{0.0,1.02,0.981,0.929,0.827,0.759,0.724,0.707,0.571}),"")</f>
        <v>0</v>
      </c>
      <c r="AJ17" s="18">
        <f>iferror(if(AH17="",E17,AH17)*AI17,"")</f>
        <v>0</v>
      </c>
      <c r="AK17" s="20" t="s">
        <v>88</v>
      </c>
    </row>
    <row r="18" spans="1:46">
      <c r="A18" s="17" t="s">
        <v>46</v>
      </c>
      <c r="B18" s="17" t="s">
        <v>47</v>
      </c>
      <c r="C18" s="17" t="s">
        <v>44</v>
      </c>
      <c r="D18" s="17" t="s">
        <v>45</v>
      </c>
      <c r="E18" s="17">
        <f>BoardQty*1</f>
        <v>0</v>
      </c>
      <c r="F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G18" s="18">
        <f>iferror(E18*F18,"")</f>
        <v>0</v>
      </c>
      <c r="M18" s="17">
        <v>41786</v>
      </c>
      <c r="O18" s="18">
        <f>iferror(lookup(if(N18="",E18,N18),{0,1,10,25,100,250,500,1000,3500,7000,10500},{0.0,0.98,0.943,0.8812,0.765,0.69612,0.64536,0.59822,0.4944,0.46144,0.42848}),"")</f>
        <v>0</v>
      </c>
      <c r="P18" s="18">
        <f>iferror(if(N18="",E18,N18)*O18,"")</f>
        <v>0</v>
      </c>
      <c r="Q18" s="20" t="s">
        <v>73</v>
      </c>
      <c r="R18" s="17">
        <v>20559</v>
      </c>
      <c r="T18" s="18">
        <f>iferror(USD_GBP*lookup(if(S18="",E18,S18),{0,1,5,10,25,50,100,250,500,1000},{0.0,0.907,0.737,0.737,0.846,0.66,0.582,0.644,0.541,0.414}),"")</f>
        <v>0</v>
      </c>
      <c r="U18" s="18">
        <f>iferror(if(S18="",E18,S18)*T18,"")</f>
        <v>0</v>
      </c>
      <c r="V18" s="20" t="s">
        <v>77</v>
      </c>
      <c r="W18" s="17">
        <v>21435</v>
      </c>
      <c r="Y18" s="18">
        <f>iferror(lookup(if(X18="",E18,X18),{0,1,10,30,100,500,1000},{0.0,0.34167,0.25833,0.24167,0.22667,0.22,0.21667}),"")</f>
        <v>0</v>
      </c>
      <c r="Z18" s="18">
        <f>iferror(if(X18="",E18,X18)*Y18,"")</f>
        <v>0</v>
      </c>
      <c r="AA18" s="20" t="s">
        <v>80</v>
      </c>
      <c r="AB18" s="17">
        <v>5171</v>
      </c>
      <c r="AD18" s="18">
        <f>iferror(lookup(if(AC18="",E18,AC18),{0,1,10,100,500,1000,3500},{0.0,0.95,0.828,0.672,0.633,0.548,0.494}),"")</f>
        <v>0</v>
      </c>
      <c r="AE18" s="18">
        <f>iferror(if(AC18="",E18,AC18)*AD18,"")</f>
        <v>0</v>
      </c>
      <c r="AF18" s="20" t="s">
        <v>84</v>
      </c>
      <c r="AG18" s="17">
        <v>21454</v>
      </c>
      <c r="AI18" s="18">
        <f>iferror(lookup(if(AH18="",E18,AH18),{0,1,10,25,50,100,250,500,1000},{0.0,1.02,0.981,0.929,0.827,0.759,0.724,0.707,0.571}),"")</f>
        <v>0</v>
      </c>
      <c r="AJ18" s="18">
        <f>iferror(if(AH18="",E18,AH18)*AI18,"")</f>
        <v>0</v>
      </c>
      <c r="AK18" s="20" t="s">
        <v>88</v>
      </c>
    </row>
    <row r="20" spans="1:46">
      <c r="B20" s="21" t="s">
        <v>50</v>
      </c>
      <c r="F20" s="1" t="s">
        <v>48</v>
      </c>
      <c r="G20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I20" s="6">
        <f>IFERROR(IF(OR(I7:I18),COUNTIFS(I7:I18,"&gt;0",K7:K18,"&lt;&gt;")&amp;" of "&amp;(ROWS(K7:K18)-COUNTBLANK(K7:K18))&amp;" parts purchased",""),"")</f>
        <v>0</v>
      </c>
      <c r="K20" s="5">
        <f>SUMIF(I7:I18,"&gt;0",K7:K18)</f>
        <v>0</v>
      </c>
      <c r="N20" s="6">
        <f>IFERROR(IF(OR(N7:N18),COUNTIFS(N7:N18,"&gt;0",P7:P18,"&lt;&gt;")&amp;" of "&amp;(ROWS(P7:P18)-COUNTBLANK(P7:P18))&amp;" parts purchased",""),"")</f>
        <v>0</v>
      </c>
      <c r="P20" s="5">
        <f>SUMIF(N7:N18,"&gt;0",P7:P18)</f>
        <v>0</v>
      </c>
      <c r="S20" s="6">
        <f>IFERROR(IF(OR(S7:S18),COUNTIFS(S7:S18,"&gt;0",U7:U18,"&lt;&gt;")&amp;" of "&amp;(ROWS(U7:U18)-COUNTBLANK(U7:U18))&amp;" parts purchased",""),"")</f>
        <v>0</v>
      </c>
      <c r="U20" s="5">
        <f>SUMIF(S7:S18,"&gt;0",U7:U18)</f>
        <v>0</v>
      </c>
      <c r="X20" s="6">
        <f>IFERROR(IF(OR(X7:X18),COUNTIFS(X7:X18,"&gt;0",Z7:Z18,"&lt;&gt;")&amp;" of "&amp;(ROWS(Z7:Z18)-COUNTBLANK(Z7:Z18))&amp;" parts purchased",""),"")</f>
        <v>0</v>
      </c>
      <c r="Z20" s="5">
        <f>SUMIF(X7:X18,"&gt;0",Z7:Z18)</f>
        <v>0</v>
      </c>
      <c r="AC20" s="6">
        <f>IFERROR(IF(OR(AC7:AC18),COUNTIFS(AC7:AC18,"&gt;0",AE7:AE18,"&lt;&gt;")&amp;" of "&amp;(ROWS(AE7:AE18)-COUNTBLANK(AE7:AE18))&amp;" parts purchased",""),"")</f>
        <v>0</v>
      </c>
      <c r="AE20" s="5">
        <f>SUMIF(AC7:AC18,"&gt;0",AE7:AE18)</f>
        <v>0</v>
      </c>
      <c r="AH20" s="6">
        <f>IFERROR(IF(OR(AH7:AH18),COUNTIFS(AH7:AH18,"&gt;0",AJ7:AJ18,"&lt;&gt;")&amp;" of "&amp;(ROWS(AJ7:AJ18)-COUNTBLANK(AJ7:AJ18))&amp;" parts purchased",""),"")</f>
        <v>0</v>
      </c>
      <c r="AJ20" s="5">
        <f>SUMIF(AH7:AH18,"&gt;0",AJ7:AJ18)</f>
        <v>0</v>
      </c>
      <c r="AM20" s="6">
        <f>IFERROR(IF(OR(AM7:AM18),COUNTIFS(AM7:AM18,"&gt;0",AO7:AO18,"&lt;&gt;")&amp;" of "&amp;(ROWS(AO7:AO18)-COUNTBLANK(AO7:AO18))&amp;" parts purchased",""),"")</f>
        <v>0</v>
      </c>
      <c r="AO20" s="5">
        <f>SUMIF(AM7:AM18,"&gt;0",AO7:AO18)</f>
        <v>0</v>
      </c>
      <c r="AR20" s="6">
        <f>IFERROR(IF(OR(AR7:AR18),COUNTIFS(AR7:AR18,"&gt;0",AT7:AT18,"&lt;&gt;")&amp;" of "&amp;(ROWS(AT7:AT18)-COUNTBLANK(AT7:AT18))&amp;" parts purchased",""),"")</f>
        <v>0</v>
      </c>
      <c r="AT20" s="5">
        <f>SUMIF(AR7:AR18,"&gt;0",AT7:AT18)</f>
        <v>0</v>
      </c>
    </row>
    <row r="21" spans="1:46">
      <c r="B21" s="21" t="s">
        <v>51</v>
      </c>
      <c r="C21">
        <v>1.267280071813286</v>
      </c>
      <c r="F21" s="21" t="s">
        <v>49</v>
      </c>
      <c r="I21">
        <f t="array" ref="I21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1">
        <f t="array" ref="N21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1">
        <f t="array" ref="S21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1" s="6">
        <f>IFERROR(IF(COUNTIFS(X7:X18,"&gt;0",Z7:Z18,"&lt;&gt;")&gt;0,"Quantity,Comment,Designator,Footprint,LCSC Part #(optional)",""),"")</f>
        <v>0</v>
      </c>
      <c r="AC21">
        <f t="array" ref="AC21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1">
        <f t="array" ref="AH21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1">
        <f t="array" ref="AM21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1">
        <f t="array" ref="AR21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22" spans="1:46">
      <c r="B22" s="21" t="s">
        <v>52</v>
      </c>
      <c r="C22">
        <v>1.1294</v>
      </c>
      <c r="I22">
        <f t="array" ref="I22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2">
        <f t="array" ref="N22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2">
        <f t="array" ref="S22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2">
        <f t="array" ref="X22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22">
        <f t="array" ref="AC22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2">
        <f t="array" ref="AH22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2">
        <f t="array" ref="AM22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2">
        <f t="array" ref="AR22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23" spans="1:46">
      <c r="I23">
        <f t="array" ref="I23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3">
        <f t="array" ref="N23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3">
        <f t="array" ref="S23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3">
        <f t="array" ref="X23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23">
        <f t="array" ref="AC23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3">
        <f t="array" ref="AH23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3">
        <f t="array" ref="AM23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3">
        <f t="array" ref="AR23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24" spans="1:46">
      <c r="A24" s="2" t="s">
        <v>92</v>
      </c>
      <c r="I24">
        <f t="array" ref="I24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4">
        <f t="array" ref="N24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4">
        <f t="array" ref="S24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4">
        <f t="array" ref="X24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24">
        <f t="array" ref="AC24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4">
        <f t="array" ref="AH24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4">
        <f t="array" ref="AM24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4">
        <f t="array" ref="AR24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25" spans="1:46">
      <c r="I25">
        <f t="array" ref="I25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5">
        <f t="array" ref="N25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5">
        <f t="array" ref="S25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5">
        <f t="array" ref="X25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25">
        <f t="array" ref="AC25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5">
        <f t="array" ref="AH25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5">
        <f t="array" ref="AM25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5">
        <f t="array" ref="AR25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26" spans="1:46">
      <c r="I26">
        <f t="array" ref="I26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6">
        <f t="array" ref="N26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6">
        <f t="array" ref="S26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6">
        <f t="array" ref="X26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26">
        <f t="array" ref="AC26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6">
        <f t="array" ref="AH26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6">
        <f t="array" ref="AM26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6">
        <f t="array" ref="AR26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27" spans="1:46">
      <c r="I27">
        <f t="array" ref="I27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7">
        <f t="array" ref="N27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7">
        <f t="array" ref="S27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7">
        <f t="array" ref="X27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27">
        <f t="array" ref="AC27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7">
        <f t="array" ref="AH27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7">
        <f t="array" ref="AM27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7">
        <f t="array" ref="AR27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28" spans="1:46">
      <c r="I28">
        <f t="array" ref="I28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8">
        <f t="array" ref="N28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8">
        <f t="array" ref="S28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8">
        <f t="array" ref="X28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28">
        <f t="array" ref="AC28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8">
        <f t="array" ref="AH28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8">
        <f t="array" ref="AM28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8">
        <f t="array" ref="AR28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29" spans="1:46">
      <c r="I29">
        <f t="array" ref="I29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29">
        <f t="array" ref="N29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29">
        <f t="array" ref="S29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29">
        <f t="array" ref="X29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29">
        <f t="array" ref="AC29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29">
        <f t="array" ref="AH29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29">
        <f t="array" ref="AM29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29">
        <f t="array" ref="AR29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30" spans="1:46">
      <c r="I30">
        <f t="array" ref="I30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30">
        <f t="array" ref="N30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30">
        <f t="array" ref="S30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30">
        <f t="array" ref="X30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30">
        <f t="array" ref="AC30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30">
        <f t="array" ref="AH30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30">
        <f t="array" ref="AM30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30">
        <f t="array" ref="AR30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31" spans="1:46">
      <c r="I31">
        <f t="array" ref="I31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31">
        <f t="array" ref="N31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31">
        <f t="array" ref="S31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31">
        <f t="array" ref="X31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31">
        <f t="array" ref="AC31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31">
        <f t="array" ref="AH31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31">
        <f t="array" ref="AM31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31">
        <f t="array" ref="AR31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32" spans="1:46">
      <c r="I32">
        <f t="array" ref="I32">IFERROR(CONCATENATE(INDEX(L7:L18,SMALL(IF(ISNUMBER(I7:I18),IF(I7:I18&gt;0,IF(L7:L18&lt;&gt;"",ROW(I7:I18)-MIN(ROW(I7:I18))+1))),ROW()-ROW(A$21)+1)),",",TEXT(INDEX(I7:I18,SMALL(IF(ISNUMBER(I7:I18),IF(I7:I18&gt;0,IF(L7:L18&lt;&gt;"",ROW(I7:I18)-MIN(ROW(I7:I18))+1))),ROW()-ROW(A$21)+1)),"##0"),",",SUBSTITUTE(INDEX(IF(PURCHASE_DESCRIPTION&lt;&gt;"",PURCHASE_DESCRIPTION&amp;":","")&amp;A7:A18,SMALL(IF(ISNUMBER(I7:I18),IF(I7:I18&gt;0,IF(L7:L18&lt;&gt;"",ROW(I7:I18)-MIN(ROW(I7:I18))+1))),ROW()-ROW(A$21)+1)),",",";")),"")</f>
        <v>0</v>
      </c>
      <c r="N32">
        <f t="array" ref="N32">IFERROR(CONCATENATE(TEXT(INDEX(N7:N18,SMALL(IF(ISNUMBER(N7:N18),IF(N7:N18&gt;0,IF(Q7:Q18&lt;&gt;"",ROW(N7:N18)-MIN(ROW(N7:N18))+1))),ROW()-ROW(A$21)+1)),"##0"),",",INDEX(Q7:Q18,SMALL(IF(ISNUMBER(N7:N18),IF(N7:N18&gt;0,IF(Q7:Q18&lt;&gt;"",ROW(N7:N18)-MIN(ROW(N7:N18))+1))),ROW()-ROW(A$21)+1)),",",SUBSTITUTE(INDEX(IF(PURCHASE_DESCRIPTION&lt;&gt;"",PURCHASE_DESCRIPTION&amp;":","")&amp;A7:A18,SMALL(IF(ISNUMBER(N7:N18),IF(N7:N18&gt;0,IF(Q7:Q18&lt;&gt;"",ROW(N7:N18)-MIN(ROW(N7:N18))+1))),ROW()-ROW(A$21)+1)),",",";")),"")</f>
        <v>0</v>
      </c>
      <c r="S32">
        <f t="array" ref="S32">IFERROR(CONCATENATE(INDEX(V7:V18,SMALL(IF(ISNUMBER(S7:S18),IF(S7:S18&gt;0,IF(V7:V18&lt;&gt;"",ROW(S7:S18)-MIN(ROW(S7:S18))+1))),ROW()-ROW(A$21)+1))," ",TEXT(INDEX(S7:S18,SMALL(IF(ISNUMBER(S7:S18),IF(S7:S18&gt;0,IF(V7:V18&lt;&gt;"",ROW(S7:S18)-MIN(ROW(S7:S18))+1))),ROW()-ROW(A$21)+1)),"##0")," ",SUBSTITUTE(INDEX(IF(PURCHASE_DESCRIPTION&lt;&gt;"",PURCHASE_DESCRIPTION&amp;":","")&amp;A7:A18,SMALL(IF(ISNUMBER(S7:S18),IF(S7:S18&gt;0,IF(V7:V18&lt;&gt;"",ROW(S7:S18)-MIN(ROW(S7:S18))+1))),ROW()-ROW(A$21)+1))," ",";")),"")</f>
        <v>0</v>
      </c>
      <c r="X32">
        <f t="array" ref="X32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  <c r="AC32">
        <f t="array" ref="AC32">IFERROR(CONCATENATE(INDEX(AF7:AF18,SMALL(IF(ISNUMBER(AC7:AC18),IF(AC7:AC18&gt;0,IF(AF7:AF18&lt;&gt;"",ROW(AC7:AC18)-MIN(ROW(AC7:AC18))+1))),ROW()-ROW(A$21)+1)),"|",TEXT(INDEX(AC7:AC18,SMALL(IF(ISNUMBER(AC7:AC18),IF(AC7:AC18&gt;0,IF(AF7:AF18&lt;&gt;"",ROW(AC7:AC18)-MIN(ROW(AC7:AC18))+1))),ROW()-ROW(A$21)+1)),"##0"),"|",SUBSTITUTE(SUBSTITUTE(INDEX(IF(PURCHASE_DESCRIPTION&lt;&gt;"",PURCHASE_DESCRIPTION&amp;":","")&amp;A7:A18,SMALL(IF(ISNUMBER(AC7:AC18),IF(AC7:AC18&gt;0,IF(AF7:AF18&lt;&gt;"",ROW(AC7:AC18)-MIN(ROW(AC7:AC18))+1))),ROW()-ROW(A$21)+1)),"|",";")," ","_")),"")</f>
        <v>0</v>
      </c>
      <c r="AH32">
        <f t="array" ref="AH32">IFERROR(CONCATENATE(INDEX(AK7:AK18,SMALL(IF(ISNUMBER(AH7:AH18),IF(AH7:AH18&gt;0,IF(AK7:AK18&lt;&gt;"",ROW(AH7:AH18)-MIN(ROW(AH7:AH18))+1))),ROW()-ROW(A$21)+1)),",",TEXT(INDEX(AH7:AH18,SMALL(IF(ISNUMBER(AH7:AH18),IF(AH7:AH18&gt;0,IF(AK7:AK18&lt;&gt;"",ROW(AH7:AH18)-MIN(ROW(AH7:AH18))+1))),ROW()-ROW(A$21)+1)),"##0"),",",SUBSTITUTE(INDEX(IF(PURCHASE_DESCRIPTION&lt;&gt;"",PURCHASE_DESCRIPTION&amp;":","")&amp;A7:A18,SMALL(IF(ISNUMBER(AH7:AH18),IF(AH7:AH18&gt;0,IF(AK7:AK18&lt;&gt;"",ROW(AH7:AH18)-MIN(ROW(AH7:AH18))+1))),ROW()-ROW(A$21)+1)),",",";")),"")</f>
        <v>0</v>
      </c>
      <c r="AM32">
        <f t="array" ref="AM32">IFERROR(CONCATENATE(INDEX(AP7:AP18,SMALL(IF(ISNUMBER(AM7:AM18),IF(AM7:AM18&gt;0,IF(AP7:AP18&lt;&gt;"",ROW(AM7:AM18)-MIN(ROW(AM7:AM18))+1))),ROW()-ROW(A$21)+1))," ",TEXT(INDEX(AM7:AM18,SMALL(IF(ISNUMBER(AM7:AM18),IF(AM7:AM18&gt;0,IF(AP7:AP18&lt;&gt;"",ROW(AM7:AM18)-MIN(ROW(AM7:AM18))+1))),ROW()-ROW(A$21)+1)),"##0")," ",SUBSTITUTE(INDEX(IF(PURCHASE_DESCRIPTION&lt;&gt;"",PURCHASE_DESCRIPTION&amp;":","")&amp;A7:A18,SMALL(IF(ISNUMBER(AM7:AM18),IF(AM7:AM18&gt;0,IF(AP7:AP18&lt;&gt;"",ROW(AM7:AM18)-MIN(ROW(AM7:AM18))+1))),ROW()-ROW(A$21)+1))," ",";")),"")</f>
        <v>0</v>
      </c>
      <c r="AR32">
        <f t="array" ref="AR32">IFERROR(CONCATENATE(INDEX(AU7:AU18,SMALL(IF(ISNUMBER(AR7:AR18),IF(AR7:AR18&gt;0,IF(AU7:AU18&lt;&gt;"",ROW(AR7:AR18)-MIN(ROW(AR7:AR18))+1))),ROW()-ROW(A$21)+1))," ",TEXT(INDEX(AR7:AR18,SMALL(IF(ISNUMBER(AR7:AR18),IF(AR7:AR18&gt;0,IF(AU7:AU18&lt;&gt;"",ROW(AR7:AR18)-MIN(ROW(AR7:AR18))+1))),ROW()-ROW(A$21)+1)),"##0")," ",SUBSTITUTE(INDEX(IF(PURCHASE_DESCRIPTION&lt;&gt;"",PURCHASE_DESCRIPTION&amp;":","")&amp;A7:A18,SMALL(IF(ISNUMBER(AR7:AR18),IF(AR7:AR18&gt;0,IF(AU7:AU18&lt;&gt;"",ROW(AR7:AR18)-MIN(ROW(AR7:AR18))+1))),ROW()-ROW(A$21)+1))," ",";")),"")</f>
        <v>0</v>
      </c>
    </row>
    <row r="33" spans="24:24">
      <c r="X33">
        <f t="array" ref="X33">IFERROR(CONCATENATE(TEXT(INDEX(X7:X18,SMALL(IF(ISNUMBER(X7:X18),IF(X7:X18&gt;0,IF(AA7:AA18&lt;&gt;"",ROW(X7:X18)-MIN(ROW(X7:X18))+1))),ROW()-ROW(A$22)+1)),"##0"),",",SUBSTITUTE(INDEX(IF(PURCHASE_DESCRIPTION&lt;&gt;"",PURCHASE_DESCRIPTION&amp;":","")&amp;A7:A18,SMALL(IF(ISNUMBER(X7:X18),IF(X7:X18&gt;0,IF(AA7:AA18&lt;&gt;"",ROW(X7:X18)-MIN(ROW(X7:X18))+1))),ROW()-ROW(A$22)+1)),",",";"),",",SUBSTITUTE(INDEX(IF(PURCHASE_DESCRIPTION&lt;&gt;"",PURCHASE_DESCRIPTION&amp;":","")&amp;C7:C18,SMALL(IF(ISNUMBER(X7:X18),IF(X7:X18&gt;0,IF(AA7:AA18&lt;&gt;"",ROW(X7:X18)-MIN(ROW(X7:X18))+1))),ROW()-ROW(A$22)+1)),",",";"),",",INDEX(AA7:AA18,SMALL(IF(ISNUMBER(X7:X18),IF(X7:X18&gt;0,IF(AA7:AA18&lt;&gt;"",ROW(X7:X18)-MIN(ROW(X7:X18))+1))),ROW()-ROW(A$22)+1))),"")</f>
        <v>0</v>
      </c>
    </row>
  </sheetData>
  <mergeCells count="9">
    <mergeCell ref="A5:G5"/>
    <mergeCell ref="H5:L5"/>
    <mergeCell ref="M5:Q5"/>
    <mergeCell ref="R5:V5"/>
    <mergeCell ref="W5:AA5"/>
    <mergeCell ref="AB5:AF5"/>
    <mergeCell ref="AG5:AK5"/>
    <mergeCell ref="AL5:AP5"/>
    <mergeCell ref="AQ5:AU5"/>
  </mergeCells>
  <conditionalFormatting sqref="AB10">
    <cfRule type="cellIs" dxfId="1" priority="118" operator="equal">
      <formula>0</formula>
    </cfRule>
    <cfRule type="cellIs" dxfId="2" priority="119" operator="lessThan">
      <formula>E10</formula>
    </cfRule>
  </conditionalFormatting>
  <conditionalFormatting sqref="AB17">
    <cfRule type="cellIs" dxfId="1" priority="123" operator="equal">
      <formula>0</formula>
    </cfRule>
    <cfRule type="cellIs" dxfId="2" priority="124" operator="lessThan">
      <formula>E17</formula>
    </cfRule>
  </conditionalFormatting>
  <conditionalFormatting sqref="AB18">
    <cfRule type="cellIs" dxfId="1" priority="128" operator="equal">
      <formula>0</formula>
    </cfRule>
    <cfRule type="cellIs" dxfId="2" priority="129" operator="lessThan">
      <formula>E18</formula>
    </cfRule>
  </conditionalFormatting>
  <conditionalFormatting sqref="AB9">
    <cfRule type="cellIs" dxfId="1" priority="113" operator="equal">
      <formula>0</formula>
    </cfRule>
    <cfRule type="cellIs" dxfId="2" priority="114" operator="lessThan">
      <formula>E9</formula>
    </cfRule>
  </conditionalFormatting>
  <conditionalFormatting sqref="AC10">
    <cfRule type="cellIs" dxfId="1" priority="120" operator="greaterThan">
      <formula>AB10</formula>
    </cfRule>
  </conditionalFormatting>
  <conditionalFormatting sqref="AC17">
    <cfRule type="cellIs" dxfId="1" priority="125" operator="greaterThan">
      <formula>AB17</formula>
    </cfRule>
  </conditionalFormatting>
  <conditionalFormatting sqref="AC18">
    <cfRule type="cellIs" dxfId="1" priority="130" operator="greaterThan">
      <formula>AB18</formula>
    </cfRule>
  </conditionalFormatting>
  <conditionalFormatting sqref="AC9">
    <cfRule type="cellIs" dxfId="1" priority="115" operator="greaterThan">
      <formula>AB9</formula>
    </cfRule>
  </conditionalFormatting>
  <conditionalFormatting sqref="AD10">
    <cfRule type="cellIs" dxfId="4" priority="122" operator="lessThanOrEqual">
      <formula>F10</formula>
    </cfRule>
  </conditionalFormatting>
  <conditionalFormatting sqref="AD17">
    <cfRule type="cellIs" dxfId="4" priority="127" operator="lessThanOrEqual">
      <formula>F17</formula>
    </cfRule>
  </conditionalFormatting>
  <conditionalFormatting sqref="AD18">
    <cfRule type="cellIs" dxfId="4" priority="132" operator="lessThanOrEqual">
      <formula>F18</formula>
    </cfRule>
  </conditionalFormatting>
  <conditionalFormatting sqref="AD9">
    <cfRule type="cellIs" dxfId="4" priority="117" operator="lessThanOrEqual">
      <formula>F9</formula>
    </cfRule>
  </conditionalFormatting>
  <conditionalFormatting sqref="AE10">
    <cfRule type="cellIs" dxfId="4" priority="121" operator="lessThanOrEqual">
      <formula>G10</formula>
    </cfRule>
  </conditionalFormatting>
  <conditionalFormatting sqref="AE17">
    <cfRule type="cellIs" dxfId="4" priority="126" operator="lessThanOrEqual">
      <formula>G17</formula>
    </cfRule>
  </conditionalFormatting>
  <conditionalFormatting sqref="AE18">
    <cfRule type="cellIs" dxfId="4" priority="131" operator="lessThanOrEqual">
      <formula>G18</formula>
    </cfRule>
  </conditionalFormatting>
  <conditionalFormatting sqref="AE9">
    <cfRule type="cellIs" dxfId="4" priority="116" operator="lessThanOrEqual">
      <formula>G9</formula>
    </cfRule>
  </conditionalFormatting>
  <conditionalFormatting sqref="AG17">
    <cfRule type="cellIs" dxfId="1" priority="143" operator="equal">
      <formula>0</formula>
    </cfRule>
    <cfRule type="cellIs" dxfId="2" priority="144" operator="lessThan">
      <formula>E17</formula>
    </cfRule>
  </conditionalFormatting>
  <conditionalFormatting sqref="AG18">
    <cfRule type="cellIs" dxfId="1" priority="148" operator="equal">
      <formula>0</formula>
    </cfRule>
    <cfRule type="cellIs" dxfId="2" priority="149" operator="lessThan">
      <formula>E18</formula>
    </cfRule>
  </conditionalFormatting>
  <conditionalFormatting sqref="AG8">
    <cfRule type="cellIs" dxfId="1" priority="133" operator="equal">
      <formula>0</formula>
    </cfRule>
    <cfRule type="cellIs" dxfId="2" priority="134" operator="lessThan">
      <formula>E8</formula>
    </cfRule>
  </conditionalFormatting>
  <conditionalFormatting sqref="AG9">
    <cfRule type="cellIs" dxfId="1" priority="138" operator="equal">
      <formula>0</formula>
    </cfRule>
    <cfRule type="cellIs" dxfId="2" priority="139" operator="lessThan">
      <formula>E9</formula>
    </cfRule>
  </conditionalFormatting>
  <conditionalFormatting sqref="AH17">
    <cfRule type="cellIs" dxfId="1" priority="145" operator="greaterThan">
      <formula>AG17</formula>
    </cfRule>
  </conditionalFormatting>
  <conditionalFormatting sqref="AH18">
    <cfRule type="cellIs" dxfId="1" priority="150" operator="greaterThan">
      <formula>AG18</formula>
    </cfRule>
  </conditionalFormatting>
  <conditionalFormatting sqref="AH8">
    <cfRule type="cellIs" dxfId="1" priority="135" operator="greaterThan">
      <formula>AG8</formula>
    </cfRule>
  </conditionalFormatting>
  <conditionalFormatting sqref="AH9">
    <cfRule type="cellIs" dxfId="1" priority="140" operator="greaterThan">
      <formula>AG9</formula>
    </cfRule>
  </conditionalFormatting>
  <conditionalFormatting sqref="AI17">
    <cfRule type="cellIs" dxfId="4" priority="147" operator="lessThanOrEqual">
      <formula>F17</formula>
    </cfRule>
  </conditionalFormatting>
  <conditionalFormatting sqref="AI18">
    <cfRule type="cellIs" dxfId="4" priority="152" operator="lessThanOrEqual">
      <formula>F18</formula>
    </cfRule>
  </conditionalFormatting>
  <conditionalFormatting sqref="AI8">
    <cfRule type="cellIs" dxfId="4" priority="137" operator="lessThanOrEqual">
      <formula>F8</formula>
    </cfRule>
  </conditionalFormatting>
  <conditionalFormatting sqref="AI9">
    <cfRule type="cellIs" dxfId="4" priority="142" operator="lessThanOrEqual">
      <formula>F9</formula>
    </cfRule>
  </conditionalFormatting>
  <conditionalFormatting sqref="AJ17">
    <cfRule type="cellIs" dxfId="4" priority="146" operator="lessThanOrEqual">
      <formula>G17</formula>
    </cfRule>
  </conditionalFormatting>
  <conditionalFormatting sqref="AJ18">
    <cfRule type="cellIs" dxfId="4" priority="151" operator="lessThanOrEqual">
      <formula>G18</formula>
    </cfRule>
  </conditionalFormatting>
  <conditionalFormatting sqref="AJ8">
    <cfRule type="cellIs" dxfId="4" priority="136" operator="lessThanOrEqual">
      <formula>G8</formula>
    </cfRule>
  </conditionalFormatting>
  <conditionalFormatting sqref="AJ9">
    <cfRule type="cellIs" dxfId="4" priority="141" operator="lessThanOrEqual">
      <formula>G9</formula>
    </cfRule>
  </conditionalFormatting>
  <conditionalFormatting sqref="AL9">
    <cfRule type="cellIs" dxfId="1" priority="153" operator="equal">
      <formula>0</formula>
    </cfRule>
    <cfRule type="cellIs" dxfId="2" priority="154" operator="lessThan">
      <formula>E9</formula>
    </cfRule>
  </conditionalFormatting>
  <conditionalFormatting sqref="AM9">
    <cfRule type="expression" dxfId="3" priority="155">
      <formula>AND(AM9&gt;0,AM9&lt;4000)</formula>
    </cfRule>
    <cfRule type="cellIs" dxfId="1" priority="156" operator="greaterThan">
      <formula>AL9</formula>
    </cfRule>
  </conditionalFormatting>
  <conditionalFormatting sqref="AN9">
    <cfRule type="cellIs" dxfId="4" priority="158" operator="lessThanOrEqual">
      <formula>F9</formula>
    </cfRule>
  </conditionalFormatting>
  <conditionalFormatting sqref="AO9">
    <cfRule type="cellIs" dxfId="4" priority="157" operator="lessThanOrEqual">
      <formula>G9</formula>
    </cfRule>
  </conditionalFormatting>
  <conditionalFormatting sqref="AQ8">
    <cfRule type="cellIs" dxfId="1" priority="159" operator="equal">
      <formula>0</formula>
    </cfRule>
    <cfRule type="cellIs" dxfId="2" priority="160" operator="lessThan">
      <formula>E8</formula>
    </cfRule>
  </conditionalFormatting>
  <conditionalFormatting sqref="AQ9">
    <cfRule type="cellIs" dxfId="1" priority="165" operator="equal">
      <formula>0</formula>
    </cfRule>
    <cfRule type="cellIs" dxfId="2" priority="166" operator="lessThan">
      <formula>E9</formula>
    </cfRule>
  </conditionalFormatting>
  <conditionalFormatting sqref="AR8">
    <cfRule type="expression" dxfId="3" priority="161">
      <formula>AND(AR8&gt;0,AR8&lt;100)</formula>
    </cfRule>
    <cfRule type="cellIs" dxfId="1" priority="162" operator="greaterThan">
      <formula>AQ8</formula>
    </cfRule>
  </conditionalFormatting>
  <conditionalFormatting sqref="AR9">
    <cfRule type="expression" dxfId="3" priority="167">
      <formula>AND(AR9&gt;0,AR9&lt;100)</formula>
    </cfRule>
    <cfRule type="cellIs" dxfId="1" priority="168" operator="greaterThan">
      <formula>AQ9</formula>
    </cfRule>
  </conditionalFormatting>
  <conditionalFormatting sqref="AS8">
    <cfRule type="cellIs" dxfId="4" priority="164" operator="lessThanOrEqual">
      <formula>F8</formula>
    </cfRule>
  </conditionalFormatting>
  <conditionalFormatting sqref="AS9">
    <cfRule type="cellIs" dxfId="4" priority="170" operator="lessThanOrEqual">
      <formula>F9</formula>
    </cfRule>
  </conditionalFormatting>
  <conditionalFormatting sqref="AT8">
    <cfRule type="cellIs" dxfId="4" priority="163" operator="lessThanOrEqual">
      <formula>G8</formula>
    </cfRule>
  </conditionalFormatting>
  <conditionalFormatting sqref="AT9">
    <cfRule type="cellIs" dxfId="4" priority="169" operator="lessThanOrEqual">
      <formula>G9</formula>
    </cfRule>
  </conditionalFormatting>
  <conditionalFormatting sqref="E10">
    <cfRule type="expression" dxfId="0" priority="13">
      <formula>AND(ISBLANK(D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1">
    <cfRule type="expression" dxfId="0" priority="17">
      <formula>AND(ISBLANK(D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2">
    <cfRule type="expression" dxfId="0" priority="21">
      <formula>AND(ISBLANK(D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3">
    <cfRule type="expression" dxfId="0" priority="25">
      <formula>AND(ISBLANK(D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4">
    <cfRule type="expression" dxfId="0" priority="29">
      <formula>AND(ISBLANK(D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5">
    <cfRule type="expression" dxfId="0" priority="33">
      <formula>AND(ISBLANK(D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6">
    <cfRule type="expression" dxfId="0" priority="37">
      <formula>AND(ISBLANK(D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7">
    <cfRule type="expression" dxfId="0" priority="41">
      <formula>AND(ISBLANK(D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18">
    <cfRule type="expression" dxfId="0" priority="45">
      <formula>AND(ISBLANK(D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7">
    <cfRule type="expression" dxfId="0" priority="1">
      <formula>AND(ISBLANK(D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8">
    <cfRule type="expression" dxfId="0" priority="5">
      <formula>AND(ISBLANK(D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E9">
    <cfRule type="expression" dxfId="0" priority="9">
      <formula>AND(ISBLANK(D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M10">
    <cfRule type="cellIs" dxfId="1" priority="59" operator="equal">
      <formula>0</formula>
    </cfRule>
    <cfRule type="cellIs" dxfId="2" priority="60" operator="lessThan">
      <formula>E10</formula>
    </cfRule>
  </conditionalFormatting>
  <conditionalFormatting sqref="M17">
    <cfRule type="cellIs" dxfId="1" priority="65" operator="equal">
      <formula>0</formula>
    </cfRule>
    <cfRule type="cellIs" dxfId="2" priority="66" operator="lessThan">
      <formula>E17</formula>
    </cfRule>
  </conditionalFormatting>
  <conditionalFormatting sqref="M18">
    <cfRule type="cellIs" dxfId="1" priority="70" operator="equal">
      <formula>0</formula>
    </cfRule>
    <cfRule type="cellIs" dxfId="2" priority="71" operator="lessThan">
      <formula>E18</formula>
    </cfRule>
  </conditionalFormatting>
  <conditionalFormatting sqref="M8">
    <cfRule type="cellIs" dxfId="1" priority="49" operator="equal">
      <formula>0</formula>
    </cfRule>
    <cfRule type="cellIs" dxfId="2" priority="50" operator="lessThan">
      <formula>E8</formula>
    </cfRule>
  </conditionalFormatting>
  <conditionalFormatting sqref="M9">
    <cfRule type="cellIs" dxfId="1" priority="54" operator="equal">
      <formula>0</formula>
    </cfRule>
    <cfRule type="cellIs" dxfId="2" priority="55" operator="lessThan">
      <formula>E9</formula>
    </cfRule>
  </conditionalFormatting>
  <conditionalFormatting sqref="N10">
    <cfRule type="expression" dxfId="3" priority="61">
      <formula>AND(N10&gt;0,N10&lt;9000)</formula>
    </cfRule>
    <cfRule type="cellIs" dxfId="1" priority="62" operator="greaterThan">
      <formula>M10</formula>
    </cfRule>
  </conditionalFormatting>
  <conditionalFormatting sqref="N17">
    <cfRule type="cellIs" dxfId="1" priority="67" operator="greaterThan">
      <formula>M17</formula>
    </cfRule>
  </conditionalFormatting>
  <conditionalFormatting sqref="N18">
    <cfRule type="cellIs" dxfId="1" priority="72" operator="greaterThan">
      <formula>M18</formula>
    </cfRule>
  </conditionalFormatting>
  <conditionalFormatting sqref="N8">
    <cfRule type="cellIs" dxfId="1" priority="51" operator="greaterThan">
      <formula>M8</formula>
    </cfRule>
  </conditionalFormatting>
  <conditionalFormatting sqref="N9">
    <cfRule type="cellIs" dxfId="1" priority="56" operator="greaterThan">
      <formula>M9</formula>
    </cfRule>
  </conditionalFormatting>
  <conditionalFormatting sqref="O10">
    <cfRule type="cellIs" dxfId="4" priority="64" operator="lessThanOrEqual">
      <formula>F10</formula>
    </cfRule>
  </conditionalFormatting>
  <conditionalFormatting sqref="O17">
    <cfRule type="cellIs" dxfId="4" priority="69" operator="lessThanOrEqual">
      <formula>F17</formula>
    </cfRule>
  </conditionalFormatting>
  <conditionalFormatting sqref="O18">
    <cfRule type="cellIs" dxfId="4" priority="74" operator="lessThanOrEqual">
      <formula>F18</formula>
    </cfRule>
  </conditionalFormatting>
  <conditionalFormatting sqref="O8">
    <cfRule type="cellIs" dxfId="4" priority="53" operator="lessThanOrEqual">
      <formula>F8</formula>
    </cfRule>
  </conditionalFormatting>
  <conditionalFormatting sqref="O9">
    <cfRule type="cellIs" dxfId="4" priority="58" operator="lessThanOrEqual">
      <formula>F9</formula>
    </cfRule>
  </conditionalFormatting>
  <conditionalFormatting sqref="P10">
    <cfRule type="cellIs" dxfId="4" priority="63" operator="lessThanOrEqual">
      <formula>G10</formula>
    </cfRule>
  </conditionalFormatting>
  <conditionalFormatting sqref="P17">
    <cfRule type="cellIs" dxfId="4" priority="68" operator="lessThanOrEqual">
      <formula>G17</formula>
    </cfRule>
  </conditionalFormatting>
  <conditionalFormatting sqref="P18">
    <cfRule type="cellIs" dxfId="4" priority="73" operator="lessThanOrEqual">
      <formula>G18</formula>
    </cfRule>
  </conditionalFormatting>
  <conditionalFormatting sqref="P8">
    <cfRule type="cellIs" dxfId="4" priority="52" operator="lessThanOrEqual">
      <formula>G8</formula>
    </cfRule>
  </conditionalFormatting>
  <conditionalFormatting sqref="P9">
    <cfRule type="cellIs" dxfId="4" priority="57" operator="lessThanOrEqual">
      <formula>G9</formula>
    </cfRule>
  </conditionalFormatting>
  <conditionalFormatting sqref="R17">
    <cfRule type="cellIs" dxfId="1" priority="87" operator="equal">
      <formula>0</formula>
    </cfRule>
    <cfRule type="cellIs" dxfId="2" priority="88" operator="lessThan">
      <formula>E17</formula>
    </cfRule>
  </conditionalFormatting>
  <conditionalFormatting sqref="R18">
    <cfRule type="cellIs" dxfId="1" priority="92" operator="equal">
      <formula>0</formula>
    </cfRule>
    <cfRule type="cellIs" dxfId="2" priority="93" operator="lessThan">
      <formula>E18</formula>
    </cfRule>
  </conditionalFormatting>
  <conditionalFormatting sqref="R8">
    <cfRule type="cellIs" dxfId="1" priority="75" operator="equal">
      <formula>0</formula>
    </cfRule>
    <cfRule type="cellIs" dxfId="2" priority="76" operator="lessThan">
      <formula>E8</formula>
    </cfRule>
  </conditionalFormatting>
  <conditionalFormatting sqref="R9">
    <cfRule type="cellIs" dxfId="1" priority="81" operator="equal">
      <formula>0</formula>
    </cfRule>
    <cfRule type="cellIs" dxfId="2" priority="82" operator="lessThan">
      <formula>E9</formula>
    </cfRule>
  </conditionalFormatting>
  <conditionalFormatting sqref="S17">
    <cfRule type="cellIs" dxfId="1" priority="89" operator="greaterThan">
      <formula>R17</formula>
    </cfRule>
  </conditionalFormatting>
  <conditionalFormatting sqref="S18">
    <cfRule type="cellIs" dxfId="1" priority="94" operator="greaterThan">
      <formula>R18</formula>
    </cfRule>
  </conditionalFormatting>
  <conditionalFormatting sqref="S8">
    <cfRule type="expression" dxfId="3" priority="77">
      <formula>AND(S8&gt;0,S8&lt;10)</formula>
    </cfRule>
    <cfRule type="cellIs" dxfId="1" priority="78" operator="greaterThan">
      <formula>R8</formula>
    </cfRule>
  </conditionalFormatting>
  <conditionalFormatting sqref="S9">
    <cfRule type="expression" dxfId="3" priority="83">
      <formula>AND(S9&gt;0,S9&lt;10)</formula>
    </cfRule>
    <cfRule type="cellIs" dxfId="1" priority="84" operator="greaterThan">
      <formula>R9</formula>
    </cfRule>
  </conditionalFormatting>
  <conditionalFormatting sqref="T17">
    <cfRule type="cellIs" dxfId="4" priority="91" operator="lessThanOrEqual">
      <formula>F17</formula>
    </cfRule>
  </conditionalFormatting>
  <conditionalFormatting sqref="T18">
    <cfRule type="cellIs" dxfId="4" priority="96" operator="lessThanOrEqual">
      <formula>F18</formula>
    </cfRule>
  </conditionalFormatting>
  <conditionalFormatting sqref="T8">
    <cfRule type="cellIs" dxfId="4" priority="80" operator="lessThanOrEqual">
      <formula>F8</formula>
    </cfRule>
  </conditionalFormatting>
  <conditionalFormatting sqref="T9">
    <cfRule type="cellIs" dxfId="4" priority="86" operator="lessThanOrEqual">
      <formula>F9</formula>
    </cfRule>
  </conditionalFormatting>
  <conditionalFormatting sqref="U17">
    <cfRule type="cellIs" dxfId="4" priority="90" operator="lessThanOrEqual">
      <formula>G17</formula>
    </cfRule>
  </conditionalFormatting>
  <conditionalFormatting sqref="U18">
    <cfRule type="cellIs" dxfId="4" priority="95" operator="lessThanOrEqual">
      <formula>G18</formula>
    </cfRule>
  </conditionalFormatting>
  <conditionalFormatting sqref="U8">
    <cfRule type="cellIs" dxfId="4" priority="79" operator="lessThanOrEqual">
      <formula>G8</formula>
    </cfRule>
  </conditionalFormatting>
  <conditionalFormatting sqref="U9">
    <cfRule type="cellIs" dxfId="4" priority="85" operator="lessThanOrEqual">
      <formula>G9</formula>
    </cfRule>
  </conditionalFormatting>
  <conditionalFormatting sqref="W17">
    <cfRule type="cellIs" dxfId="1" priority="103" operator="equal">
      <formula>0</formula>
    </cfRule>
    <cfRule type="cellIs" dxfId="2" priority="104" operator="lessThan">
      <formula>E17</formula>
    </cfRule>
  </conditionalFormatting>
  <conditionalFormatting sqref="W18">
    <cfRule type="cellIs" dxfId="1" priority="108" operator="equal">
      <formula>0</formula>
    </cfRule>
    <cfRule type="cellIs" dxfId="2" priority="109" operator="lessThan">
      <formula>E18</formula>
    </cfRule>
  </conditionalFormatting>
  <conditionalFormatting sqref="W8">
    <cfRule type="cellIs" dxfId="1" priority="97" operator="equal">
      <formula>0</formula>
    </cfRule>
    <cfRule type="cellIs" dxfId="2" priority="98" operator="lessThan">
      <formula>E8</formula>
    </cfRule>
  </conditionalFormatting>
  <conditionalFormatting sqref="X17">
    <cfRule type="cellIs" dxfId="1" priority="105" operator="greaterThan">
      <formula>W17</formula>
    </cfRule>
  </conditionalFormatting>
  <conditionalFormatting sqref="X18">
    <cfRule type="cellIs" dxfId="1" priority="110" operator="greaterThan">
      <formula>W18</formula>
    </cfRule>
  </conditionalFormatting>
  <conditionalFormatting sqref="X8">
    <cfRule type="expression" dxfId="3" priority="99">
      <formula>AND(X8&gt;0,X8&lt;50)</formula>
    </cfRule>
    <cfRule type="cellIs" dxfId="1" priority="100" operator="greaterThan">
      <formula>W8</formula>
    </cfRule>
  </conditionalFormatting>
  <conditionalFormatting sqref="Y17">
    <cfRule type="cellIs" dxfId="4" priority="107" operator="lessThanOrEqual">
      <formula>F17</formula>
    </cfRule>
  </conditionalFormatting>
  <conditionalFormatting sqref="Y18">
    <cfRule type="cellIs" dxfId="4" priority="112" operator="lessThanOrEqual">
      <formula>F18</formula>
    </cfRule>
  </conditionalFormatting>
  <conditionalFormatting sqref="Y8">
    <cfRule type="cellIs" dxfId="4" priority="102" operator="lessThanOrEqual">
      <formula>F8</formula>
    </cfRule>
  </conditionalFormatting>
  <conditionalFormatting sqref="Z17">
    <cfRule type="cellIs" dxfId="4" priority="106" operator="lessThanOrEqual">
      <formula>G17</formula>
    </cfRule>
  </conditionalFormatting>
  <conditionalFormatting sqref="Z18">
    <cfRule type="cellIs" dxfId="4" priority="111" operator="lessThanOrEqual">
      <formula>G18</formula>
    </cfRule>
  </conditionalFormatting>
  <conditionalFormatting sqref="Z8">
    <cfRule type="cellIs" dxfId="4" priority="101" operator="lessThanOrEqual">
      <formula>G8</formula>
    </cfRule>
  </conditionalFormatting>
  <hyperlinks>
    <hyperlink ref="B2" r:id="rId1"/>
    <hyperlink ref="D7" r:id="rId2"/>
    <hyperlink ref="Q8" r:id="rId3"/>
    <hyperlink ref="V8" r:id="rId4"/>
    <hyperlink ref="AA8" r:id="rId5"/>
    <hyperlink ref="AK8" r:id="rId6"/>
    <hyperlink ref="AU8" r:id="rId7"/>
    <hyperlink ref="Q9" r:id="rId8"/>
    <hyperlink ref="V9" r:id="rId9"/>
    <hyperlink ref="AF9" r:id="rId10"/>
    <hyperlink ref="AK9" r:id="rId11"/>
    <hyperlink ref="AP9" r:id="rId12"/>
    <hyperlink ref="AU9" r:id="rId13"/>
    <hyperlink ref="Q10" r:id="rId14"/>
    <hyperlink ref="AF10" r:id="rId15"/>
    <hyperlink ref="D12" r:id="rId16"/>
    <hyperlink ref="Q17" r:id="rId17"/>
    <hyperlink ref="V17" r:id="rId18"/>
    <hyperlink ref="AA17" r:id="rId19"/>
    <hyperlink ref="AF17" r:id="rId20"/>
    <hyperlink ref="AK17" r:id="rId21"/>
    <hyperlink ref="Q18" r:id="rId22"/>
    <hyperlink ref="V18" r:id="rId23"/>
    <hyperlink ref="AA18" r:id="rId24"/>
    <hyperlink ref="AF18" r:id="rId25"/>
    <hyperlink ref="AK18" r:id="rId26"/>
  </hyperlinks>
  <pageMargins left="0.7" right="0.7" top="0.75" bottom="0.75" header="0.3" footer="0.3"/>
  <legacy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ProMicro_CONN.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USD_EUR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2020-07-11T08:05:43Z</dcterms:created>
  <dcterms:modified xsi:type="dcterms:W3CDTF">2020-07-11T08:05:43Z</dcterms:modified>
</cp:coreProperties>
</file>