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icro_UART. " sheetId="1" r:id="rId1"/>
  </sheets>
  <definedNames>
    <definedName name="arrow_part_data">'ProMicro_UART. '!$H$5:$L$34</definedName>
    <definedName name="BoardQty">'ProMicro_UART. '!$G$1</definedName>
    <definedName name="digikey_part_data">'ProMicro_UART. '!$M$5:$Q$34</definedName>
    <definedName name="farnell_part_data">'ProMicro_UART. '!$R$5:$V$34</definedName>
    <definedName name="global_part_data">'ProMicro_UART. '!$A$5:$G$34</definedName>
    <definedName name="lcsc_part_data">'ProMicro_UART. '!$W$5:$AA$34</definedName>
    <definedName name="mouser_part_data">'ProMicro_UART. '!$AB$5:$AF$34</definedName>
    <definedName name="newark_part_data">'ProMicro_UART. '!$AG$5:$AK$34</definedName>
    <definedName name="PURCHASE_DESCRIPTION">'ProMicro_UART. '!$G$37</definedName>
    <definedName name="rs_part_data">'ProMicro_UART. '!$AL$5:$AP$34</definedName>
    <definedName name="tme_part_data">'ProMicro_UART. '!$AQ$5:$AU$34</definedName>
    <definedName name="TotalCost">'ProMicro_UART. '!$G$3</definedName>
    <definedName name="USD_EUR">'ProMicro_UART. '!$C$37</definedName>
    <definedName name="USD_GBP">'ProMicro_UART. '!$C$38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$0.02      $0.76
   100   $0.01      $1.24
   500   $0.01      $4.43
  1000   $0.01      $6.96
  2500   $0.01     $15.80
  5000   $0.01     $29.10
 10000   $0.00     $48.30
 20000   $0.00     $92.00
 30000   $0.00    $131.10
 50000   $0.00    $195.50
100000   $0.00    $316.00
150000   $0.00    $459.00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£0.24
   100   £0.01      £1.45
   150   £0.01      £2.18
   500   £0.01      £3.90
  2500   £0.01     £15.25
  5000   £0.00     £24.50
 10000   £0.00     £33.00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$0.24
  1000   $0.00      $1.77
  3000   $0.00      $4.95
 10000   $0.00     $15.30
 50000   $0.00     $72.50
100000   $0.00    $144.00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$40.00
 10000   $0.01     $60.00</t>
        </r>
      </text>
    </comment>
    <comment ref="AN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£0.00     £30.00</t>
        </r>
      </text>
    </comment>
    <comment ref="AS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€0.02      €1.75
  1000   €0.01      €5.39
 10000   €0.00     €22.60
 50000   €0.00    €104.50
100000   €0.00    €198.00</t>
        </r>
      </text>
    </comment>
    <comment ref="M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$1.15
    50   $0.07      $3.28
   100   $0.05      $5.43
   500   $0.04     $19.04
  1000   $0.03     $31.52
  4000   $0.02     $97.64
  8000   $0.02    $181.60
 12000   $0.02    $258.84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£1.36
   100   £0.06      £5.80
   150   £0.06      £8.70
   500   £0.04     £18.80
  1000   £0.03     £29.10
  2000   £0.03     £54.80
  4000   £0.02     £80.00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$0.50
   500   $0.01      $3.64
  1500   $0.01     $10.20
  5000   $0.01     $31.60
 25000   $0.01    $150.00
 50000   $0.01    $297.50</t>
        </r>
      </text>
    </comment>
    <comment ref="AI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25   $0.15      $3.78
    50   $0.11      $5.55
   100   $0.07      $7.00
   250   $0.06     $15.00
   500   $0.05     $24.50
  1000   $0.04     $41.00
  4000   $0.02    $100.00
  8000   $0.02    $192.00</t>
        </r>
      </text>
    </comment>
    <comment ref="AS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€0.05      €5.07
  1000   €0.02     €21.30
  4000   €0.01     €56.00
 12000   €0.01    €157.20
 20000   €0.01    €250.00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$0.83
    50   $0.05      $2.26
   100   $0.04      $3.69
   500   $0.03     $13.19
  1000   $0.02     $20.72
  2500   $0.02     $47.10
  5000   $0.02     $86.65
 10000   $0.01    $143.90
 20000   $0.01    $274.20
 30000   $0.01    $390.60
 50000   $0.01    $582.50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$0.57
   500   $0.01      $4.20
  1500   $0.01     $11.77
  5000   $0.01     $36.45
 25000   $0.01    $176.25
 50000   $0.01    $346.00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$1.32
    50   $0.08      $3.97
   100   $0.07      $6.70
   500   $0.05     $22.94
  1000   $0.04     $40.58
  4000   $0.03    $137.92
  8000   $0.03    $256.64
 12000   $0.03    $365.64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£2.16
   100   £0.11     £10.80
   150   £0.11     £16.20
   500   £0.06     £31.50
  1000   £0.05     £52.20
  2000   £0.04     £89.20
  4000   £0.03    £139.60
 20000   £0.03    £592.00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$0.50
   500   $0.01      $3.74
  1500   $0.01     $10.51
  5000   $0.01     $32.70
 25000   $0.01    $158.00
 50000   $0.01    $311.00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25   $0.20      $4.90
    50   $0.15      $7.65
   100   $0.11     $11.10
   250   $0.10     $23.75
   500   $0.08     $39.00
  1000   $0.07     $68.00
  4000   $0.05    $212.00
  8000   $0.05    $408.00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$0.58
   500   $0.01      $4.34
  1500   $0.01     $12.20
  5000   $0.01     $37.90
 25000   $0.01    $183.50
 50000   $0.01    $361.00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$1.03
    50   $0.06      $2.92
   100   $0.05      $4.84
   500   $0.03     $16.98
  1000   $0.03     $28.11
  4000   $0.02     $87.04
  8000   $0.02    $161.92
 12000   $0.02    $230.76</t>
        </r>
      </text>
    </comment>
    <comment ref="T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£0.08      £8.40
   150   £0.08     £12.60
   500   £0.05     £27.40
  1000   £0.05     £46.30
  2000   £0.04     £79.00
  4000   £0.03    £126.00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$0.33
   200   $0.01      $2.42
   600   $0.01      $6.78
  2000   $0.01     $20.98
 10000   $0.01    $101.30
 20000   $0.01    $199.00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$0.04    $168.00
  5000   $0.04    $195.00
 10000   $0.03    $340.00
 20000   $0.03    $580.00
 30000   $0.02    $720.00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£0.14      £6.75
   250   £0.08     £19.00
   500   £0.05     £25.50
  2500   £0.05    £120.00
  5000   £0.04    £210.00</t>
        </r>
      </text>
    </comment>
    <comment ref="AS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€0.06      €5.94
   300   €0.04     €12.39
  1000   €0.03     €26.50
  4000   €0.02     €80.40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9000   $0.11    $996.30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$0.32      $3.25
   100   $0.20     $20.00
  1000   $0.14    $145.00
  3000   $0.11    $333.00
  9000   $0.10    $918.00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9000   $0.11    $996.30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$0.32      $3.25
   100   $0.20     $20.00
  1000   $0.14    $145.00
  3000   $0.11    $333.00
  9000   $0.10    $918.00</t>
        </r>
      </text>
    </comment>
    <comment ref="AS2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€0.01      €0.91
  1000   €0.00      €2.44
 10000   €0.00      €7.10
 30000   €0.00     €18.90
 50000   €0.00     €44.00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€0.01      €0.91
  1000   €0.00      €2.44
 10000   €0.00     €10.40
 50000   €0.00     €44.00</t>
        </r>
      </text>
    </comment>
    <comment ref="AS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€0.01      €0.91
  1000   €0.00      €2.44
 10000   €0.00     €10.40
 50000   €0.00     €44.00</t>
        </r>
      </text>
    </comment>
    <comment ref="AS2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€0.01      €0.70
  1000   €0.00      €1.88
 10000   €0.00      €6.00
 50000   €0.00     €25.50
100000   €0.00     €49.00
200000   €0.00     €94.00</t>
        </r>
      </text>
    </comment>
    <comment ref="F36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7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37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<sst xmlns="http://schemas.openxmlformats.org/spreadsheetml/2006/main" count="248" uniqueCount="152">
  <si>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</si>
  <si>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</si>
  <si>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</si>
  <si>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</si>
  <si>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</si>
  <si>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</si>
  <si>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</si>
  <si>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</si>
  <si>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C1,C3,C7,C8,C10-C12</t>
  </si>
  <si>
    <t>100n</t>
  </si>
  <si>
    <t>C_0402_1005Metric</t>
  </si>
  <si>
    <t>CL05B104KO5NNNC</t>
  </si>
  <si>
    <t>C13,C14</t>
  </si>
  <si>
    <t>1µ</t>
  </si>
  <si>
    <t>C_0603_1608Metric</t>
  </si>
  <si>
    <t>CL10A105KB8NNNC</t>
  </si>
  <si>
    <t>C2</t>
  </si>
  <si>
    <t>4.7µ</t>
  </si>
  <si>
    <t>CL05A475MP5NRNC</t>
  </si>
  <si>
    <t>C4</t>
  </si>
  <si>
    <t>10µ</t>
  </si>
  <si>
    <t>CL10A106KP8NNNC</t>
  </si>
  <si>
    <t>C5,C6</t>
  </si>
  <si>
    <t>27p</t>
  </si>
  <si>
    <t>0402CG270J500NTN</t>
  </si>
  <si>
    <t>C9</t>
  </si>
  <si>
    <t>R_0603_1608Metric</t>
  </si>
  <si>
    <t>CL10A475KO8NNNC</t>
  </si>
  <si>
    <t>D1</t>
  </si>
  <si>
    <t>TX</t>
  </si>
  <si>
    <t>LED_0603_1608Metric</t>
  </si>
  <si>
    <t>19-217/GHC-YR1S2/3T</t>
  </si>
  <si>
    <t>D2</t>
  </si>
  <si>
    <t>RX</t>
  </si>
  <si>
    <t>J2</t>
  </si>
  <si>
    <t>Conn_01x06</t>
  </si>
  <si>
    <t>PinHeader_1x06_P2.54mm_Horizontal</t>
  </si>
  <si>
    <t>J3</t>
  </si>
  <si>
    <t>USB_B_Mini</t>
  </si>
  <si>
    <t>USB_Mini-B_Wuerth_65100516121_Horizontal</t>
  </si>
  <si>
    <t>JP10,JP11</t>
  </si>
  <si>
    <t>Jumper_3_Bridged12</t>
  </si>
  <si>
    <t>SolderJumper-3_P1.3mm_Open_RoundedPad1.0x1.5mm</t>
  </si>
  <si>
    <t>JP16</t>
  </si>
  <si>
    <t>SolderJumper-3_P1.3mm_Bridged12_RoundedPad1.0x1.5mm</t>
  </si>
  <si>
    <t>JP1-JP9,JP12-JP15,JP17,JP18</t>
  </si>
  <si>
    <t>Jumper_NO_Small</t>
  </si>
  <si>
    <t>SolderJumper-2_P1.3mm_Open_RoundedPad1.0x1.5mm</t>
  </si>
  <si>
    <t>L1</t>
  </si>
  <si>
    <t>0</t>
  </si>
  <si>
    <t>L_0603_1608Metric</t>
  </si>
  <si>
    <t>LOGO1</t>
  </si>
  <si>
    <t>Logo_Open_Hardware_Small</t>
  </si>
  <si>
    <t>OSHW-Symbol_6.7x6mm_SilkScreen</t>
  </si>
  <si>
    <t>R1,R2</t>
  </si>
  <si>
    <t>22</t>
  </si>
  <si>
    <t>R_0402_1005Metric</t>
  </si>
  <si>
    <t>0402WGF220JTCE</t>
  </si>
  <si>
    <t>R15</t>
  </si>
  <si>
    <t>39k</t>
  </si>
  <si>
    <t>0402WGF3902TCE</t>
  </si>
  <si>
    <t>R16,R17</t>
  </si>
  <si>
    <t>220</t>
  </si>
  <si>
    <t>0603WAF2200T5E</t>
  </si>
  <si>
    <t>R22</t>
  </si>
  <si>
    <t>12k</t>
  </si>
  <si>
    <t>0402WGF1202TCE</t>
  </si>
  <si>
    <t>R23</t>
  </si>
  <si>
    <t>2k</t>
  </si>
  <si>
    <t>0603WAF2001T5E</t>
  </si>
  <si>
    <t>R3,R4</t>
  </si>
  <si>
    <t>4k7</t>
  </si>
  <si>
    <t>0402WGF4701TCE</t>
  </si>
  <si>
    <t>R5</t>
  </si>
  <si>
    <t>1k</t>
  </si>
  <si>
    <t>0603WAF1001T5E</t>
  </si>
  <si>
    <t>R19-R21</t>
  </si>
  <si>
    <t>10k</t>
  </si>
  <si>
    <t>0603WAF1002T5E</t>
  </si>
  <si>
    <t>TP1</t>
  </si>
  <si>
    <t>initials</t>
  </si>
  <si>
    <t>U1</t>
  </si>
  <si>
    <t>FT232H</t>
  </si>
  <si>
    <t>LQFP-48_7x7mm_P0.5mm</t>
  </si>
  <si>
    <t>FT232HL</t>
  </si>
  <si>
    <t>U2</t>
  </si>
  <si>
    <t>93CxxB</t>
  </si>
  <si>
    <t>MSOP-8_3x3mm_P0.65mm</t>
  </si>
  <si>
    <t>http://ww1.microchip.com/downloads/en/DeviceDoc/20001749K.pdf</t>
  </si>
  <si>
    <t>U3</t>
  </si>
  <si>
    <t>AZ1117-3.3</t>
  </si>
  <si>
    <t>SOT-23-5</t>
  </si>
  <si>
    <t>https://www.diodes.com/assets/Datasheets/AZ1117.pdf</t>
  </si>
  <si>
    <t>Y1</t>
  </si>
  <si>
    <t>12MHz</t>
  </si>
  <si>
    <t>Crystal_SMD_3225-4Pin_3.2x2.5mm</t>
  </si>
  <si>
    <t>Total Purchase:</t>
  </si>
  <si>
    <t>Purchase description:</t>
  </si>
  <si>
    <t>Used currency rates:</t>
  </si>
  <si>
    <t>USD($)/EUR(€):</t>
  </si>
  <si>
    <t>USD($)/GBP(£):</t>
  </si>
  <si>
    <t>Prj:</t>
  </si>
  <si>
    <t>ProMicro_UART</t>
  </si>
  <si>
    <t>Co.:</t>
  </si>
  <si>
    <t>https://twitter.com/nerdyscout84</t>
  </si>
  <si>
    <t>Prj date:</t>
  </si>
  <si>
    <t>Wed Jul  8 21:12:14 2020</t>
  </si>
  <si>
    <t>Board Qty:</t>
  </si>
  <si>
    <t>Total Cost:</t>
  </si>
  <si>
    <t>Unit Cost:</t>
  </si>
  <si>
    <t>$ date:</t>
  </si>
  <si>
    <t>2020-07-08 21:12:32</t>
  </si>
  <si>
    <t>Arrow</t>
  </si>
  <si>
    <t>Avail</t>
  </si>
  <si>
    <t>Purch</t>
  </si>
  <si>
    <t>Cat#</t>
  </si>
  <si>
    <t>Digi-Key</t>
  </si>
  <si>
    <t>1276-1001-1-ND</t>
  </si>
  <si>
    <t>1276-1860-1-ND</t>
  </si>
  <si>
    <t>NonStk</t>
  </si>
  <si>
    <t>1276-1482-1-ND</t>
  </si>
  <si>
    <t>1276-1192-1-ND</t>
  </si>
  <si>
    <t>1276-1784-1-ND</t>
  </si>
  <si>
    <t>19-217/GHC-YR1S2/3T-ND</t>
  </si>
  <si>
    <t>Farnell</t>
  </si>
  <si>
    <t>3013349</t>
  </si>
  <si>
    <t>3013383</t>
  </si>
  <si>
    <t>3013386</t>
  </si>
  <si>
    <t>3013397</t>
  </si>
  <si>
    <t>LCSC</t>
  </si>
  <si>
    <t>C1525</t>
  </si>
  <si>
    <t>C15849</t>
  </si>
  <si>
    <t>C23733</t>
  </si>
  <si>
    <t>C15525</t>
  </si>
  <si>
    <t>C19702</t>
  </si>
  <si>
    <t>C19666</t>
  </si>
  <si>
    <t>Mouser</t>
  </si>
  <si>
    <t>63819217GHCYR1S23T</t>
  </si>
  <si>
    <t>Newark</t>
  </si>
  <si>
    <t>98AC7304</t>
  </si>
  <si>
    <t>82AC9277</t>
  </si>
  <si>
    <t>82AC9283</t>
  </si>
  <si>
    <t>02AH6818</t>
  </si>
  <si>
    <t>RS Components</t>
  </si>
  <si>
    <t>7661299</t>
  </si>
  <si>
    <t>7661009</t>
  </si>
  <si>
    <t>TME</t>
  </si>
  <si>
    <t>SMD040222R1%</t>
  </si>
  <si>
    <t>SMD040239K1%</t>
  </si>
  <si>
    <t>SMD040212K1%</t>
  </si>
  <si>
    <t>SMD04024K71%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</si>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</sst>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erdyscout84" TargetMode="External"/><Relationship Id="rId2" Type="http://schemas.openxmlformats.org/officeDocument/2006/relationships/hyperlink" Target="https://octopart.com/click/track?ai=8078&amp;sig=0821379&amp;sid=459&amp;ppid=9299366&amp;vpid=72522640&amp;ct=offers" TargetMode="External"/><Relationship Id="rId3" Type="http://schemas.openxmlformats.org/officeDocument/2006/relationships/hyperlink" Target="https://octopart.com/click/track?ai=8078&amp;sig=0e8aa82&amp;sid=11744&amp;ppid=9299366&amp;vpid=541618808&amp;ct=offers" TargetMode="External"/><Relationship Id="rId4" Type="http://schemas.openxmlformats.org/officeDocument/2006/relationships/hyperlink" Target="https://octopart.com/click/track?ai=8078&amp;sig=0d962d1&amp;sid=27971&amp;ppid=9299366&amp;vpid=476994634&amp;ct=offers" TargetMode="External"/><Relationship Id="rId5" Type="http://schemas.openxmlformats.org/officeDocument/2006/relationships/hyperlink" Target="https://octopart.com/click/track?c=1&amp;ai=8078&amp;sig=05ff27b&amp;sid=2402&amp;ppid=9299366&amp;vpid=533142740&amp;ct=offers" TargetMode="External"/><Relationship Id="rId6" Type="http://schemas.openxmlformats.org/officeDocument/2006/relationships/hyperlink" Target="https://octopart.com/click/track?ai=8078&amp;sig=03d0ec2&amp;sid=10022&amp;ppid=9299366&amp;vpid=562865962&amp;ct=offers" TargetMode="External"/><Relationship Id="rId7" Type="http://schemas.openxmlformats.org/officeDocument/2006/relationships/hyperlink" Target="https://octopart.com/click/track?ai=8078&amp;sig=0692860&amp;sid=1532&amp;ppid=9299366&amp;vpid=88730907&amp;ct=offers" TargetMode="External"/><Relationship Id="rId8" Type="http://schemas.openxmlformats.org/officeDocument/2006/relationships/hyperlink" Target="https://octopart.com/click/track?c=1&amp;ai=8078&amp;sig=0588127&amp;sid=459&amp;ppid=23919125&amp;vpid=72523544&amp;ct=offers" TargetMode="External"/><Relationship Id="rId9" Type="http://schemas.openxmlformats.org/officeDocument/2006/relationships/hyperlink" Target="https://octopart.com/click/track?ai=8078&amp;sig=06f3286&amp;sid=819&amp;ppid=23919125&amp;vpid=541437241&amp;ct=offers" TargetMode="External"/><Relationship Id="rId10" Type="http://schemas.openxmlformats.org/officeDocument/2006/relationships/hyperlink" Target="https://octopart.com/click/track?ai=8078&amp;sig=0895b24&amp;sid=27971&amp;ppid=23919125&amp;vpid=476994652&amp;ct=offers" TargetMode="External"/><Relationship Id="rId11" Type="http://schemas.openxmlformats.org/officeDocument/2006/relationships/hyperlink" Target="https://octopart.com/click/track?ai=8078&amp;sig=03333e5&amp;sid=2402&amp;ppid=23919125&amp;vpid=511545386&amp;ct=offers" TargetMode="External"/><Relationship Id="rId12" Type="http://schemas.openxmlformats.org/officeDocument/2006/relationships/hyperlink" Target="https://octopart.com/click/track?ai=8078&amp;sig=079e760&amp;sid=1532&amp;ppid=23919125&amp;vpid=262450101&amp;ct=offers" TargetMode="External"/><Relationship Id="rId13" Type="http://schemas.openxmlformats.org/officeDocument/2006/relationships/hyperlink" Target="https://octopart.com/click/track?c=1&amp;ai=8078&amp;sig=09a1e03&amp;sid=459&amp;ppid=22054397&amp;vpid=72522533&amp;ct=offers" TargetMode="External"/><Relationship Id="rId14" Type="http://schemas.openxmlformats.org/officeDocument/2006/relationships/hyperlink" Target="https://octopart.com/click/track?ai=8078&amp;sig=0788dd6&amp;sid=27971&amp;ppid=22054397&amp;vpid=479763277&amp;ct=offers" TargetMode="External"/><Relationship Id="rId15" Type="http://schemas.openxmlformats.org/officeDocument/2006/relationships/hyperlink" Target="https://octopart.com/click/track?ai=8078&amp;sig=0f78652&amp;sid=459&amp;ppid=19831471&amp;vpid=72523582&amp;ct=offers" TargetMode="External"/><Relationship Id="rId16" Type="http://schemas.openxmlformats.org/officeDocument/2006/relationships/hyperlink" Target="https://octopart.com/click/track?ai=8078&amp;sig=0fd3285&amp;sid=819&amp;ppid=19831471&amp;vpid=541437247&amp;ct=offers" TargetMode="External"/><Relationship Id="rId17" Type="http://schemas.openxmlformats.org/officeDocument/2006/relationships/hyperlink" Target="https://octopart.com/click/track?ai=8078&amp;sig=0312dd9&amp;sid=27971&amp;ppid=22240478&amp;vpid=495887209&amp;ct=offers" TargetMode="External"/><Relationship Id="rId18" Type="http://schemas.openxmlformats.org/officeDocument/2006/relationships/hyperlink" Target="https://octopart.com/click/track?ai=8078&amp;sig=0fba675&amp;sid=2402&amp;ppid=19831471&amp;vpid=511545402&amp;ct=offers" TargetMode="External"/><Relationship Id="rId19" Type="http://schemas.openxmlformats.org/officeDocument/2006/relationships/hyperlink" Target="https://octopart.com/click/track?ai=8078&amp;sig=05234ec&amp;sid=27971&amp;ppid=19831471&amp;vpid=476994653&amp;ct=offers" TargetMode="External"/><Relationship Id="rId20" Type="http://schemas.openxmlformats.org/officeDocument/2006/relationships/hyperlink" Target="https://octopart.com/click/track?c=1&amp;ai=8078&amp;sig=0b11f69&amp;sid=459&amp;ppid=19831517&amp;vpid=72523730&amp;ct=offers" TargetMode="External"/><Relationship Id="rId21" Type="http://schemas.openxmlformats.org/officeDocument/2006/relationships/hyperlink" Target="https://octopart.com/click/track?ai=8078&amp;sig=065c350&amp;sid=819&amp;ppid=19831517&amp;vpid=541437265&amp;ct=offers" TargetMode="External"/><Relationship Id="rId22" Type="http://schemas.openxmlformats.org/officeDocument/2006/relationships/hyperlink" Target="https://octopart.com/click/track?ai=8078&amp;sig=02b0d0c&amp;sid=27971&amp;ppid=19831517&amp;vpid=476994663&amp;ct=offers" TargetMode="External"/><Relationship Id="rId23" Type="http://schemas.openxmlformats.org/officeDocument/2006/relationships/hyperlink" Target="https://octopart.com/click/track?c=1&amp;ai=8078&amp;sig=036a1f3&amp;sid=2402&amp;ppid=19831517&amp;vpid=547460438&amp;ct=offers" TargetMode="External"/><Relationship Id="rId24" Type="http://schemas.openxmlformats.org/officeDocument/2006/relationships/hyperlink" Target="https://octopart.com/click/track?ai=8078&amp;sig=06f21be&amp;sid=10022&amp;ppid=19831517&amp;vpid=562866029&amp;ct=offers" TargetMode="External"/><Relationship Id="rId25" Type="http://schemas.openxmlformats.org/officeDocument/2006/relationships/hyperlink" Target="https://octopart.com/click/track?ai=8078&amp;sig=0390d37&amp;sid=1532&amp;ppid=19831517&amp;vpid=127256832&amp;ct=offers" TargetMode="External"/><Relationship Id="rId26" Type="http://schemas.openxmlformats.org/officeDocument/2006/relationships/hyperlink" Target="https://octopart.com/click/track?c=1&amp;ai=8078&amp;sig=05bb2fa&amp;sid=459&amp;ppid=12410178&amp;vpid=39241339&amp;ct=offers" TargetMode="External"/><Relationship Id="rId27" Type="http://schemas.openxmlformats.org/officeDocument/2006/relationships/hyperlink" Target="https://octopart.com/click/track?ai=8078&amp;sig=01732ef&amp;sid=2401&amp;ppid=12410178&amp;vpid=165359870&amp;ct=offers" TargetMode="External"/><Relationship Id="rId28" Type="http://schemas.openxmlformats.org/officeDocument/2006/relationships/hyperlink" Target="https://octopart.com/click/track?c=1&amp;ai=8078&amp;sig=05bb2fa&amp;sid=459&amp;ppid=12410178&amp;vpid=39241339&amp;ct=offers" TargetMode="External"/><Relationship Id="rId29" Type="http://schemas.openxmlformats.org/officeDocument/2006/relationships/hyperlink" Target="https://octopart.com/click/track?ai=8078&amp;sig=01732ef&amp;sid=2401&amp;ppid=12410178&amp;vpid=165359870&amp;ct=offers" TargetMode="External"/><Relationship Id="rId30" Type="http://schemas.openxmlformats.org/officeDocument/2006/relationships/hyperlink" Target="https://octopart.com/click/track?ai=8078&amp;sig=026ed45&amp;sid=1532&amp;ppid=61710444&amp;vpid=217628767&amp;ct=offers" TargetMode="External"/><Relationship Id="rId31" Type="http://schemas.openxmlformats.org/officeDocument/2006/relationships/hyperlink" Target="https://octopart.com/click/track?ai=8078&amp;sig=0df1b20&amp;sid=1532&amp;ppid=61710477&amp;vpid=217628809&amp;ct=offers" TargetMode="External"/><Relationship Id="rId32" Type="http://schemas.openxmlformats.org/officeDocument/2006/relationships/hyperlink" Target="https://octopart.com/click/track?ai=8078&amp;sig=0eb86a0&amp;sid=1532&amp;ppid=61710405&amp;vpid=217628712&amp;ct=offers" TargetMode="External"/><Relationship Id="rId33" Type="http://schemas.openxmlformats.org/officeDocument/2006/relationships/hyperlink" Target="https://octopart.com/click/track?ai=8078&amp;sig=0dcc2d7&amp;sid=1532&amp;ppid=61710487&amp;vpid=217628825&amp;ct=offers" TargetMode="External"/><Relationship Id="rId34" Type="http://schemas.openxmlformats.org/officeDocument/2006/relationships/hyperlink" Target="https://www.ftdichip.com/Support/Documents/DataSheets/ICs/DS_FT232H.pdf" TargetMode="External"/><Relationship Id="rId35" Type="http://schemas.openxmlformats.org/officeDocument/2006/relationships/hyperlink" Target="http://ww1.microchip.com/downloads/en/DeviceDoc/20001749K.pdf" TargetMode="External"/><Relationship Id="rId36" Type="http://schemas.openxmlformats.org/officeDocument/2006/relationships/hyperlink" Target="https://www.diodes.com/assets/Datasheets/AZ1117.pdf" TargetMode="Externa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101</v>
      </c>
      <c r="B1" s="2" t="s">
        <v>102</v>
      </c>
      <c r="F1" s="3" t="s">
        <v>107</v>
      </c>
      <c r="G1" s="3">
        <v>100</v>
      </c>
    </row>
    <row r="2" spans="1:47">
      <c r="A2" s="1" t="s">
        <v>103</v>
      </c>
      <c r="B2" s="2" t="s">
        <v>104</v>
      </c>
      <c r="F2" s="1" t="s">
        <v>109</v>
      </c>
      <c r="G2" s="4">
        <f>TotalCost/BoardQty</f>
        <v>0</v>
      </c>
    </row>
    <row r="3" spans="1:47">
      <c r="A3" s="1" t="s">
        <v>105</v>
      </c>
      <c r="B3" s="2" t="s">
        <v>106</v>
      </c>
      <c r="F3" s="1" t="s">
        <v>108</v>
      </c>
      <c r="G3" s="5">
        <f>SUM(G7:G34)</f>
        <v>0</v>
      </c>
      <c r="K3" s="5">
        <f>SUM(K7:K34)</f>
        <v>0</v>
      </c>
      <c r="L3" s="6">
        <f>(COUNTA(K7:K34)&amp;" of "&amp;ROWS(K7:K34)&amp;" parts found"</f>
        <v>0</v>
      </c>
      <c r="P3" s="5">
        <f>SUM(P7:P34)</f>
        <v>0</v>
      </c>
      <c r="Q3" s="6">
        <f>(COUNTA(P7:P34)&amp;" of "&amp;ROWS(P7:P34)&amp;" parts found"</f>
        <v>0</v>
      </c>
      <c r="U3" s="5">
        <f>SUM(U7:U34)</f>
        <v>0</v>
      </c>
      <c r="V3" s="6">
        <f>(COUNTA(U7:U34)&amp;" of "&amp;ROWS(U7:U34)&amp;" parts found"</f>
        <v>0</v>
      </c>
      <c r="Z3" s="5">
        <f>SUM(Z7:Z34)</f>
        <v>0</v>
      </c>
      <c r="AA3" s="6">
        <f>(COUNTA(Z7:Z34)&amp;" of "&amp;ROWS(Z7:Z34)&amp;" parts found"</f>
        <v>0</v>
      </c>
      <c r="AE3" s="5">
        <f>SUM(AE7:AE34)</f>
        <v>0</v>
      </c>
      <c r="AF3" s="6">
        <f>(COUNTA(AE7:AE34)&amp;" of "&amp;ROWS(AE7:AE34)&amp;" parts found"</f>
        <v>0</v>
      </c>
      <c r="AJ3" s="5">
        <f>SUM(AJ7:AJ34)</f>
        <v>0</v>
      </c>
      <c r="AK3" s="6">
        <f>(COUNTA(AJ7:AJ34)&amp;" of "&amp;ROWS(AJ7:AJ34)&amp;" parts found"</f>
        <v>0</v>
      </c>
      <c r="AO3" s="5">
        <f>SUM(AO7:AO34)</f>
        <v>0</v>
      </c>
      <c r="AP3" s="6">
        <f>(COUNTA(AO7:AO34)&amp;" of "&amp;ROWS(AO7:AO34)&amp;" parts found"</f>
        <v>0</v>
      </c>
      <c r="AT3" s="5">
        <f>SUM(AT7:AT34)</f>
        <v>0</v>
      </c>
      <c r="AU3" s="6">
        <f>(COUNTA(AT7:AT34)&amp;" of "&amp;ROWS(AT7:AT34)&amp;" parts found"</f>
        <v>0</v>
      </c>
    </row>
    <row r="4" spans="1:47">
      <c r="A4" s="1" t="s">
        <v>110</v>
      </c>
      <c r="B4" s="2" t="s">
        <v>111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112</v>
      </c>
      <c r="I5" s="8"/>
      <c r="J5" s="8"/>
      <c r="K5" s="8"/>
      <c r="L5" s="8"/>
      <c r="M5" s="9" t="s">
        <v>116</v>
      </c>
      <c r="N5" s="9"/>
      <c r="O5" s="9"/>
      <c r="P5" s="9"/>
      <c r="Q5" s="9"/>
      <c r="R5" s="10" t="s">
        <v>124</v>
      </c>
      <c r="S5" s="10"/>
      <c r="T5" s="10"/>
      <c r="U5" s="10"/>
      <c r="V5" s="10"/>
      <c r="W5" s="11" t="s">
        <v>129</v>
      </c>
      <c r="X5" s="11"/>
      <c r="Y5" s="11"/>
      <c r="Z5" s="11"/>
      <c r="AA5" s="11"/>
      <c r="AB5" s="12" t="s">
        <v>136</v>
      </c>
      <c r="AC5" s="12"/>
      <c r="AD5" s="12"/>
      <c r="AE5" s="12"/>
      <c r="AF5" s="12"/>
      <c r="AG5" s="13" t="s">
        <v>138</v>
      </c>
      <c r="AH5" s="13"/>
      <c r="AI5" s="13"/>
      <c r="AJ5" s="13"/>
      <c r="AK5" s="13"/>
      <c r="AL5" s="14" t="s">
        <v>143</v>
      </c>
      <c r="AM5" s="14"/>
      <c r="AN5" s="14"/>
      <c r="AO5" s="14"/>
      <c r="AP5" s="14"/>
      <c r="AQ5" s="15" t="s">
        <v>146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113</v>
      </c>
      <c r="I6" s="16" t="s">
        <v>114</v>
      </c>
      <c r="J6" s="16" t="s">
        <v>6</v>
      </c>
      <c r="K6" s="16" t="s">
        <v>7</v>
      </c>
      <c r="L6" s="16" t="s">
        <v>115</v>
      </c>
      <c r="M6" s="16" t="s">
        <v>113</v>
      </c>
      <c r="N6" s="16" t="s">
        <v>114</v>
      </c>
      <c r="O6" s="16" t="s">
        <v>6</v>
      </c>
      <c r="P6" s="16" t="s">
        <v>7</v>
      </c>
      <c r="Q6" s="16" t="s">
        <v>115</v>
      </c>
      <c r="R6" s="16" t="s">
        <v>113</v>
      </c>
      <c r="S6" s="16" t="s">
        <v>114</v>
      </c>
      <c r="T6" s="16" t="s">
        <v>6</v>
      </c>
      <c r="U6" s="16" t="s">
        <v>7</v>
      </c>
      <c r="V6" s="16" t="s">
        <v>115</v>
      </c>
      <c r="W6" s="16" t="s">
        <v>113</v>
      </c>
      <c r="X6" s="16" t="s">
        <v>114</v>
      </c>
      <c r="Y6" s="16" t="s">
        <v>6</v>
      </c>
      <c r="Z6" s="16" t="s">
        <v>7</v>
      </c>
      <c r="AA6" s="16" t="s">
        <v>115</v>
      </c>
      <c r="AB6" s="16" t="s">
        <v>113</v>
      </c>
      <c r="AC6" s="16" t="s">
        <v>114</v>
      </c>
      <c r="AD6" s="16" t="s">
        <v>6</v>
      </c>
      <c r="AE6" s="16" t="s">
        <v>7</v>
      </c>
      <c r="AF6" s="16" t="s">
        <v>115</v>
      </c>
      <c r="AG6" s="16" t="s">
        <v>113</v>
      </c>
      <c r="AH6" s="16" t="s">
        <v>114</v>
      </c>
      <c r="AI6" s="16" t="s">
        <v>6</v>
      </c>
      <c r="AJ6" s="16" t="s">
        <v>7</v>
      </c>
      <c r="AK6" s="16" t="s">
        <v>115</v>
      </c>
      <c r="AL6" s="16" t="s">
        <v>113</v>
      </c>
      <c r="AM6" s="16" t="s">
        <v>114</v>
      </c>
      <c r="AN6" s="16" t="s">
        <v>6</v>
      </c>
      <c r="AO6" s="16" t="s">
        <v>7</v>
      </c>
      <c r="AP6" s="16" t="s">
        <v>115</v>
      </c>
      <c r="AQ6" s="16" t="s">
        <v>113</v>
      </c>
      <c r="AR6" s="16" t="s">
        <v>114</v>
      </c>
      <c r="AS6" s="16" t="s">
        <v>6</v>
      </c>
      <c r="AT6" s="16" t="s">
        <v>7</v>
      </c>
      <c r="AU6" s="16" t="s">
        <v>115</v>
      </c>
    </row>
    <row r="7" spans="1:47">
      <c r="A7" s="17" t="s">
        <v>8</v>
      </c>
      <c r="B7" s="17" t="s">
        <v>9</v>
      </c>
      <c r="C7" s="17" t="s">
        <v>10</v>
      </c>
      <c r="D7" s="17" t="s">
        <v>11</v>
      </c>
      <c r="E7" s="17">
        <f>BoardQty*7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  <c r="M7" s="17">
        <v>19729836</v>
      </c>
      <c r="O7" s="18">
        <f>iferror(lookup(if(N7="",E7,N7),{0,1,10,50,100,500,1000,2500,5000,10000,20000,30000,50000,100000,150000},{0.0,0.1,0.028,0.0152,0.0124,0.00886,0.00696,0.00632,0.00582,0.00483,0.0046,0.00437,0.00391,0.00316,0.00306}),"")</f>
        <v>0</v>
      </c>
      <c r="P7" s="18">
        <f>iferror(if(N7="",E7,N7)*O7,"")</f>
        <v>0</v>
      </c>
      <c r="Q7" s="19" t="s">
        <v>117</v>
      </c>
      <c r="R7" s="17">
        <v>50000</v>
      </c>
      <c r="T7" s="18">
        <f>iferror(USD_GBP*lookup(if(S7="",E7,S7),{0,1,10,100,150,500,2500,5000,10000},{0.0,0.0237,0.0237,0.0145,0.0145,0.0078,0.0061,0.0049,0.0033}),"")</f>
        <v>0</v>
      </c>
      <c r="U7" s="18">
        <f>iferror(if(S7="",E7,S7)*T7,"")</f>
        <v>0</v>
      </c>
      <c r="V7" s="19" t="s">
        <v>125</v>
      </c>
      <c r="W7" s="17">
        <v>6275100</v>
      </c>
      <c r="Y7" s="18">
        <f>iferror(lookup(if(X7="",E7,X7),{0,1,100,1000,3000,10000,50000,100000},{0.0,0.00244,0.00244,0.00177,0.00165,0.00153,0.00145,0.00144}),"")</f>
        <v>0</v>
      </c>
      <c r="Z7" s="18">
        <f>iferror(if(X7="",E7,X7)*Y7,"")</f>
        <v>0</v>
      </c>
      <c r="AA7" s="19" t="s">
        <v>130</v>
      </c>
      <c r="AG7" s="20" t="s">
        <v>119</v>
      </c>
      <c r="AI7" s="18">
        <f>iferror(lookup(if(AH7="",E7,AH7),{0,1,5000,10000},{0.0,0.008,0.008,0.006}),"")</f>
        <v>0</v>
      </c>
      <c r="AJ7" s="18">
        <f>iferror(if(AH7="",E7,AH7)*AI7,"")</f>
        <v>0</v>
      </c>
      <c r="AK7" s="19" t="s">
        <v>139</v>
      </c>
      <c r="AL7" s="17">
        <v>34540000</v>
      </c>
      <c r="AN7" s="18">
        <f>iferror(USD_GBP*lookup(if(AM7="",E7,AM7),{0,1,10000},{0.0,0.003,0.003}),"")</f>
        <v>0</v>
      </c>
      <c r="AO7" s="18">
        <f>iferror(if(AM7="",E7,AM7)*AN7,"")</f>
        <v>0</v>
      </c>
      <c r="AP7" s="19" t="s">
        <v>144</v>
      </c>
      <c r="AQ7" s="17">
        <v>3426500</v>
      </c>
      <c r="AS7" s="18">
        <f>iferror(USD_EUR*lookup(if(AR7="",E7,AR7),{0,1,100,1000,10000,50000,100000},{0.0,0.0175,0.0175,0.00539,0.00226,0.00209,0.00198}),"")</f>
        <v>0</v>
      </c>
      <c r="AT7" s="18">
        <f>iferror(if(AR7="",E7,AR7)*AS7,"")</f>
        <v>0</v>
      </c>
      <c r="AU7" s="19" t="s">
        <v>11</v>
      </c>
    </row>
    <row r="8" spans="1:47">
      <c r="A8" s="17" t="s">
        <v>12</v>
      </c>
      <c r="B8" s="17" t="s">
        <v>13</v>
      </c>
      <c r="C8" s="17" t="s">
        <v>14</v>
      </c>
      <c r="D8" s="17" t="s">
        <v>15</v>
      </c>
      <c r="E8" s="17">
        <f>BoardQty*2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  <c r="M8" s="20" t="s">
        <v>119</v>
      </c>
      <c r="O8" s="18">
        <f>iferror(lookup(if(N8="",E8,N8),{0,1,10,50,100,500,1000,4000,8000,12000},{0.0,0.16,0.115,0.0656,0.0543,0.03808,0.03152,0.02441,0.0227,0.02157}),"")</f>
        <v>0</v>
      </c>
      <c r="P8" s="18">
        <f>iferror(if(N8="",E8,N8)*O8,"")</f>
        <v>0</v>
      </c>
      <c r="Q8" s="19" t="s">
        <v>118</v>
      </c>
      <c r="R8" s="17">
        <v>21423</v>
      </c>
      <c r="T8" s="18">
        <f>iferror(USD_GBP*lookup(if(S8="",E8,S8),{0,1,10,100,150,500,1000,2000,4000},{0.0,0.136,0.136,0.058,0.058,0.0376,0.0291,0.0274,0.02}),"")</f>
        <v>0</v>
      </c>
      <c r="U8" s="18">
        <f>iferror(if(S8="",E8,S8)*T8,"")</f>
        <v>0</v>
      </c>
      <c r="V8" s="19" t="s">
        <v>126</v>
      </c>
      <c r="W8" s="17">
        <v>104600</v>
      </c>
      <c r="Y8" s="18">
        <f>iferror(lookup(if(X8="",E8,X8),{0,1,50,500,1500,5000,25000,50000},{0.0,0.00997,0.00997,0.00729,0.0068,0.00632,0.006,0.00595}),"")</f>
        <v>0</v>
      </c>
      <c r="Z8" s="18">
        <f>iferror(if(X8="",E8,X8)*Y8,"")</f>
        <v>0</v>
      </c>
      <c r="AA8" s="19" t="s">
        <v>131</v>
      </c>
      <c r="AG8" s="17">
        <v>28000</v>
      </c>
      <c r="AI8" s="18">
        <f>iferror(lookup(if(AH8="",E8,AH8),{0,1,25,50,100,250,500,1000,4000,8000},{0.0,0.026,0.151,0.111,0.07,0.06,0.049,0.041,0.025,0.024}),"")</f>
        <v>0</v>
      </c>
      <c r="AJ8" s="18">
        <f>iferror(if(AH8="",E8,AH8)*AI8,"")</f>
        <v>0</v>
      </c>
      <c r="AK8" s="19" t="s">
        <v>140</v>
      </c>
      <c r="AQ8" s="17">
        <v>338400</v>
      </c>
      <c r="AS8" s="18">
        <f>iferror(USD_EUR*lookup(if(AR8="",E8,AR8),{0,1,100,1000,4000,12000,20000},{0.0,0.0507,0.0507,0.0213,0.014,0.0131,0.0125}),"")</f>
        <v>0</v>
      </c>
      <c r="AT8" s="18">
        <f>iferror(if(AR8="",E8,AR8)*AS8,"")</f>
        <v>0</v>
      </c>
      <c r="AU8" s="19" t="s">
        <v>15</v>
      </c>
    </row>
    <row r="9" spans="1:47">
      <c r="A9" s="17" t="s">
        <v>16</v>
      </c>
      <c r="B9" s="17" t="s">
        <v>17</v>
      </c>
      <c r="C9" s="17" t="s">
        <v>10</v>
      </c>
      <c r="D9" s="17" t="s">
        <v>18</v>
      </c>
      <c r="E9" s="17">
        <f>BoardQty*1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  <c r="M9" s="20" t="s">
        <v>119</v>
      </c>
      <c r="O9" s="18">
        <f>iferror(lookup(if(N9="",E9,N9),{0,1,10,50,100,500,1000,2500,5000,10000,20000,30000,50000},{0.0,0.11,0.083,0.0452,0.0369,0.02638,0.02072,0.01884,0.01733,0.01439,0.01371,0.01302,0.01165}),"")</f>
        <v>0</v>
      </c>
      <c r="P9" s="18">
        <f>iferror(if(N9="",E9,N9)*O9,"")</f>
        <v>0</v>
      </c>
      <c r="Q9" s="19" t="s">
        <v>120</v>
      </c>
      <c r="W9" s="17">
        <v>114200</v>
      </c>
      <c r="Y9" s="18">
        <f>iferror(lookup(if(X9="",E9,X9),{0,1,50,500,1500,5000,25000,50000},{0.0,0.01142,0.01142,0.0084,0.00785,0.00729,0.00705,0.00692}),"")</f>
        <v>0</v>
      </c>
      <c r="Z9" s="18">
        <f>iferror(if(X9="",E9,X9)*Y9,"")</f>
        <v>0</v>
      </c>
      <c r="AA9" s="19" t="s">
        <v>132</v>
      </c>
    </row>
    <row r="10" spans="1:47">
      <c r="A10" s="17" t="s">
        <v>19</v>
      </c>
      <c r="B10" s="17" t="s">
        <v>20</v>
      </c>
      <c r="C10" s="17" t="s">
        <v>14</v>
      </c>
      <c r="D10" s="17" t="s">
        <v>21</v>
      </c>
      <c r="E10" s="17">
        <f>BoardQty*1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  <c r="M10" s="17">
        <v>1663014</v>
      </c>
      <c r="O10" s="18">
        <f>iferror(lookup(if(N10="",E10,N10),{0,1,10,50,100,500,1000,4000,8000,12000},{0.0,0.19,0.132,0.0794,0.067,0.04588,0.04058,0.03448,0.03208,0.03047}),"")</f>
        <v>0</v>
      </c>
      <c r="P10" s="18">
        <f>iferror(if(N10="",E10,N10)*O10,"")</f>
        <v>0</v>
      </c>
      <c r="Q10" s="19" t="s">
        <v>121</v>
      </c>
      <c r="R10" s="17">
        <v>18438</v>
      </c>
      <c r="T10" s="18">
        <f>iferror(USD_GBP*lookup(if(S10="",E10,S10),{0,1,10,100,150,500,1000,2000,4000,20000},{0.0,0.216,0.216,0.108,0.108,0.063,0.0522,0.0446,0.0349,0.0296}),"")</f>
        <v>0</v>
      </c>
      <c r="U10" s="18">
        <f>iferror(if(S10="",E10,S10)*T10,"")</f>
        <v>0</v>
      </c>
      <c r="V10" s="19" t="s">
        <v>127</v>
      </c>
      <c r="W10" s="17">
        <v>474150</v>
      </c>
      <c r="Y10" s="18">
        <f>iferror(lookup(if(X10="",E10,X10),{0,1,50,500,1500,5000,25000,50000},{0.0,0.01009,0.01009,0.00749,0.00701,0.00654,0.00632,0.00622}),"")</f>
        <v>0</v>
      </c>
      <c r="Z10" s="18">
        <f>iferror(if(X10="",E10,X10)*Y10,"")</f>
        <v>0</v>
      </c>
      <c r="AA10" s="19" t="s">
        <v>133</v>
      </c>
      <c r="AG10" s="17">
        <v>72000</v>
      </c>
      <c r="AI10" s="18">
        <f>iferror(lookup(if(AH10="",E10,AH10),{0,1,25,50,100,250,500,1000,4000,8000},{0.0,0.055,0.196,0.153,0.111,0.095,0.078,0.068,0.053,0.051}),"")</f>
        <v>0</v>
      </c>
      <c r="AJ10" s="18">
        <f>iferror(if(AH10="",E10,AH10)*AI10,"")</f>
        <v>0</v>
      </c>
      <c r="AK10" s="19" t="s">
        <v>141</v>
      </c>
    </row>
    <row r="11" spans="1:47">
      <c r="A11" s="17" t="s">
        <v>22</v>
      </c>
      <c r="B11" s="17" t="s">
        <v>23</v>
      </c>
      <c r="C11" s="17" t="s">
        <v>10</v>
      </c>
      <c r="D11" s="17" t="s">
        <v>24</v>
      </c>
      <c r="E11" s="17">
        <f>BoardQty*2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  <c r="W11" s="17">
        <v>720250</v>
      </c>
      <c r="Y11" s="18">
        <f>iferror(lookup(if(X11="",E11,X11),{0,1,50,500,1500,5000,25000,50000},{0.0,0.01168,0.01168,0.00868,0.00813,0.00758,0.00734,0.00722}),"")</f>
        <v>0</v>
      </c>
      <c r="Z11" s="18">
        <f>iferror(if(X11="",E11,X11)*Y11,"")</f>
        <v>0</v>
      </c>
      <c r="AA11" s="19" t="s">
        <v>134</v>
      </c>
    </row>
    <row r="12" spans="1:47">
      <c r="A12" s="17" t="s">
        <v>25</v>
      </c>
      <c r="B12" s="17" t="s">
        <v>17</v>
      </c>
      <c r="C12" s="17" t="s">
        <v>26</v>
      </c>
      <c r="D12" s="17" t="s">
        <v>27</v>
      </c>
      <c r="E12" s="17">
        <f>BoardQty*1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  <c r="M12" s="20" t="s">
        <v>119</v>
      </c>
      <c r="O12" s="18">
        <f>iferror(lookup(if(N12="",E12,N12),{0,1,10,50,100,500,1000,4000,8000,12000},{0.0,0.14,0.103,0.0584,0.0484,0.03396,0.02811,0.02176,0.02024,0.01923}),"")</f>
        <v>0</v>
      </c>
      <c r="P12" s="18">
        <f>iferror(if(N12="",E12,N12)*O12,"")</f>
        <v>0</v>
      </c>
      <c r="Q12" s="19" t="s">
        <v>122</v>
      </c>
      <c r="R12" s="17">
        <v>260</v>
      </c>
      <c r="T12" s="18">
        <f>iferror(USD_GBP*lookup(if(S12="",E12,S12),{0,1,10,100,150,500,1000,2000,4000},{0.0,0.152,0.152,0.084,0.084,0.0548,0.0463,0.0395,0.0315}),"")</f>
        <v>0</v>
      </c>
      <c r="U12" s="18">
        <f>iferror(if(S12="",E12,S12)*T12,"")</f>
        <v>0</v>
      </c>
      <c r="V12" s="19" t="s">
        <v>128</v>
      </c>
      <c r="W12" s="17">
        <v>408060</v>
      </c>
      <c r="Y12" s="18">
        <f>iferror(lookup(if(X12="",E12,X12),{0,1,20,200,600,2000,10000,20000},{0.0,0.01652,0.01652,0.01211,0.0113,0.01049,0.01013,0.00995}),"")</f>
        <v>0</v>
      </c>
      <c r="Z12" s="18">
        <f>iferror(if(X12="",E12,X12)*Y12,"")</f>
        <v>0</v>
      </c>
      <c r="AA12" s="19" t="s">
        <v>135</v>
      </c>
      <c r="AG12" s="20" t="s">
        <v>119</v>
      </c>
      <c r="AI12" s="18">
        <f>iferror(lookup(if(AH12="",E12,AH12),{0,1,4000,5000,10000,20000,30000},{0.0,0.042,0.042,0.039,0.034,0.029,0.024}),"")</f>
        <v>0</v>
      </c>
      <c r="AJ12" s="18">
        <f>iferror(if(AH12="",E12,AH12)*AI12,"")</f>
        <v>0</v>
      </c>
      <c r="AK12" s="19" t="s">
        <v>142</v>
      </c>
      <c r="AL12" s="17">
        <v>132600</v>
      </c>
      <c r="AN12" s="18">
        <f>iferror(USD_GBP*lookup(if(AM12="",E12,AM12),{0,1,50,250,500,2500,5000},{0.0,0.135,0.135,0.076,0.051,0.048,0.042}),"")</f>
        <v>0</v>
      </c>
      <c r="AO12" s="18">
        <f>iferror(if(AM12="",E12,AM12)*AN12,"")</f>
        <v>0</v>
      </c>
      <c r="AP12" s="19" t="s">
        <v>145</v>
      </c>
      <c r="AQ12" s="17">
        <v>80100</v>
      </c>
      <c r="AS12" s="18">
        <f>iferror(USD_EUR*lookup(if(AR12="",E12,AR12),{0,1,100,300,1000,4000},{0.0,0.0594,0.0594,0.0413,0.0265,0.0201}),"")</f>
        <v>0</v>
      </c>
      <c r="AT12" s="18">
        <f>iferror(if(AR12="",E12,AR12)*AS12,"")</f>
        <v>0</v>
      </c>
      <c r="AU12" s="19" t="s">
        <v>27</v>
      </c>
    </row>
    <row r="13" spans="1:47">
      <c r="A13" s="17" t="s">
        <v>28</v>
      </c>
      <c r="B13" s="17" t="s">
        <v>29</v>
      </c>
      <c r="C13" s="17" t="s">
        <v>30</v>
      </c>
      <c r="D13" s="17" t="s">
        <v>31</v>
      </c>
      <c r="E13" s="17">
        <f>BoardQty*1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3" s="18">
        <f>iferror(E13*F13,"")</f>
        <v>0</v>
      </c>
      <c r="M13" s="20" t="s">
        <v>119</v>
      </c>
      <c r="O13" s="18">
        <f>iferror(lookup(if(N13="",E13,N13),{0,1,9000},{0.0,0.1107,0.1107}),"")</f>
        <v>0</v>
      </c>
      <c r="P13" s="18">
        <f>iferror(if(N13="",E13,N13)*O13,"")</f>
        <v>0</v>
      </c>
      <c r="Q13" s="19" t="s">
        <v>123</v>
      </c>
      <c r="AB13" s="17">
        <v>3560</v>
      </c>
      <c r="AD13" s="18">
        <f>iferror(lookup(if(AC13="",E13,AC13),{0,1,10,100,1000,3000,9000},{0.0,0.55,0.325,0.2,0.145,0.111,0.102}),"")</f>
        <v>0</v>
      </c>
      <c r="AE13" s="18">
        <f>iferror(if(AC13="",E13,AC13)*AD13,"")</f>
        <v>0</v>
      </c>
      <c r="AF13" s="19" t="s">
        <v>137</v>
      </c>
    </row>
    <row r="14" spans="1:47">
      <c r="A14" s="17" t="s">
        <v>32</v>
      </c>
      <c r="B14" s="17" t="s">
        <v>33</v>
      </c>
      <c r="C14" s="17" t="s">
        <v>30</v>
      </c>
      <c r="D14" s="17" t="s">
        <v>31</v>
      </c>
      <c r="E14" s="17">
        <f>BoardQty*1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4" s="18">
        <f>iferror(E14*F14,"")</f>
        <v>0</v>
      </c>
      <c r="M14" s="20" t="s">
        <v>119</v>
      </c>
      <c r="O14" s="18">
        <f>iferror(lookup(if(N14="",E14,N14),{0,1,9000},{0.0,0.1107,0.1107}),"")</f>
        <v>0</v>
      </c>
      <c r="P14" s="18">
        <f>iferror(if(N14="",E14,N14)*O14,"")</f>
        <v>0</v>
      </c>
      <c r="Q14" s="19" t="s">
        <v>123</v>
      </c>
      <c r="AB14" s="17">
        <v>3560</v>
      </c>
      <c r="AD14" s="18">
        <f>iferror(lookup(if(AC14="",E14,AC14),{0,1,10,100,1000,3000,9000},{0.0,0.55,0.325,0.2,0.145,0.111,0.102}),"")</f>
        <v>0</v>
      </c>
      <c r="AE14" s="18">
        <f>iferror(if(AC14="",E14,AC14)*AD14,"")</f>
        <v>0</v>
      </c>
      <c r="AF14" s="19" t="s">
        <v>137</v>
      </c>
    </row>
    <row r="15" spans="1:47">
      <c r="A15" s="17" t="s">
        <v>34</v>
      </c>
      <c r="B15" s="17" t="s">
        <v>35</v>
      </c>
      <c r="C15" s="17" t="s">
        <v>36</v>
      </c>
      <c r="E15" s="17">
        <f>BoardQty*1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5" s="18">
        <f>iferror(E15*F15,"")</f>
        <v>0</v>
      </c>
    </row>
    <row r="16" spans="1:47">
      <c r="A16" s="17" t="s">
        <v>37</v>
      </c>
      <c r="B16" s="17" t="s">
        <v>38</v>
      </c>
      <c r="C16" s="17" t="s">
        <v>39</v>
      </c>
      <c r="E16" s="17">
        <f>BoardQty*1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6" s="18">
        <f>iferror(E16*F16,"")</f>
        <v>0</v>
      </c>
    </row>
    <row r="17" spans="1:47">
      <c r="A17" s="17" t="s">
        <v>40</v>
      </c>
      <c r="B17" s="17" t="s">
        <v>41</v>
      </c>
      <c r="C17" s="17" t="s">
        <v>42</v>
      </c>
      <c r="E17" s="17">
        <f>BoardQty*2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7" s="18">
        <f>iferror(E17*F17,"")</f>
        <v>0</v>
      </c>
    </row>
    <row r="18" spans="1:47">
      <c r="A18" s="17" t="s">
        <v>43</v>
      </c>
      <c r="B18" s="17" t="s">
        <v>41</v>
      </c>
      <c r="C18" s="17" t="s">
        <v>44</v>
      </c>
      <c r="E18" s="17">
        <f>BoardQty*1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8" s="18">
        <f>iferror(E18*F18,"")</f>
        <v>0</v>
      </c>
    </row>
    <row r="19" spans="1:47">
      <c r="A19" s="17" t="s">
        <v>45</v>
      </c>
      <c r="B19" s="17" t="s">
        <v>46</v>
      </c>
      <c r="C19" s="17" t="s">
        <v>47</v>
      </c>
      <c r="E19" s="17">
        <f>BoardQty*15</f>
        <v>0</v>
      </c>
      <c r="F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9" s="18">
        <f>iferror(E19*F19,"")</f>
        <v>0</v>
      </c>
    </row>
    <row r="20" spans="1:47">
      <c r="A20" s="17" t="s">
        <v>48</v>
      </c>
      <c r="B20" s="17" t="s">
        <v>49</v>
      </c>
      <c r="C20" s="17" t="s">
        <v>50</v>
      </c>
      <c r="E20" s="17">
        <f>BoardQty*1</f>
        <v>0</v>
      </c>
      <c r="F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0" s="18">
        <f>iferror(E20*F20,"")</f>
        <v>0</v>
      </c>
    </row>
    <row r="21" spans="1:47">
      <c r="A21" s="17" t="s">
        <v>51</v>
      </c>
      <c r="B21" s="17" t="s">
        <v>52</v>
      </c>
      <c r="C21" s="17" t="s">
        <v>53</v>
      </c>
      <c r="E21" s="17">
        <f>BoardQty*1</f>
        <v>0</v>
      </c>
      <c r="F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1" s="18">
        <f>iferror(E21*F21,"")</f>
        <v>0</v>
      </c>
    </row>
    <row r="22" spans="1:47">
      <c r="A22" s="17" t="s">
        <v>54</v>
      </c>
      <c r="B22" s="17" t="s">
        <v>55</v>
      </c>
      <c r="C22" s="17" t="s">
        <v>56</v>
      </c>
      <c r="D22" s="17" t="s">
        <v>57</v>
      </c>
      <c r="E22" s="17">
        <f>BoardQty*2</f>
        <v>0</v>
      </c>
      <c r="F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2" s="18">
        <f>iferror(E22*F22,"")</f>
        <v>0</v>
      </c>
      <c r="AQ22" s="17">
        <v>122808</v>
      </c>
      <c r="AS22" s="18">
        <f>iferror(USD_EUR*lookup(if(AR22="",E22,AR22),{0,1,100,1000,10000,30000,50000},{0.0,0.00912,0.00912,0.00244,0.00071,0.00063,0.00088}),"")</f>
        <v>0</v>
      </c>
      <c r="AT22" s="18">
        <f>iferror(if(AR22="",E22,AR22)*AS22,"")</f>
        <v>0</v>
      </c>
      <c r="AU22" s="19" t="s">
        <v>147</v>
      </c>
    </row>
    <row r="23" spans="1:47">
      <c r="A23" s="17" t="s">
        <v>58</v>
      </c>
      <c r="B23" s="17" t="s">
        <v>59</v>
      </c>
      <c r="C23" s="17" t="s">
        <v>56</v>
      </c>
      <c r="D23" s="17" t="s">
        <v>60</v>
      </c>
      <c r="E23" s="17">
        <f>BoardQty*1</f>
        <v>0</v>
      </c>
      <c r="F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3" s="18">
        <f>iferror(E23*F23,"")</f>
        <v>0</v>
      </c>
      <c r="AQ23" s="20" t="s">
        <v>119</v>
      </c>
      <c r="AS23" s="18">
        <f>iferror(USD_EUR*lookup(if(AR23="",E23,AR23),{0,1,100,1000,10000,50000},{0.0,0.00912,0.00912,0.00244,0.00104,0.00088}),"")</f>
        <v>0</v>
      </c>
      <c r="AT23" s="18">
        <f>iferror(if(AR23="",E23,AR23)*AS23,"")</f>
        <v>0</v>
      </c>
      <c r="AU23" s="19" t="s">
        <v>148</v>
      </c>
    </row>
    <row r="24" spans="1:47">
      <c r="A24" s="17" t="s">
        <v>61</v>
      </c>
      <c r="B24" s="17" t="s">
        <v>62</v>
      </c>
      <c r="C24" s="17" t="s">
        <v>26</v>
      </c>
      <c r="D24" s="17" t="s">
        <v>63</v>
      </c>
      <c r="E24" s="17">
        <f>BoardQty*2</f>
        <v>0</v>
      </c>
      <c r="F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4" s="18">
        <f>iferror(E24*F24,"")</f>
        <v>0</v>
      </c>
    </row>
    <row r="25" spans="1:47">
      <c r="A25" s="17" t="s">
        <v>64</v>
      </c>
      <c r="B25" s="17" t="s">
        <v>65</v>
      </c>
      <c r="C25" s="17" t="s">
        <v>56</v>
      </c>
      <c r="D25" s="17" t="s">
        <v>66</v>
      </c>
      <c r="E25" s="17">
        <f>BoardQty*1</f>
        <v>0</v>
      </c>
      <c r="F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5" s="18">
        <f>iferror(E25*F25,"")</f>
        <v>0</v>
      </c>
      <c r="AQ25" s="17">
        <v>25000</v>
      </c>
      <c r="AS25" s="18">
        <f>iferror(USD_EUR*lookup(if(AR25="",E25,AR25),{0,1,100,1000,10000,50000},{0.0,0.00912,0.00912,0.00244,0.00104,0.00088}),"")</f>
        <v>0</v>
      </c>
      <c r="AT25" s="18">
        <f>iferror(if(AR25="",E25,AR25)*AS25,"")</f>
        <v>0</v>
      </c>
      <c r="AU25" s="19" t="s">
        <v>149</v>
      </c>
    </row>
    <row r="26" spans="1:47">
      <c r="A26" s="17" t="s">
        <v>67</v>
      </c>
      <c r="B26" s="17" t="s">
        <v>68</v>
      </c>
      <c r="C26" s="17" t="s">
        <v>26</v>
      </c>
      <c r="D26" s="17" t="s">
        <v>69</v>
      </c>
      <c r="E26" s="17">
        <f>BoardQty*1</f>
        <v>0</v>
      </c>
      <c r="F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6" s="18">
        <f>iferror(E26*F26,"")</f>
        <v>0</v>
      </c>
    </row>
    <row r="27" spans="1:47">
      <c r="A27" s="17" t="s">
        <v>70</v>
      </c>
      <c r="B27" s="17" t="s">
        <v>71</v>
      </c>
      <c r="C27" s="17" t="s">
        <v>56</v>
      </c>
      <c r="D27" s="17" t="s">
        <v>72</v>
      </c>
      <c r="E27" s="17">
        <f>BoardQty*2</f>
        <v>0</v>
      </c>
      <c r="F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7" s="18">
        <f>iferror(E27*F27,"")</f>
        <v>0</v>
      </c>
      <c r="AQ27" s="17">
        <v>285700</v>
      </c>
      <c r="AS27" s="18">
        <f>iferror(USD_EUR*lookup(if(AR27="",E27,AR27),{0,1,100,1000,10000,50000,100000,200000},{0.0,0.00701,0.00701,0.00188,0.0006,0.00051,0.00049,0.00047}),"")</f>
        <v>0</v>
      </c>
      <c r="AT27" s="18">
        <f>iferror(if(AR27="",E27,AR27)*AS27,"")</f>
        <v>0</v>
      </c>
      <c r="AU27" s="19" t="s">
        <v>150</v>
      </c>
    </row>
    <row r="28" spans="1:47">
      <c r="A28" s="17" t="s">
        <v>73</v>
      </c>
      <c r="B28" s="17" t="s">
        <v>74</v>
      </c>
      <c r="C28" s="17" t="s">
        <v>26</v>
      </c>
      <c r="D28" s="17" t="s">
        <v>75</v>
      </c>
      <c r="E28" s="17">
        <f>BoardQty*1</f>
        <v>0</v>
      </c>
      <c r="F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8" s="18">
        <f>iferror(E28*F28,"")</f>
        <v>0</v>
      </c>
    </row>
    <row r="29" spans="1:47">
      <c r="A29" s="17" t="s">
        <v>76</v>
      </c>
      <c r="B29" s="17" t="s">
        <v>77</v>
      </c>
      <c r="C29" s="17" t="s">
        <v>26</v>
      </c>
      <c r="D29" s="17" t="s">
        <v>78</v>
      </c>
      <c r="E29" s="17">
        <f>BoardQty*3</f>
        <v>0</v>
      </c>
      <c r="F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9" s="18">
        <f>iferror(E29*F29,"")</f>
        <v>0</v>
      </c>
    </row>
    <row r="30" spans="1:47">
      <c r="A30" s="17" t="s">
        <v>79</v>
      </c>
      <c r="B30" s="17" t="s">
        <v>80</v>
      </c>
      <c r="C30" s="17" t="s">
        <v>80</v>
      </c>
      <c r="E30" s="17">
        <f>BoardQty*1</f>
        <v>0</v>
      </c>
      <c r="F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0" s="18">
        <f>iferror(E30*F30,"")</f>
        <v>0</v>
      </c>
    </row>
    <row r="31" spans="1:47">
      <c r="A31" s="17" t="s">
        <v>81</v>
      </c>
      <c r="B31" s="17" t="s">
        <v>82</v>
      </c>
      <c r="C31" s="17" t="s">
        <v>83</v>
      </c>
      <c r="D31" s="17" t="s">
        <v>84</v>
      </c>
      <c r="E31" s="17">
        <f>BoardQty*1</f>
        <v>0</v>
      </c>
      <c r="F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1" s="18">
        <f>iferror(E31*F31,"")</f>
        <v>0</v>
      </c>
    </row>
    <row r="32" spans="1:47">
      <c r="A32" s="17" t="s">
        <v>85</v>
      </c>
      <c r="B32" s="17" t="s">
        <v>86</v>
      </c>
      <c r="C32" s="17" t="s">
        <v>87</v>
      </c>
      <c r="D32" s="17" t="s">
        <v>88</v>
      </c>
      <c r="E32" s="17">
        <f>BoardQty*1</f>
        <v>0</v>
      </c>
      <c r="F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2" s="18">
        <f>iferror(E32*F32,"")</f>
        <v>0</v>
      </c>
    </row>
    <row r="33" spans="1:46">
      <c r="A33" s="17" t="s">
        <v>89</v>
      </c>
      <c r="B33" s="17" t="s">
        <v>90</v>
      </c>
      <c r="C33" s="17" t="s">
        <v>91</v>
      </c>
      <c r="D33" s="17" t="s">
        <v>92</v>
      </c>
      <c r="E33" s="17">
        <f>BoardQty*1</f>
        <v>0</v>
      </c>
      <c r="F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3" s="18">
        <f>iferror(E33*F33,"")</f>
        <v>0</v>
      </c>
    </row>
    <row r="34" spans="1:46">
      <c r="A34" s="17" t="s">
        <v>93</v>
      </c>
      <c r="B34" s="17" t="s">
        <v>94</v>
      </c>
      <c r="C34" s="17" t="s">
        <v>95</v>
      </c>
      <c r="E34" s="17">
        <f>BoardQty*1</f>
        <v>0</v>
      </c>
      <c r="F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4" s="18">
        <f>iferror(E34*F34,"")</f>
        <v>0</v>
      </c>
    </row>
    <row r="36" spans="1:46">
      <c r="B36" s="21" t="s">
        <v>98</v>
      </c>
      <c r="F36" s="1" t="s">
        <v>96</v>
      </c>
      <c r="G36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36" s="6">
        <f>IFERROR(IF(OR(I7:I34),COUNTIFS(I7:I34,"&gt;0",K7:K34,"&lt;&gt;")&amp;" of "&amp;(ROWS(K7:K34)-COUNTBLANK(K7:K34))&amp;" parts purchased",""),"")</f>
        <v>0</v>
      </c>
      <c r="K36" s="5">
        <f>SUMIF(I7:I34,"&gt;0",K7:K34)</f>
        <v>0</v>
      </c>
      <c r="N36" s="6">
        <f>IFERROR(IF(OR(N7:N34),COUNTIFS(N7:N34,"&gt;0",P7:P34,"&lt;&gt;")&amp;" of "&amp;(ROWS(P7:P34)-COUNTBLANK(P7:P34))&amp;" parts purchased",""),"")</f>
        <v>0</v>
      </c>
      <c r="P36" s="5">
        <f>SUMIF(N7:N34,"&gt;0",P7:P34)</f>
        <v>0</v>
      </c>
      <c r="S36" s="6">
        <f>IFERROR(IF(OR(S7:S34),COUNTIFS(S7:S34,"&gt;0",U7:U34,"&lt;&gt;")&amp;" of "&amp;(ROWS(U7:U34)-COUNTBLANK(U7:U34))&amp;" parts purchased",""),"")</f>
        <v>0</v>
      </c>
      <c r="U36" s="5">
        <f>SUMIF(S7:S34,"&gt;0",U7:U34)</f>
        <v>0</v>
      </c>
      <c r="X36" s="6">
        <f>IFERROR(IF(OR(X7:X34),COUNTIFS(X7:X34,"&gt;0",Z7:Z34,"&lt;&gt;")&amp;" of "&amp;(ROWS(Z7:Z34)-COUNTBLANK(Z7:Z34))&amp;" parts purchased",""),"")</f>
        <v>0</v>
      </c>
      <c r="Z36" s="5">
        <f>SUMIF(X7:X34,"&gt;0",Z7:Z34)</f>
        <v>0</v>
      </c>
      <c r="AC36" s="6">
        <f>IFERROR(IF(OR(AC7:AC34),COUNTIFS(AC7:AC34,"&gt;0",AE7:AE34,"&lt;&gt;")&amp;" of "&amp;(ROWS(AE7:AE34)-COUNTBLANK(AE7:AE34))&amp;" parts purchased",""),"")</f>
        <v>0</v>
      </c>
      <c r="AE36" s="5">
        <f>SUMIF(AC7:AC34,"&gt;0",AE7:AE34)</f>
        <v>0</v>
      </c>
      <c r="AH36" s="6">
        <f>IFERROR(IF(OR(AH7:AH34),COUNTIFS(AH7:AH34,"&gt;0",AJ7:AJ34,"&lt;&gt;")&amp;" of "&amp;(ROWS(AJ7:AJ34)-COUNTBLANK(AJ7:AJ34))&amp;" parts purchased",""),"")</f>
        <v>0</v>
      </c>
      <c r="AJ36" s="5">
        <f>SUMIF(AH7:AH34,"&gt;0",AJ7:AJ34)</f>
        <v>0</v>
      </c>
      <c r="AM36" s="6">
        <f>IFERROR(IF(OR(AM7:AM34),COUNTIFS(AM7:AM34,"&gt;0",AO7:AO34,"&lt;&gt;")&amp;" of "&amp;(ROWS(AO7:AO34)-COUNTBLANK(AO7:AO34))&amp;" parts purchased",""),"")</f>
        <v>0</v>
      </c>
      <c r="AO36" s="5">
        <f>SUMIF(AM7:AM34,"&gt;0",AO7:AO34)</f>
        <v>0</v>
      </c>
      <c r="AR36" s="6">
        <f>IFERROR(IF(OR(AR7:AR34),COUNTIFS(AR7:AR34,"&gt;0",AT7:AT34,"&lt;&gt;")&amp;" of "&amp;(ROWS(AT7:AT34)-COUNTBLANK(AT7:AT34))&amp;" parts purchased",""),"")</f>
        <v>0</v>
      </c>
      <c r="AT36" s="5">
        <f>SUMIF(AR7:AR34,"&gt;0",AT7:AT34)</f>
        <v>0</v>
      </c>
    </row>
    <row r="37" spans="1:46">
      <c r="B37" s="21" t="s">
        <v>99</v>
      </c>
      <c r="C37">
        <v>1.1294</v>
      </c>
      <c r="F37" s="21" t="s">
        <v>97</v>
      </c>
      <c r="I37">
        <f t="array" ref="I37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37">
        <f t="array" ref="N37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37">
        <f t="array" ref="S37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37" s="6">
        <f>IFERROR(IF(COUNTIFS(X7:X34,"&gt;0",Z7:Z34,"&lt;&gt;")&gt;0,"Quantity,Comment,Designator,Footprint,LCSC Part #(optional)",""),"")</f>
        <v>0</v>
      </c>
      <c r="AC37">
        <f t="array" ref="AC37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37">
        <f t="array" ref="AH37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37">
        <f t="array" ref="AM37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37">
        <f t="array" ref="AR37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38" spans="1:46">
      <c r="B38" s="21" t="s">
        <v>100</v>
      </c>
      <c r="C38">
        <v>1.267280071813286</v>
      </c>
      <c r="I38">
        <f t="array" ref="I38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38">
        <f t="array" ref="N38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38">
        <f t="array" ref="S38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38">
        <f t="array" ref="X38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38">
        <f t="array" ref="AC38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38">
        <f t="array" ref="AH38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38">
        <f t="array" ref="AM38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38">
        <f t="array" ref="AR38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39" spans="1:46">
      <c r="I39">
        <f t="array" ref="I39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39">
        <f t="array" ref="N39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39">
        <f t="array" ref="S39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39">
        <f t="array" ref="X39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39">
        <f t="array" ref="AC39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39">
        <f t="array" ref="AH39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39">
        <f t="array" ref="AM39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39">
        <f t="array" ref="AR39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0" spans="1:46">
      <c r="A40" s="2" t="s">
        <v>151</v>
      </c>
      <c r="I40">
        <f t="array" ref="I40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0">
        <f t="array" ref="N40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0">
        <f t="array" ref="S40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0">
        <f t="array" ref="X40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0">
        <f t="array" ref="AC40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0">
        <f t="array" ref="AH40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0">
        <f t="array" ref="AM40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0">
        <f t="array" ref="AR40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1" spans="1:46">
      <c r="I41">
        <f t="array" ref="I41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1">
        <f t="array" ref="N41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1">
        <f t="array" ref="S41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1">
        <f t="array" ref="X41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1">
        <f t="array" ref="AC41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1">
        <f t="array" ref="AH41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1">
        <f t="array" ref="AM41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1">
        <f t="array" ref="AR41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2" spans="1:46">
      <c r="I42">
        <f t="array" ref="I42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2">
        <f t="array" ref="N42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2">
        <f t="array" ref="S42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2">
        <f t="array" ref="X42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2">
        <f t="array" ref="AC42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2">
        <f t="array" ref="AH42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2">
        <f t="array" ref="AM42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2">
        <f t="array" ref="AR42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3" spans="1:46">
      <c r="I43">
        <f t="array" ref="I43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3">
        <f t="array" ref="N43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3">
        <f t="array" ref="S43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3">
        <f t="array" ref="X43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3">
        <f t="array" ref="AC43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3">
        <f t="array" ref="AH43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3">
        <f t="array" ref="AM43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3">
        <f t="array" ref="AR43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4" spans="1:46">
      <c r="I44">
        <f t="array" ref="I44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4">
        <f t="array" ref="N44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4">
        <f t="array" ref="S44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4">
        <f t="array" ref="X44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4">
        <f t="array" ref="AC44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4">
        <f t="array" ref="AH44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4">
        <f t="array" ref="AM44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4">
        <f t="array" ref="AR44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5" spans="1:46">
      <c r="I45">
        <f t="array" ref="I45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5">
        <f t="array" ref="N45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5">
        <f t="array" ref="S45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5">
        <f t="array" ref="X45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5">
        <f t="array" ref="AC45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5">
        <f t="array" ref="AH45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5">
        <f t="array" ref="AM45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5">
        <f t="array" ref="AR45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6" spans="1:46">
      <c r="I46">
        <f t="array" ref="I46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6">
        <f t="array" ref="N46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6">
        <f t="array" ref="S46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6">
        <f t="array" ref="X46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6">
        <f t="array" ref="AC46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6">
        <f t="array" ref="AH46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6">
        <f t="array" ref="AM46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6">
        <f t="array" ref="AR46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7" spans="1:46">
      <c r="I47">
        <f t="array" ref="I47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7">
        <f t="array" ref="N47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7">
        <f t="array" ref="S47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7">
        <f t="array" ref="X47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7">
        <f t="array" ref="AC47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7">
        <f t="array" ref="AH47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7">
        <f t="array" ref="AM47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7">
        <f t="array" ref="AR47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8" spans="1:46">
      <c r="I48">
        <f t="array" ref="I48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8">
        <f t="array" ref="N48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8">
        <f t="array" ref="S48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8">
        <f t="array" ref="X48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8">
        <f t="array" ref="AC48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8">
        <f t="array" ref="AH48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8">
        <f t="array" ref="AM48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8">
        <f t="array" ref="AR48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49" spans="9:44">
      <c r="I49">
        <f t="array" ref="I49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49">
        <f t="array" ref="N49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49">
        <f t="array" ref="S49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49">
        <f t="array" ref="X49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49">
        <f t="array" ref="AC49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49">
        <f t="array" ref="AH49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49">
        <f t="array" ref="AM49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49">
        <f t="array" ref="AR49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0" spans="9:44">
      <c r="I50">
        <f t="array" ref="I50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0">
        <f t="array" ref="N50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0">
        <f t="array" ref="S50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0">
        <f t="array" ref="X50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0">
        <f t="array" ref="AC50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0">
        <f t="array" ref="AH50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0">
        <f t="array" ref="AM50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0">
        <f t="array" ref="AR50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1" spans="9:44">
      <c r="I51">
        <f t="array" ref="I51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1">
        <f t="array" ref="N51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1">
        <f t="array" ref="S51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1">
        <f t="array" ref="X51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1">
        <f t="array" ref="AC51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1">
        <f t="array" ref="AH51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1">
        <f t="array" ref="AM51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1">
        <f t="array" ref="AR51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2" spans="9:44">
      <c r="I52">
        <f t="array" ref="I52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2">
        <f t="array" ref="N52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2">
        <f t="array" ref="S52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2">
        <f t="array" ref="X52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2">
        <f t="array" ref="AC52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2">
        <f t="array" ref="AH52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2">
        <f t="array" ref="AM52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2">
        <f t="array" ref="AR52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3" spans="9:44">
      <c r="I53">
        <f t="array" ref="I53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3">
        <f t="array" ref="N53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3">
        <f t="array" ref="S53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3">
        <f t="array" ref="X53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3">
        <f t="array" ref="AC53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3">
        <f t="array" ref="AH53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3">
        <f t="array" ref="AM53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3">
        <f t="array" ref="AR53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4" spans="9:44">
      <c r="I54">
        <f t="array" ref="I54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4">
        <f t="array" ref="N54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4">
        <f t="array" ref="S54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4">
        <f t="array" ref="X54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4">
        <f t="array" ref="AC54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4">
        <f t="array" ref="AH54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4">
        <f t="array" ref="AM54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4">
        <f t="array" ref="AR54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5" spans="9:44">
      <c r="I55">
        <f t="array" ref="I55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5">
        <f t="array" ref="N55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5">
        <f t="array" ref="S55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5">
        <f t="array" ref="X55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5">
        <f t="array" ref="AC55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5">
        <f t="array" ref="AH55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5">
        <f t="array" ref="AM55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5">
        <f t="array" ref="AR55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6" spans="9:44">
      <c r="I56">
        <f t="array" ref="I56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6">
        <f t="array" ref="N56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6">
        <f t="array" ref="S56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6">
        <f t="array" ref="X56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6">
        <f t="array" ref="AC56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6">
        <f t="array" ref="AH56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6">
        <f t="array" ref="AM56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6">
        <f t="array" ref="AR56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7" spans="9:44">
      <c r="I57">
        <f t="array" ref="I57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7">
        <f t="array" ref="N57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7">
        <f t="array" ref="S57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7">
        <f t="array" ref="X57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7">
        <f t="array" ref="AC57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7">
        <f t="array" ref="AH57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7">
        <f t="array" ref="AM57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7">
        <f t="array" ref="AR57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8" spans="9:44">
      <c r="I58">
        <f t="array" ref="I58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8">
        <f t="array" ref="N58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8">
        <f t="array" ref="S58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8">
        <f t="array" ref="X58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8">
        <f t="array" ref="AC58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8">
        <f t="array" ref="AH58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8">
        <f t="array" ref="AM58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8">
        <f t="array" ref="AR58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59" spans="9:44">
      <c r="I59">
        <f t="array" ref="I59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59">
        <f t="array" ref="N59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59">
        <f t="array" ref="S59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59">
        <f t="array" ref="X59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59">
        <f t="array" ref="AC59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59">
        <f t="array" ref="AH59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59">
        <f t="array" ref="AM59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59">
        <f t="array" ref="AR59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60" spans="9:44">
      <c r="I60">
        <f t="array" ref="I60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60">
        <f t="array" ref="N60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60">
        <f t="array" ref="S60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60">
        <f t="array" ref="X60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60">
        <f t="array" ref="AC60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60">
        <f t="array" ref="AH60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60">
        <f t="array" ref="AM60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60">
        <f t="array" ref="AR60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61" spans="9:44">
      <c r="I61">
        <f t="array" ref="I61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61">
        <f t="array" ref="N61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61">
        <f t="array" ref="S61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61">
        <f t="array" ref="X61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61">
        <f t="array" ref="AC61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61">
        <f t="array" ref="AH61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61">
        <f t="array" ref="AM61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61">
        <f t="array" ref="AR61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62" spans="9:44">
      <c r="I62">
        <f t="array" ref="I62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62">
        <f t="array" ref="N62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62">
        <f t="array" ref="S62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62">
        <f t="array" ref="X62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62">
        <f t="array" ref="AC62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62">
        <f t="array" ref="AH62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62">
        <f t="array" ref="AM62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62">
        <f t="array" ref="AR62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63" spans="9:44">
      <c r="I63">
        <f t="array" ref="I63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63">
        <f t="array" ref="N63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63">
        <f t="array" ref="S63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63">
        <f t="array" ref="X63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63">
        <f t="array" ref="AC63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63">
        <f t="array" ref="AH63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63">
        <f t="array" ref="AM63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63">
        <f t="array" ref="AR63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64" spans="9:44">
      <c r="I64">
        <f t="array" ref="I64">IFERROR(CONCATENATE(INDEX(L7:L34,SMALL(IF(ISNUMBER(I7:I34),IF(I7:I34&gt;0,IF(L7:L34&lt;&gt;"",ROW(I7:I34)-MIN(ROW(I7:I34))+1))),ROW()-ROW(A$37)+1)),",",TEXT(INDEX(I7:I34,SMALL(IF(ISNUMBER(I7:I34),IF(I7:I34&gt;0,IF(L7:L34&lt;&gt;"",ROW(I7:I34)-MIN(ROW(I7:I34))+1))),ROW()-ROW(A$37)+1)),"##0"),",",SUBSTITUTE(INDEX(IF(PURCHASE_DESCRIPTION&lt;&gt;"",PURCHASE_DESCRIPTION&amp;":","")&amp;A7:A34,SMALL(IF(ISNUMBER(I7:I34),IF(I7:I34&gt;0,IF(L7:L34&lt;&gt;"",ROW(I7:I34)-MIN(ROW(I7:I34))+1))),ROW()-ROW(A$37)+1)),",",";")),"")</f>
        <v>0</v>
      </c>
      <c r="N64">
        <f t="array" ref="N64">IFERROR(CONCATENATE(TEXT(INDEX(N7:N34,SMALL(IF(ISNUMBER(N7:N34),IF(N7:N34&gt;0,IF(Q7:Q34&lt;&gt;"",ROW(N7:N34)-MIN(ROW(N7:N34))+1))),ROW()-ROW(A$37)+1)),"##0"),",",INDEX(Q7:Q34,SMALL(IF(ISNUMBER(N7:N34),IF(N7:N34&gt;0,IF(Q7:Q34&lt;&gt;"",ROW(N7:N34)-MIN(ROW(N7:N34))+1))),ROW()-ROW(A$37)+1)),",",SUBSTITUTE(INDEX(IF(PURCHASE_DESCRIPTION&lt;&gt;"",PURCHASE_DESCRIPTION&amp;":","")&amp;A7:A34,SMALL(IF(ISNUMBER(N7:N34),IF(N7:N34&gt;0,IF(Q7:Q34&lt;&gt;"",ROW(N7:N34)-MIN(ROW(N7:N34))+1))),ROW()-ROW(A$37)+1)),",",";")),"")</f>
        <v>0</v>
      </c>
      <c r="S64">
        <f t="array" ref="S64">IFERROR(CONCATENATE(INDEX(V7:V34,SMALL(IF(ISNUMBER(S7:S34),IF(S7:S34&gt;0,IF(V7:V34&lt;&gt;"",ROW(S7:S34)-MIN(ROW(S7:S34))+1))),ROW()-ROW(A$37)+1))," ",TEXT(INDEX(S7:S34,SMALL(IF(ISNUMBER(S7:S34),IF(S7:S34&gt;0,IF(V7:V34&lt;&gt;"",ROW(S7:S34)-MIN(ROW(S7:S34))+1))),ROW()-ROW(A$37)+1)),"##0")," ",SUBSTITUTE(INDEX(IF(PURCHASE_DESCRIPTION&lt;&gt;"",PURCHASE_DESCRIPTION&amp;":","")&amp;A7:A34,SMALL(IF(ISNUMBER(S7:S34),IF(S7:S34&gt;0,IF(V7:V34&lt;&gt;"",ROW(S7:S34)-MIN(ROW(S7:S34))+1))),ROW()-ROW(A$37)+1))," ",";")),"")</f>
        <v>0</v>
      </c>
      <c r="X64">
        <f t="array" ref="X64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  <c r="AC64">
        <f t="array" ref="AC64">IFERROR(CONCATENATE(INDEX(AF7:AF34,SMALL(IF(ISNUMBER(AC7:AC34),IF(AC7:AC34&gt;0,IF(AF7:AF34&lt;&gt;"",ROW(AC7:AC34)-MIN(ROW(AC7:AC34))+1))),ROW()-ROW(A$37)+1)),"|",TEXT(INDEX(AC7:AC34,SMALL(IF(ISNUMBER(AC7:AC34),IF(AC7:AC34&gt;0,IF(AF7:AF34&lt;&gt;"",ROW(AC7:AC34)-MIN(ROW(AC7:AC34))+1))),ROW()-ROW(A$37)+1)),"##0"),"|",SUBSTITUTE(SUBSTITUTE(INDEX(IF(PURCHASE_DESCRIPTION&lt;&gt;"",PURCHASE_DESCRIPTION&amp;":","")&amp;A7:A34,SMALL(IF(ISNUMBER(AC7:AC34),IF(AC7:AC34&gt;0,IF(AF7:AF34&lt;&gt;"",ROW(AC7:AC34)-MIN(ROW(AC7:AC34))+1))),ROW()-ROW(A$37)+1)),"|",";")," ","_")),"")</f>
        <v>0</v>
      </c>
      <c r="AH64">
        <f t="array" ref="AH64">IFERROR(CONCATENATE(INDEX(AK7:AK34,SMALL(IF(ISNUMBER(AH7:AH34),IF(AH7:AH34&gt;0,IF(AK7:AK34&lt;&gt;"",ROW(AH7:AH34)-MIN(ROW(AH7:AH34))+1))),ROW()-ROW(A$37)+1)),",",TEXT(INDEX(AH7:AH34,SMALL(IF(ISNUMBER(AH7:AH34),IF(AH7:AH34&gt;0,IF(AK7:AK34&lt;&gt;"",ROW(AH7:AH34)-MIN(ROW(AH7:AH34))+1))),ROW()-ROW(A$37)+1)),"##0"),",",SUBSTITUTE(INDEX(IF(PURCHASE_DESCRIPTION&lt;&gt;"",PURCHASE_DESCRIPTION&amp;":","")&amp;A7:A34,SMALL(IF(ISNUMBER(AH7:AH34),IF(AH7:AH34&gt;0,IF(AK7:AK34&lt;&gt;"",ROW(AH7:AH34)-MIN(ROW(AH7:AH34))+1))),ROW()-ROW(A$37)+1)),",",";")),"")</f>
        <v>0</v>
      </c>
      <c r="AM64">
        <f t="array" ref="AM64">IFERROR(CONCATENATE(INDEX(AP7:AP34,SMALL(IF(ISNUMBER(AM7:AM34),IF(AM7:AM34&gt;0,IF(AP7:AP34&lt;&gt;"",ROW(AM7:AM34)-MIN(ROW(AM7:AM34))+1))),ROW()-ROW(A$37)+1))," ",TEXT(INDEX(AM7:AM34,SMALL(IF(ISNUMBER(AM7:AM34),IF(AM7:AM34&gt;0,IF(AP7:AP34&lt;&gt;"",ROW(AM7:AM34)-MIN(ROW(AM7:AM34))+1))),ROW()-ROW(A$37)+1)),"##0")," ",SUBSTITUTE(INDEX(IF(PURCHASE_DESCRIPTION&lt;&gt;"",PURCHASE_DESCRIPTION&amp;":","")&amp;A7:A34,SMALL(IF(ISNUMBER(AM7:AM34),IF(AM7:AM34&gt;0,IF(AP7:AP34&lt;&gt;"",ROW(AM7:AM34)-MIN(ROW(AM7:AM34))+1))),ROW()-ROW(A$37)+1))," ",";")),"")</f>
        <v>0</v>
      </c>
      <c r="AR64">
        <f t="array" ref="AR64">IFERROR(CONCATENATE(INDEX(AU7:AU34,SMALL(IF(ISNUMBER(AR7:AR34),IF(AR7:AR34&gt;0,IF(AU7:AU34&lt;&gt;"",ROW(AR7:AR34)-MIN(ROW(AR7:AR34))+1))),ROW()-ROW(A$37)+1))," ",TEXT(INDEX(AR7:AR34,SMALL(IF(ISNUMBER(AR7:AR34),IF(AR7:AR34&gt;0,IF(AU7:AU34&lt;&gt;"",ROW(AR7:AR34)-MIN(ROW(AR7:AR34))+1))),ROW()-ROW(A$37)+1)),"##0")," ",SUBSTITUTE(INDEX(IF(PURCHASE_DESCRIPTION&lt;&gt;"",PURCHASE_DESCRIPTION&amp;":","")&amp;A7:A34,SMALL(IF(ISNUMBER(AR7:AR34),IF(AR7:AR34&gt;0,IF(AU7:AU34&lt;&gt;"",ROW(AR7:AR34)-MIN(ROW(AR7:AR34))+1))),ROW()-ROW(A$37)+1))," ",";")),"")</f>
        <v>0</v>
      </c>
    </row>
    <row r="65" spans="24:24">
      <c r="X65">
        <f t="array" ref="X65">IFERROR(CONCATENATE(TEXT(INDEX(X7:X34,SMALL(IF(ISNUMBER(X7:X34),IF(X7:X34&gt;0,IF(AA7:AA34&lt;&gt;"",ROW(X7:X34)-MIN(ROW(X7:X34))+1))),ROW()-ROW(A$38)+1)),"##0"),",",SUBSTITUTE(INDEX(IF(PURCHASE_DESCRIPTION&lt;&gt;"",PURCHASE_DESCRIPTION&amp;":","")&amp;A7:A34,SMALL(IF(ISNUMBER(X7:X34),IF(X7:X34&gt;0,IF(AA7:AA34&lt;&gt;"",ROW(X7:X34)-MIN(ROW(X7:X34))+1))),ROW()-ROW(A$38)+1)),",",";"),",",SUBSTITUTE(INDEX(IF(PURCHASE_DESCRIPTION&lt;&gt;"",PURCHASE_DESCRIPTION&amp;":","")&amp;C7:C34,SMALL(IF(ISNUMBER(X7:X34),IF(X7:X34&gt;0,IF(AA7:AA34&lt;&gt;"",ROW(X7:X34)-MIN(ROW(X7:X34))+1))),ROW()-ROW(A$38)+1)),",",";"),",",INDEX(AA7:AA34,SMALL(IF(ISNUMBER(X7:X34),IF(X7:X34&gt;0,IF(AA7:AA34&lt;&gt;"",ROW(X7:X34)-MIN(ROW(X7:X34))+1))),ROW()-ROW(A$38)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3">
    <cfRule type="cellIs" dxfId="1" priority="210" operator="equal">
      <formula>0</formula>
    </cfRule>
    <cfRule type="cellIs" dxfId="2" priority="211" operator="lessThan">
      <formula>E13</formula>
    </cfRule>
  </conditionalFormatting>
  <conditionalFormatting sqref="AB14">
    <cfRule type="cellIs" dxfId="1" priority="215" operator="equal">
      <formula>0</formula>
    </cfRule>
    <cfRule type="cellIs" dxfId="2" priority="216" operator="lessThan">
      <formula>E14</formula>
    </cfRule>
  </conditionalFormatting>
  <conditionalFormatting sqref="AC13">
    <cfRule type="cellIs" dxfId="1" priority="212" operator="greaterThan">
      <formula>AB13</formula>
    </cfRule>
  </conditionalFormatting>
  <conditionalFormatting sqref="AC14">
    <cfRule type="cellIs" dxfId="1" priority="217" operator="greaterThan">
      <formula>AB14</formula>
    </cfRule>
  </conditionalFormatting>
  <conditionalFormatting sqref="AD13">
    <cfRule type="cellIs" dxfId="4" priority="214" operator="lessThanOrEqual">
      <formula>F13</formula>
    </cfRule>
  </conditionalFormatting>
  <conditionalFormatting sqref="AD14">
    <cfRule type="cellIs" dxfId="4" priority="219" operator="lessThanOrEqual">
      <formula>F14</formula>
    </cfRule>
  </conditionalFormatting>
  <conditionalFormatting sqref="AE13">
    <cfRule type="cellIs" dxfId="4" priority="213" operator="lessThanOrEqual">
      <formula>G13</formula>
    </cfRule>
  </conditionalFormatting>
  <conditionalFormatting sqref="AE14">
    <cfRule type="cellIs" dxfId="4" priority="218" operator="lessThanOrEqual">
      <formula>G14</formula>
    </cfRule>
  </conditionalFormatting>
  <conditionalFormatting sqref="AG10">
    <cfRule type="cellIs" dxfId="1" priority="230" operator="equal">
      <formula>0</formula>
    </cfRule>
    <cfRule type="cellIs" dxfId="2" priority="231" operator="lessThan">
      <formula>E10</formula>
    </cfRule>
  </conditionalFormatting>
  <conditionalFormatting sqref="AG12">
    <cfRule type="cellIs" dxfId="1" priority="235" operator="equal">
      <formula>0</formula>
    </cfRule>
    <cfRule type="cellIs" dxfId="2" priority="236" operator="lessThan">
      <formula>E12</formula>
    </cfRule>
  </conditionalFormatting>
  <conditionalFormatting sqref="AG7">
    <cfRule type="cellIs" dxfId="1" priority="220" operator="equal">
      <formula>0</formula>
    </cfRule>
    <cfRule type="cellIs" dxfId="2" priority="221" operator="lessThan">
      <formula>E7</formula>
    </cfRule>
  </conditionalFormatting>
  <conditionalFormatting sqref="AG8">
    <cfRule type="cellIs" dxfId="1" priority="225" operator="equal">
      <formula>0</formula>
    </cfRule>
    <cfRule type="cellIs" dxfId="2" priority="226" operator="lessThan">
      <formula>E8</formula>
    </cfRule>
  </conditionalFormatting>
  <conditionalFormatting sqref="AH10">
    <cfRule type="cellIs" dxfId="1" priority="232" operator="greaterThan">
      <formula>AG10</formula>
    </cfRule>
  </conditionalFormatting>
  <conditionalFormatting sqref="AH12">
    <cfRule type="expression" dxfId="3" priority="237">
      <formula>AND(AH12&gt;0,AH12&lt;4000)</formula>
    </cfRule>
    <cfRule type="cellIs" dxfId="1" priority="238" operator="greaterThan">
      <formula>AG12</formula>
    </cfRule>
  </conditionalFormatting>
  <conditionalFormatting sqref="AH7">
    <cfRule type="cellIs" dxfId="1" priority="222" operator="greaterThan">
      <formula>AG7</formula>
    </cfRule>
  </conditionalFormatting>
  <conditionalFormatting sqref="AH8">
    <cfRule type="cellIs" dxfId="1" priority="227" operator="greaterThan">
      <formula>AG8</formula>
    </cfRule>
  </conditionalFormatting>
  <conditionalFormatting sqref="AI10">
    <cfRule type="cellIs" dxfId="4" priority="234" operator="lessThanOrEqual">
      <formula>F10</formula>
    </cfRule>
  </conditionalFormatting>
  <conditionalFormatting sqref="AI12">
    <cfRule type="cellIs" dxfId="4" priority="240" operator="lessThanOrEqual">
      <formula>F12</formula>
    </cfRule>
  </conditionalFormatting>
  <conditionalFormatting sqref="AI7">
    <cfRule type="cellIs" dxfId="4" priority="224" operator="lessThanOrEqual">
      <formula>F7</formula>
    </cfRule>
  </conditionalFormatting>
  <conditionalFormatting sqref="AI8">
    <cfRule type="cellIs" dxfId="4" priority="229" operator="lessThanOrEqual">
      <formula>F8</formula>
    </cfRule>
  </conditionalFormatting>
  <conditionalFormatting sqref="AJ10">
    <cfRule type="cellIs" dxfId="4" priority="233" operator="lessThanOrEqual">
      <formula>G10</formula>
    </cfRule>
  </conditionalFormatting>
  <conditionalFormatting sqref="AJ12">
    <cfRule type="cellIs" dxfId="4" priority="239" operator="lessThanOrEqual">
      <formula>G12</formula>
    </cfRule>
  </conditionalFormatting>
  <conditionalFormatting sqref="AJ7">
    <cfRule type="cellIs" dxfId="4" priority="223" operator="lessThanOrEqual">
      <formula>G7</formula>
    </cfRule>
  </conditionalFormatting>
  <conditionalFormatting sqref="AJ8">
    <cfRule type="cellIs" dxfId="4" priority="228" operator="lessThanOrEqual">
      <formula>G8</formula>
    </cfRule>
  </conditionalFormatting>
  <conditionalFormatting sqref="AL12">
    <cfRule type="cellIs" dxfId="1" priority="247" operator="equal">
      <formula>0</formula>
    </cfRule>
    <cfRule type="cellIs" dxfId="2" priority="248" operator="lessThan">
      <formula>E12</formula>
    </cfRule>
  </conditionalFormatting>
  <conditionalFormatting sqref="AL7">
    <cfRule type="cellIs" dxfId="1" priority="241" operator="equal">
      <formula>0</formula>
    </cfRule>
    <cfRule type="cellIs" dxfId="2" priority="242" operator="lessThan">
      <formula>E7</formula>
    </cfRule>
  </conditionalFormatting>
  <conditionalFormatting sqref="AM12">
    <cfRule type="expression" dxfId="3" priority="249">
      <formula>AND(AM12&gt;0,AM12&lt;50)</formula>
    </cfRule>
    <cfRule type="cellIs" dxfId="1" priority="250" operator="greaterThan">
      <formula>AL12</formula>
    </cfRule>
  </conditionalFormatting>
  <conditionalFormatting sqref="AM7">
    <cfRule type="expression" dxfId="3" priority="243">
      <formula>AND(AM7&gt;0,AM7&lt;10000)</formula>
    </cfRule>
    <cfRule type="cellIs" dxfId="1" priority="244" operator="greaterThan">
      <formula>AL7</formula>
    </cfRule>
  </conditionalFormatting>
  <conditionalFormatting sqref="AN12">
    <cfRule type="cellIs" dxfId="4" priority="252" operator="lessThanOrEqual">
      <formula>F12</formula>
    </cfRule>
  </conditionalFormatting>
  <conditionalFormatting sqref="AN7">
    <cfRule type="cellIs" dxfId="4" priority="246" operator="lessThanOrEqual">
      <formula>F7</formula>
    </cfRule>
  </conditionalFormatting>
  <conditionalFormatting sqref="AO12">
    <cfRule type="cellIs" dxfId="4" priority="251" operator="lessThanOrEqual">
      <formula>G12</formula>
    </cfRule>
  </conditionalFormatting>
  <conditionalFormatting sqref="AO7">
    <cfRule type="cellIs" dxfId="4" priority="245" operator="lessThanOrEqual">
      <formula>G7</formula>
    </cfRule>
  </conditionalFormatting>
  <conditionalFormatting sqref="AQ12">
    <cfRule type="cellIs" dxfId="1" priority="265" operator="equal">
      <formula>0</formula>
    </cfRule>
    <cfRule type="cellIs" dxfId="2" priority="266" operator="lessThan">
      <formula>E12</formula>
    </cfRule>
  </conditionalFormatting>
  <conditionalFormatting sqref="AQ22">
    <cfRule type="cellIs" dxfId="1" priority="271" operator="equal">
      <formula>0</formula>
    </cfRule>
    <cfRule type="cellIs" dxfId="2" priority="272" operator="lessThan">
      <formula>E22</formula>
    </cfRule>
  </conditionalFormatting>
  <conditionalFormatting sqref="AQ23">
    <cfRule type="cellIs" dxfId="1" priority="277" operator="equal">
      <formula>0</formula>
    </cfRule>
    <cfRule type="cellIs" dxfId="2" priority="278" operator="lessThan">
      <formula>E23</formula>
    </cfRule>
  </conditionalFormatting>
  <conditionalFormatting sqref="AQ25">
    <cfRule type="cellIs" dxfId="1" priority="283" operator="equal">
      <formula>0</formula>
    </cfRule>
    <cfRule type="cellIs" dxfId="2" priority="284" operator="lessThan">
      <formula>E25</formula>
    </cfRule>
  </conditionalFormatting>
  <conditionalFormatting sqref="AQ27">
    <cfRule type="cellIs" dxfId="1" priority="289" operator="equal">
      <formula>0</formula>
    </cfRule>
    <cfRule type="cellIs" dxfId="2" priority="290" operator="lessThan">
      <formula>E27</formula>
    </cfRule>
  </conditionalFormatting>
  <conditionalFormatting sqref="AQ7">
    <cfRule type="cellIs" dxfId="1" priority="253" operator="equal">
      <formula>0</formula>
    </cfRule>
    <cfRule type="cellIs" dxfId="2" priority="254" operator="lessThan">
      <formula>E7</formula>
    </cfRule>
  </conditionalFormatting>
  <conditionalFormatting sqref="AQ8">
    <cfRule type="cellIs" dxfId="1" priority="259" operator="equal">
      <formula>0</formula>
    </cfRule>
    <cfRule type="cellIs" dxfId="2" priority="260" operator="lessThan">
      <formula>E8</formula>
    </cfRule>
  </conditionalFormatting>
  <conditionalFormatting sqref="AR12">
    <cfRule type="expression" dxfId="3" priority="267">
      <formula>AND(AR12&gt;0,AR12&lt;100)</formula>
    </cfRule>
    <cfRule type="cellIs" dxfId="1" priority="268" operator="greaterThan">
      <formula>AQ12</formula>
    </cfRule>
  </conditionalFormatting>
  <conditionalFormatting sqref="AR22">
    <cfRule type="expression" dxfId="3" priority="273">
      <formula>AND(AR22&gt;0,AR22&lt;100)</formula>
    </cfRule>
    <cfRule type="cellIs" dxfId="1" priority="274" operator="greaterThan">
      <formula>AQ22</formula>
    </cfRule>
  </conditionalFormatting>
  <conditionalFormatting sqref="AR23">
    <cfRule type="expression" dxfId="3" priority="279">
      <formula>AND(AR23&gt;0,AR23&lt;100)</formula>
    </cfRule>
    <cfRule type="cellIs" dxfId="1" priority="280" operator="greaterThan">
      <formula>AQ23</formula>
    </cfRule>
  </conditionalFormatting>
  <conditionalFormatting sqref="AR25">
    <cfRule type="expression" dxfId="3" priority="285">
      <formula>AND(AR25&gt;0,AR25&lt;100)</formula>
    </cfRule>
    <cfRule type="cellIs" dxfId="1" priority="286" operator="greaterThan">
      <formula>AQ25</formula>
    </cfRule>
  </conditionalFormatting>
  <conditionalFormatting sqref="AR27">
    <cfRule type="expression" dxfId="3" priority="291">
      <formula>AND(AR27&gt;0,AR27&lt;100)</formula>
    </cfRule>
    <cfRule type="cellIs" dxfId="1" priority="292" operator="greaterThan">
      <formula>AQ27</formula>
    </cfRule>
  </conditionalFormatting>
  <conditionalFormatting sqref="AR7">
    <cfRule type="expression" dxfId="3" priority="255">
      <formula>AND(AR7&gt;0,AR7&lt;100)</formula>
    </cfRule>
    <cfRule type="cellIs" dxfId="1" priority="256" operator="greaterThan">
      <formula>AQ7</formula>
    </cfRule>
  </conditionalFormatting>
  <conditionalFormatting sqref="AR8">
    <cfRule type="expression" dxfId="3" priority="261">
      <formula>AND(AR8&gt;0,AR8&lt;100)</formula>
    </cfRule>
    <cfRule type="cellIs" dxfId="1" priority="262" operator="greaterThan">
      <formula>AQ8</formula>
    </cfRule>
  </conditionalFormatting>
  <conditionalFormatting sqref="AS12">
    <cfRule type="cellIs" dxfId="4" priority="270" operator="lessThanOrEqual">
      <formula>F12</formula>
    </cfRule>
  </conditionalFormatting>
  <conditionalFormatting sqref="AS22">
    <cfRule type="cellIs" dxfId="4" priority="276" operator="lessThanOrEqual">
      <formula>F22</formula>
    </cfRule>
  </conditionalFormatting>
  <conditionalFormatting sqref="AS23">
    <cfRule type="cellIs" dxfId="4" priority="282" operator="lessThanOrEqual">
      <formula>F23</formula>
    </cfRule>
  </conditionalFormatting>
  <conditionalFormatting sqref="AS25">
    <cfRule type="cellIs" dxfId="4" priority="288" operator="lessThanOrEqual">
      <formula>F25</formula>
    </cfRule>
  </conditionalFormatting>
  <conditionalFormatting sqref="AS27">
    <cfRule type="cellIs" dxfId="4" priority="294" operator="lessThanOrEqual">
      <formula>F27</formula>
    </cfRule>
  </conditionalFormatting>
  <conditionalFormatting sqref="AS7">
    <cfRule type="cellIs" dxfId="4" priority="258" operator="lessThanOrEqual">
      <formula>F7</formula>
    </cfRule>
  </conditionalFormatting>
  <conditionalFormatting sqref="AS8">
    <cfRule type="cellIs" dxfId="4" priority="264" operator="lessThanOrEqual">
      <formula>F8</formula>
    </cfRule>
  </conditionalFormatting>
  <conditionalFormatting sqref="AT12">
    <cfRule type="cellIs" dxfId="4" priority="269" operator="lessThanOrEqual">
      <formula>G12</formula>
    </cfRule>
  </conditionalFormatting>
  <conditionalFormatting sqref="AT22">
    <cfRule type="cellIs" dxfId="4" priority="275" operator="lessThanOrEqual">
      <formula>G22</formula>
    </cfRule>
  </conditionalFormatting>
  <conditionalFormatting sqref="AT23">
    <cfRule type="cellIs" dxfId="4" priority="281" operator="lessThanOrEqual">
      <formula>G23</formula>
    </cfRule>
  </conditionalFormatting>
  <conditionalFormatting sqref="AT25">
    <cfRule type="cellIs" dxfId="4" priority="287" operator="lessThanOrEqual">
      <formula>G25</formula>
    </cfRule>
  </conditionalFormatting>
  <conditionalFormatting sqref="AT27">
    <cfRule type="cellIs" dxfId="4" priority="293" operator="lessThanOrEqual">
      <formula>G27</formula>
    </cfRule>
  </conditionalFormatting>
  <conditionalFormatting sqref="AT7">
    <cfRule type="cellIs" dxfId="4" priority="257" operator="lessThanOrEqual">
      <formula>G7</formula>
    </cfRule>
  </conditionalFormatting>
  <conditionalFormatting sqref="AT8">
    <cfRule type="cellIs" dxfId="4" priority="263" operator="lessThanOrEqual">
      <formula>G8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dxfId="0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dxfId="0" priority="85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dxfId="0" priority="89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dxfId="0" priority="93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dxfId="0" priority="97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dxfId="0" priority="101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dxfId="0" priority="105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4">
    <cfRule type="expression" dxfId="0" priority="109">
      <formula>AND(ISBLANK(D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" priority="128" operator="equal">
      <formula>0</formula>
    </cfRule>
    <cfRule type="cellIs" dxfId="2" priority="129" operator="lessThan">
      <formula>E10</formula>
    </cfRule>
  </conditionalFormatting>
  <conditionalFormatting sqref="M12">
    <cfRule type="cellIs" dxfId="1" priority="133" operator="equal">
      <formula>0</formula>
    </cfRule>
    <cfRule type="cellIs" dxfId="2" priority="134" operator="lessThan">
      <formula>E12</formula>
    </cfRule>
  </conditionalFormatting>
  <conditionalFormatting sqref="M13">
    <cfRule type="cellIs" dxfId="1" priority="138" operator="equal">
      <formula>0</formula>
    </cfRule>
    <cfRule type="cellIs" dxfId="2" priority="139" operator="lessThan">
      <formula>E13</formula>
    </cfRule>
  </conditionalFormatting>
  <conditionalFormatting sqref="M14">
    <cfRule type="cellIs" dxfId="1" priority="144" operator="equal">
      <formula>0</formula>
    </cfRule>
    <cfRule type="cellIs" dxfId="2" priority="145" operator="lessThan">
      <formula>E14</formula>
    </cfRule>
  </conditionalFormatting>
  <conditionalFormatting sqref="M7">
    <cfRule type="cellIs" dxfId="1" priority="113" operator="equal">
      <formula>0</formula>
    </cfRule>
    <cfRule type="cellIs" dxfId="2" priority="114" operator="lessThan">
      <formula>E7</formula>
    </cfRule>
  </conditionalFormatting>
  <conditionalFormatting sqref="M8">
    <cfRule type="cellIs" dxfId="1" priority="118" operator="equal">
      <formula>0</formula>
    </cfRule>
    <cfRule type="cellIs" dxfId="2" priority="119" operator="lessThan">
      <formula>E8</formula>
    </cfRule>
  </conditionalFormatting>
  <conditionalFormatting sqref="M9">
    <cfRule type="cellIs" dxfId="1" priority="123" operator="equal">
      <formula>0</formula>
    </cfRule>
    <cfRule type="cellIs" dxfId="2" priority="124" operator="lessThan">
      <formula>E9</formula>
    </cfRule>
  </conditionalFormatting>
  <conditionalFormatting sqref="N10">
    <cfRule type="cellIs" dxfId="1" priority="130" operator="greaterThan">
      <formula>M10</formula>
    </cfRule>
  </conditionalFormatting>
  <conditionalFormatting sqref="N12">
    <cfRule type="cellIs" dxfId="1" priority="135" operator="greaterThan">
      <formula>M12</formula>
    </cfRule>
  </conditionalFormatting>
  <conditionalFormatting sqref="N13">
    <cfRule type="expression" dxfId="3" priority="140">
      <formula>AND(N13&gt;0,N13&lt;9000)</formula>
    </cfRule>
    <cfRule type="cellIs" dxfId="1" priority="141" operator="greaterThan">
      <formula>M13</formula>
    </cfRule>
  </conditionalFormatting>
  <conditionalFormatting sqref="N14">
    <cfRule type="expression" dxfId="3" priority="146">
      <formula>AND(N14&gt;0,N14&lt;9000)</formula>
    </cfRule>
    <cfRule type="cellIs" dxfId="1" priority="147" operator="greaterThan">
      <formula>M14</formula>
    </cfRule>
  </conditionalFormatting>
  <conditionalFormatting sqref="N7">
    <cfRule type="cellIs" dxfId="1" priority="115" operator="greaterThan">
      <formula>M7</formula>
    </cfRule>
  </conditionalFormatting>
  <conditionalFormatting sqref="N8">
    <cfRule type="cellIs" dxfId="1" priority="120" operator="greaterThan">
      <formula>M8</formula>
    </cfRule>
  </conditionalFormatting>
  <conditionalFormatting sqref="N9">
    <cfRule type="cellIs" dxfId="1" priority="125" operator="greaterThan">
      <formula>M9</formula>
    </cfRule>
  </conditionalFormatting>
  <conditionalFormatting sqref="O10">
    <cfRule type="cellIs" dxfId="4" priority="132" operator="lessThanOrEqual">
      <formula>F10</formula>
    </cfRule>
  </conditionalFormatting>
  <conditionalFormatting sqref="O12">
    <cfRule type="cellIs" dxfId="4" priority="137" operator="lessThanOrEqual">
      <formula>F12</formula>
    </cfRule>
  </conditionalFormatting>
  <conditionalFormatting sqref="O13">
    <cfRule type="cellIs" dxfId="4" priority="143" operator="lessThanOrEqual">
      <formula>F13</formula>
    </cfRule>
  </conditionalFormatting>
  <conditionalFormatting sqref="O14">
    <cfRule type="cellIs" dxfId="4" priority="149" operator="lessThanOrEqual">
      <formula>F14</formula>
    </cfRule>
  </conditionalFormatting>
  <conditionalFormatting sqref="O7">
    <cfRule type="cellIs" dxfId="4" priority="117" operator="lessThanOrEqual">
      <formula>F7</formula>
    </cfRule>
  </conditionalFormatting>
  <conditionalFormatting sqref="O8">
    <cfRule type="cellIs" dxfId="4" priority="122" operator="lessThanOrEqual">
      <formula>F8</formula>
    </cfRule>
  </conditionalFormatting>
  <conditionalFormatting sqref="O9">
    <cfRule type="cellIs" dxfId="4" priority="127" operator="lessThanOrEqual">
      <formula>F9</formula>
    </cfRule>
  </conditionalFormatting>
  <conditionalFormatting sqref="P10">
    <cfRule type="cellIs" dxfId="4" priority="131" operator="lessThanOrEqual">
      <formula>G10</formula>
    </cfRule>
  </conditionalFormatting>
  <conditionalFormatting sqref="P12">
    <cfRule type="cellIs" dxfId="4" priority="136" operator="lessThanOrEqual">
      <formula>G12</formula>
    </cfRule>
  </conditionalFormatting>
  <conditionalFormatting sqref="P13">
    <cfRule type="cellIs" dxfId="4" priority="142" operator="lessThanOrEqual">
      <formula>G13</formula>
    </cfRule>
  </conditionalFormatting>
  <conditionalFormatting sqref="P14">
    <cfRule type="cellIs" dxfId="4" priority="148" operator="lessThanOrEqual">
      <formula>G14</formula>
    </cfRule>
  </conditionalFormatting>
  <conditionalFormatting sqref="P7">
    <cfRule type="cellIs" dxfId="4" priority="116" operator="lessThanOrEqual">
      <formula>G7</formula>
    </cfRule>
  </conditionalFormatting>
  <conditionalFormatting sqref="P8">
    <cfRule type="cellIs" dxfId="4" priority="121" operator="lessThanOrEqual">
      <formula>G8</formula>
    </cfRule>
  </conditionalFormatting>
  <conditionalFormatting sqref="P9">
    <cfRule type="cellIs" dxfId="4" priority="126" operator="lessThanOrEqual">
      <formula>G9</formula>
    </cfRule>
  </conditionalFormatting>
  <conditionalFormatting sqref="R10">
    <cfRule type="cellIs" dxfId="1" priority="162" operator="equal">
      <formula>0</formula>
    </cfRule>
    <cfRule type="cellIs" dxfId="2" priority="163" operator="lessThan">
      <formula>E10</formula>
    </cfRule>
  </conditionalFormatting>
  <conditionalFormatting sqref="R12">
    <cfRule type="cellIs" dxfId="1" priority="168" operator="equal">
      <formula>0</formula>
    </cfRule>
    <cfRule type="cellIs" dxfId="2" priority="169" operator="lessThan">
      <formula>E12</formula>
    </cfRule>
  </conditionalFormatting>
  <conditionalFormatting sqref="R7">
    <cfRule type="cellIs" dxfId="1" priority="150" operator="equal">
      <formula>0</formula>
    </cfRule>
    <cfRule type="cellIs" dxfId="2" priority="151" operator="lessThan">
      <formula>E7</formula>
    </cfRule>
  </conditionalFormatting>
  <conditionalFormatting sqref="R8">
    <cfRule type="cellIs" dxfId="1" priority="156" operator="equal">
      <formula>0</formula>
    </cfRule>
    <cfRule type="cellIs" dxfId="2" priority="157" operator="lessThan">
      <formula>E8</formula>
    </cfRule>
  </conditionalFormatting>
  <conditionalFormatting sqref="S10">
    <cfRule type="expression" dxfId="3" priority="164">
      <formula>AND(S10&gt;0,S10&lt;10)</formula>
    </cfRule>
    <cfRule type="cellIs" dxfId="1" priority="165" operator="greaterThan">
      <formula>R10</formula>
    </cfRule>
  </conditionalFormatting>
  <conditionalFormatting sqref="S12">
    <cfRule type="expression" dxfId="3" priority="170">
      <formula>AND(S12&gt;0,S12&lt;10)</formula>
    </cfRule>
    <cfRule type="cellIs" dxfId="1" priority="171" operator="greaterThan">
      <formula>R12</formula>
    </cfRule>
  </conditionalFormatting>
  <conditionalFormatting sqref="S7">
    <cfRule type="expression" dxfId="3" priority="152">
      <formula>AND(S7&gt;0,S7&lt;10)</formula>
    </cfRule>
    <cfRule type="cellIs" dxfId="1" priority="153" operator="greaterThan">
      <formula>R7</formula>
    </cfRule>
  </conditionalFormatting>
  <conditionalFormatting sqref="S8">
    <cfRule type="expression" dxfId="3" priority="158">
      <formula>AND(S8&gt;0,S8&lt;10)</formula>
    </cfRule>
    <cfRule type="cellIs" dxfId="1" priority="159" operator="greaterThan">
      <formula>R8</formula>
    </cfRule>
  </conditionalFormatting>
  <conditionalFormatting sqref="T10">
    <cfRule type="cellIs" dxfId="4" priority="167" operator="lessThanOrEqual">
      <formula>F10</formula>
    </cfRule>
  </conditionalFormatting>
  <conditionalFormatting sqref="T12">
    <cfRule type="cellIs" dxfId="4" priority="173" operator="lessThanOrEqual">
      <formula>F12</formula>
    </cfRule>
  </conditionalFormatting>
  <conditionalFormatting sqref="T7">
    <cfRule type="cellIs" dxfId="4" priority="155" operator="lessThanOrEqual">
      <formula>F7</formula>
    </cfRule>
  </conditionalFormatting>
  <conditionalFormatting sqref="T8">
    <cfRule type="cellIs" dxfId="4" priority="161" operator="lessThanOrEqual">
      <formula>F8</formula>
    </cfRule>
  </conditionalFormatting>
  <conditionalFormatting sqref="U10">
    <cfRule type="cellIs" dxfId="4" priority="166" operator="lessThanOrEqual">
      <formula>G10</formula>
    </cfRule>
  </conditionalFormatting>
  <conditionalFormatting sqref="U12">
    <cfRule type="cellIs" dxfId="4" priority="172" operator="lessThanOrEqual">
      <formula>G12</formula>
    </cfRule>
  </conditionalFormatting>
  <conditionalFormatting sqref="U7">
    <cfRule type="cellIs" dxfId="4" priority="154" operator="lessThanOrEqual">
      <formula>G7</formula>
    </cfRule>
  </conditionalFormatting>
  <conditionalFormatting sqref="U8">
    <cfRule type="cellIs" dxfId="4" priority="160" operator="lessThanOrEqual">
      <formula>G8</formula>
    </cfRule>
  </conditionalFormatting>
  <conditionalFormatting sqref="W10">
    <cfRule type="cellIs" dxfId="1" priority="192" operator="equal">
      <formula>0</formula>
    </cfRule>
    <cfRule type="cellIs" dxfId="2" priority="193" operator="lessThan">
      <formula>E10</formula>
    </cfRule>
  </conditionalFormatting>
  <conditionalFormatting sqref="W11">
    <cfRule type="cellIs" dxfId="1" priority="198" operator="equal">
      <formula>0</formula>
    </cfRule>
    <cfRule type="cellIs" dxfId="2" priority="199" operator="lessThan">
      <formula>E11</formula>
    </cfRule>
  </conditionalFormatting>
  <conditionalFormatting sqref="W12">
    <cfRule type="cellIs" dxfId="1" priority="204" operator="equal">
      <formula>0</formula>
    </cfRule>
    <cfRule type="cellIs" dxfId="2" priority="205" operator="lessThan">
      <formula>E12</formula>
    </cfRule>
  </conditionalFormatting>
  <conditionalFormatting sqref="W7">
    <cfRule type="cellIs" dxfId="1" priority="174" operator="equal">
      <formula>0</formula>
    </cfRule>
    <cfRule type="cellIs" dxfId="2" priority="175" operator="lessThan">
      <formula>E7</formula>
    </cfRule>
  </conditionalFormatting>
  <conditionalFormatting sqref="W8">
    <cfRule type="cellIs" dxfId="1" priority="180" operator="equal">
      <formula>0</formula>
    </cfRule>
    <cfRule type="cellIs" dxfId="2" priority="181" operator="lessThan">
      <formula>E8</formula>
    </cfRule>
  </conditionalFormatting>
  <conditionalFormatting sqref="W9">
    <cfRule type="cellIs" dxfId="1" priority="186" operator="equal">
      <formula>0</formula>
    </cfRule>
    <cfRule type="cellIs" dxfId="2" priority="187" operator="lessThan">
      <formula>E9</formula>
    </cfRule>
  </conditionalFormatting>
  <conditionalFormatting sqref="X10">
    <cfRule type="expression" dxfId="3" priority="194">
      <formula>AND(X10&gt;0,X10&lt;50)</formula>
    </cfRule>
    <cfRule type="cellIs" dxfId="1" priority="195" operator="greaterThan">
      <formula>W10</formula>
    </cfRule>
  </conditionalFormatting>
  <conditionalFormatting sqref="X11">
    <cfRule type="expression" dxfId="3" priority="200">
      <formula>AND(X11&gt;0,X11&lt;50)</formula>
    </cfRule>
    <cfRule type="cellIs" dxfId="1" priority="201" operator="greaterThan">
      <formula>W11</formula>
    </cfRule>
  </conditionalFormatting>
  <conditionalFormatting sqref="X12">
    <cfRule type="expression" dxfId="3" priority="206">
      <formula>AND(X12&gt;0,X12&lt;20)</formula>
    </cfRule>
    <cfRule type="cellIs" dxfId="1" priority="207" operator="greaterThan">
      <formula>W12</formula>
    </cfRule>
  </conditionalFormatting>
  <conditionalFormatting sqref="X7">
    <cfRule type="expression" dxfId="3" priority="176">
      <formula>AND(X7&gt;0,X7&lt;100)</formula>
    </cfRule>
    <cfRule type="cellIs" dxfId="1" priority="177" operator="greaterThan">
      <formula>W7</formula>
    </cfRule>
  </conditionalFormatting>
  <conditionalFormatting sqref="X8">
    <cfRule type="expression" dxfId="3" priority="182">
      <formula>AND(X8&gt;0,X8&lt;50)</formula>
    </cfRule>
    <cfRule type="cellIs" dxfId="1" priority="183" operator="greaterThan">
      <formula>W8</formula>
    </cfRule>
  </conditionalFormatting>
  <conditionalFormatting sqref="X9">
    <cfRule type="expression" dxfId="3" priority="188">
      <formula>AND(X9&gt;0,X9&lt;50)</formula>
    </cfRule>
    <cfRule type="cellIs" dxfId="1" priority="189" operator="greaterThan">
      <formula>W9</formula>
    </cfRule>
  </conditionalFormatting>
  <conditionalFormatting sqref="Y10">
    <cfRule type="cellIs" dxfId="4" priority="197" operator="lessThanOrEqual">
      <formula>F10</formula>
    </cfRule>
  </conditionalFormatting>
  <conditionalFormatting sqref="Y11">
    <cfRule type="cellIs" dxfId="4" priority="203" operator="lessThanOrEqual">
      <formula>F11</formula>
    </cfRule>
  </conditionalFormatting>
  <conditionalFormatting sqref="Y12">
    <cfRule type="cellIs" dxfId="4" priority="209" operator="lessThanOrEqual">
      <formula>F12</formula>
    </cfRule>
  </conditionalFormatting>
  <conditionalFormatting sqref="Y7">
    <cfRule type="cellIs" dxfId="4" priority="179" operator="lessThanOrEqual">
      <formula>F7</formula>
    </cfRule>
  </conditionalFormatting>
  <conditionalFormatting sqref="Y8">
    <cfRule type="cellIs" dxfId="4" priority="185" operator="lessThanOrEqual">
      <formula>F8</formula>
    </cfRule>
  </conditionalFormatting>
  <conditionalFormatting sqref="Y9">
    <cfRule type="cellIs" dxfId="4" priority="191" operator="lessThanOrEqual">
      <formula>F9</formula>
    </cfRule>
  </conditionalFormatting>
  <conditionalFormatting sqref="Z10">
    <cfRule type="cellIs" dxfId="4" priority="196" operator="lessThanOrEqual">
      <formula>G10</formula>
    </cfRule>
  </conditionalFormatting>
  <conditionalFormatting sqref="Z11">
    <cfRule type="cellIs" dxfId="4" priority="202" operator="lessThanOrEqual">
      <formula>G11</formula>
    </cfRule>
  </conditionalFormatting>
  <conditionalFormatting sqref="Z12">
    <cfRule type="cellIs" dxfId="4" priority="208" operator="lessThanOrEqual">
      <formula>G12</formula>
    </cfRule>
  </conditionalFormatting>
  <conditionalFormatting sqref="Z7">
    <cfRule type="cellIs" dxfId="4" priority="178" operator="lessThanOrEqual">
      <formula>G7</formula>
    </cfRule>
  </conditionalFormatting>
  <conditionalFormatting sqref="Z8">
    <cfRule type="cellIs" dxfId="4" priority="184" operator="lessThanOrEqual">
      <formula>G8</formula>
    </cfRule>
  </conditionalFormatting>
  <conditionalFormatting sqref="Z9">
    <cfRule type="cellIs" dxfId="4" priority="190" operator="lessThanOrEqual">
      <formula>G9</formula>
    </cfRule>
  </conditionalFormatting>
  <hyperlinks>
    <hyperlink ref="B2" r:id="rId1"/>
    <hyperlink ref="Q7" r:id="rId2"/>
    <hyperlink ref="V7" r:id="rId3"/>
    <hyperlink ref="AA7" r:id="rId4"/>
    <hyperlink ref="AK7" r:id="rId5"/>
    <hyperlink ref="AP7" r:id="rId6"/>
    <hyperlink ref="AU7" r:id="rId7"/>
    <hyperlink ref="Q8" r:id="rId8"/>
    <hyperlink ref="V8" r:id="rId9"/>
    <hyperlink ref="AA8" r:id="rId10"/>
    <hyperlink ref="AK8" r:id="rId11"/>
    <hyperlink ref="AU8" r:id="rId12"/>
    <hyperlink ref="Q9" r:id="rId13"/>
    <hyperlink ref="AA9" r:id="rId14"/>
    <hyperlink ref="Q10" r:id="rId15"/>
    <hyperlink ref="V10" r:id="rId16"/>
    <hyperlink ref="AA10" r:id="rId17"/>
    <hyperlink ref="AK10" r:id="rId18"/>
    <hyperlink ref="AA11" r:id="rId19"/>
    <hyperlink ref="Q12" r:id="rId20"/>
    <hyperlink ref="V12" r:id="rId21"/>
    <hyperlink ref="AA12" r:id="rId22"/>
    <hyperlink ref="AK12" r:id="rId23"/>
    <hyperlink ref="AP12" r:id="rId24"/>
    <hyperlink ref="AU12" r:id="rId25"/>
    <hyperlink ref="Q13" r:id="rId26"/>
    <hyperlink ref="AF13" r:id="rId27"/>
    <hyperlink ref="Q14" r:id="rId28"/>
    <hyperlink ref="AF14" r:id="rId29"/>
    <hyperlink ref="AU22" r:id="rId30"/>
    <hyperlink ref="AU23" r:id="rId31"/>
    <hyperlink ref="AU25" r:id="rId32"/>
    <hyperlink ref="AU27" r:id="rId33"/>
    <hyperlink ref="D31" r:id="rId34"/>
    <hyperlink ref="D32" r:id="rId35"/>
    <hyperlink ref="D33" r:id="rId36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ProMicro_UART.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USD_EUR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2020-07-08T21:12:32Z</dcterms:created>
  <dcterms:modified xsi:type="dcterms:W3CDTF">2020-07-08T21:12:32Z</dcterms:modified>
</cp:coreProperties>
</file>