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icro_LIPO. " sheetId="1" r:id="rId1"/>
  </sheets>
  <definedNames>
    <definedName name="arrow_part_data">'ProMicro_LIPO. '!$H$5:$L$20</definedName>
    <definedName name="BoardQty">'ProMicro_LIPO. '!$G$1</definedName>
    <definedName name="digikey_part_data">'ProMicro_LIPO. '!$M$5:$Q$20</definedName>
    <definedName name="farnell_part_data">'ProMicro_LIPO. '!$R$5:$V$20</definedName>
    <definedName name="global_part_data">'ProMicro_LIPO. '!$A$5:$G$20</definedName>
    <definedName name="lcsc_part_data">'ProMicro_LIPO. '!$W$5:$AA$20</definedName>
    <definedName name="mouser_part_data">'ProMicro_LIPO. '!$AB$5:$AF$20</definedName>
    <definedName name="newark_part_data">'ProMicro_LIPO. '!$AG$5:$AK$20</definedName>
    <definedName name="PURCHASE_DESCRIPTION">'ProMicro_LIPO. '!$G$23</definedName>
    <definedName name="rs_part_data">'ProMicro_LIPO. '!$AL$5:$AP$20</definedName>
    <definedName name="tme_part_data">'ProMicro_LIPO. '!$AQ$5:$AU$20</definedName>
    <definedName name="TotalCost">'ProMicro_LIPO. '!$G$3</definedName>
    <definedName name="USD_EUR">'ProMicro_LIPO. '!$C$24</definedName>
    <definedName name="USD_GBP">'ProMicro_LIPO. '!$C$23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$1.03
    50   $0.06      $2.92
   100   $0.05      $4.84
   500   $0.03     $16.98
  1000   $0.03     $28.11
  4000   $0.02     $87.04
  8000   $0.02    $161.92
 12000   $0.02    $230.76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£0.08      £8.40
   150   £0.08     £12.60
   500   £0.05     £27.40
  1000   £0.05     £46.30
  2000   £0.04     £79.00
  4000   £0.03    £126.00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$0.33
   200   $0.01      $2.42
   600   $0.01      $6.78
  2000   $0.01     $20.98
 10000   $0.01    $101.30
 20000   $0.01    $199.00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$0.04    $168.00
  5000   $0.04    $195.00
 10000   $0.03    $340.00
 20000   $0.03    $580.00
 30000   $0.02    $720.00</t>
        </r>
      </text>
    </comment>
    <comment ref="AN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£0.14      £6.75
   250   £0.08     £19.00
   500   £0.05     £25.50
  2500   £0.05    £120.00
  5000   £0.04    £210.00</t>
        </r>
      </text>
    </comment>
    <comment ref="AS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€0.06      €5.94
   300   €0.04     €12.39
  1000   €0.03     €26.50
  4000   €0.02     €80.40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$0.08      $3.97
   100   $0.07      $6.70
   500   $0.05     $22.94
  1000   $0.04     $40.58
  4000   $0.03    $137.92
  8000   $0.03    $256.64
 12000   $0.03    $365.64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£0.11     £10.80
   150   £0.11     £16.20
   500   £0.06     £31.50
  1000   £0.05     £52.20
  2000   £0.04     £89.20
  4000   £0.03    £139.60
 20000   £0.03    £592.00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$0.58
   500   $0.01      $4.34
  1500   $0.01     $12.20
  5000   $0.01     $37.90
 25000   $0.01    $183.50
 50000   $0.01    $361.00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25   $0.20      $4.90
    50   $0.15      $7.65
   100   $0.11     $11.10
   250   $0.10     $23.75
   500   $0.08     $39.00
  1000   $0.07     $68.00
  4000   $0.05    $212.00
  8000   $0.05    $408.00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$0.94
   100   $0.02      $1.54
   500   $0.01      $5.51
  1000   $0.01      $8.65
  4000   $0.01     $26.32
  8000   $0.01     $48.08
 12000   $0.01     $68.64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£0.17
   100   £0.01      £1.32
   150   £0.01      £1.98
   500   £0.01      £4.90
  1000   £0.01      £8.00
  2000   £0.01     £14.00
  4000   £0.01     £28.40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100   $0.01      $1.20
   500   $0.01      $5.00
  1000   $0.01      $8.00
  4000   $0.00     $20.00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25   $0.02      $0.45
    50   $0.02      $0.75
   100   $0.01      $1.30
   250   $0.01      $2.75
   500   $0.01      $5.50
  1000   $0.01      $8.00
  4000   $0.01     $24.00</t>
        </r>
      </text>
    </comment>
    <comment ref="AS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10   €0.08      €0.77
   100   €0.02      €2.00
  1000   €0.01      €9.82
  4000   €0.01     €27.80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$0.36      $3.55
    50   $0.27     $13.41
   100   $0.23     $23.36
   500   $0.17     $86.51
  1000   $0.15    $147.07
  4000   $0.12    $471.88
  8000   $0.11    $880.80
 12000   $0.11  $1,297.68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£0.41      £4.08
   100   £0.23     £22.70
   150   £0.23     £34.05
   500   £0.17     £84.50
  1000   £0.14    £145.00
  2000   £0.12    £250.00
  4000   £0.10    £408.00
 20000   £0.10  £1,912.00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$0.50
   500   $0.01      $3.64
  1500   $0.01     $10.20
  5000   $0.01     $31.60
 25000   $0.01    $150.00
 50000   $0.01    $297.50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$0.36      $3.57
   100   $0.23     $23.00
   500   $0.18     $90.00
  1000   $0.15    $153.00
  4000   $0.12    $472.00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$0.14    $548.00
  8000   $0.13  $1,056.00
 16000   $0.13  $2,080.00
 24000   $0.13  $3,048.00</t>
        </r>
      </text>
    </comment>
    <comment ref="AS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€0.30     €29.67
  1000   €0.15    €151.40
  4000   €0.11    €436.04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$1.34      $1.34
     5   $1.30      $6.48
    10   $1.21     $12.12
    50   $1.00     $50.16
   100   $0.84     $83.60
   250   $0.82    $203.78
   500   $0.69    $344.85
  1000   $0.61    $606.10
  3000   $0.51  $1,539.00
  6000   $0.49  $2,964.00
 15000   $0.48  $7,125.00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 5   £0.89      £4.45
    25   £0.86     £21.48
    50   £0.78     £39.25
   100   £0.71     £71.10
   150   £0.62     £93.00
   250   £0.60    £151.25
   500   £0.59    £294.50
  1500   £0.57    £858.00
  3000   £0.56  £1,668.00
 15000   £0.54  £8,100.00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$1.30      $1.30
    10   $1.01     $10.10
   100   $0.84     $83.60
   250   $0.82    $204.00
   500   $0.69    $345.00
  1000   $0.61    $607.00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$1.30      $1.30
    25   $1.01     $25.25
    50   $0.92     $46.15
   100   $0.84     $83.60
   250   $0.82    $204.00
   500   $0.69    $345.00
  1000   $0.61    $607.00
  3000   $0.57  $1,710.00
  4000   $0.51  $2,052.00
  6000   $0.49  $2,964.00
 10000   $0.48  $4,830.00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$1.83      $1.83
    10   $1.75     $17.47
    50   $1.57     $78.60
   100   $1.46    $145.60
   500   $1.40    $699.00
  1000   $1.28  $1,281.00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£0.96      £0.96
     5   £0.84      £4.20
    10   £0.76      £7.55
    20   £0.72     £14.30
    40   £0.64     £25.60
   100   £0.64     £63.60
   500   £0.63    £315.50
  1000   £0.63    £627.00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$1.83      $1.83
    10   $1.74     $17.40
    25   $1.74     $43.50
    50   $1.57     $78.50
   100   $1.45    $145.00
   250   $1.45    $362.50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£0.91      £0.91
    10   £0.87      £8.70</t>
        </r>
      </text>
    </comment>
    <comment ref="F2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2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23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<sst xmlns="http://schemas.openxmlformats.org/spreadsheetml/2006/main" count="190" uniqueCount="110">
  <si>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</si>
  <si>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</si>
  <si>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</si>
  <si>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</si>
  <si>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</si>
  <si>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</si>
  <si>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</si>
  <si>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</si>
  <si>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</si>
  <si>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Sparkfun_Pro_Micro_3V3</t>
  </si>
  <si>
    <t>Sparkfun_Pro_Micro</t>
  </si>
  <si>
    <t>https://www.sparkfun.com/products/12587</t>
  </si>
  <si>
    <t>C3,C7</t>
  </si>
  <si>
    <t>4.7µ</t>
  </si>
  <si>
    <t>C_0603_1608Metric</t>
  </si>
  <si>
    <t>CL10A475KO8NNNC</t>
  </si>
  <si>
    <t>C4</t>
  </si>
  <si>
    <t>10µ</t>
  </si>
  <si>
    <t>CL10A106KP8NNNC</t>
  </si>
  <si>
    <t>C5</t>
  </si>
  <si>
    <t>100n</t>
  </si>
  <si>
    <t>C0603C104M4RACTU</t>
  </si>
  <si>
    <t>C6</t>
  </si>
  <si>
    <t>1µ</t>
  </si>
  <si>
    <t>C0603X105K9RACAUTO</t>
  </si>
  <si>
    <t>F1</t>
  </si>
  <si>
    <t>500mA</t>
  </si>
  <si>
    <t>Fuse_0603_1608Metric</t>
  </si>
  <si>
    <t>04000025WR</t>
  </si>
  <si>
    <t>JP2</t>
  </si>
  <si>
    <t>SolderJumper_3_Open</t>
  </si>
  <si>
    <t>SolderJumper-3_P1.3mm_Open_RoundedPad1.0x1.5mm</t>
  </si>
  <si>
    <t>L1</t>
  </si>
  <si>
    <t>6.8µ/2A</t>
  </si>
  <si>
    <t>L_Bourns_SRN6045TA</t>
  </si>
  <si>
    <t>744787068</t>
  </si>
  <si>
    <t>R1,R2,R6</t>
  </si>
  <si>
    <t>390k</t>
  </si>
  <si>
    <t>R_0603_1608Metric</t>
  </si>
  <si>
    <t>0603WAF3903T5E</t>
  </si>
  <si>
    <t>R3</t>
  </si>
  <si>
    <t>2k</t>
  </si>
  <si>
    <t>0603WAF2001T5E</t>
  </si>
  <si>
    <t>R4,R8</t>
  </si>
  <si>
    <t>200k</t>
  </si>
  <si>
    <t>0603WAF2003T5E</t>
  </si>
  <si>
    <t>R5</t>
  </si>
  <si>
    <t>2.4M</t>
  </si>
  <si>
    <t>WR06W2404FTL</t>
  </si>
  <si>
    <t>R7</t>
  </si>
  <si>
    <t>1.1M</t>
  </si>
  <si>
    <t>RM06FTN1104</t>
  </si>
  <si>
    <t>TP1</t>
  </si>
  <si>
    <t>VBAT</t>
  </si>
  <si>
    <t>TestPoint_THTPad_D2.0mm_Drill1.0mm</t>
  </si>
  <si>
    <t>Total Purchase:</t>
  </si>
  <si>
    <t>Purchase description:</t>
  </si>
  <si>
    <t>Used currency rates:</t>
  </si>
  <si>
    <t>USD($)/GBP(£):</t>
  </si>
  <si>
    <t>USD($)/EUR(€):</t>
  </si>
  <si>
    <t>Prj:</t>
  </si>
  <si>
    <t>ProMicro_LIPO</t>
  </si>
  <si>
    <t>Co.:</t>
  </si>
  <si>
    <t>https://github.com/nerdyscout/ProMicro_LIPO</t>
  </si>
  <si>
    <t>Prj date:</t>
  </si>
  <si>
    <t>Mon Jul  6 17:28:21 2020</t>
  </si>
  <si>
    <t>Board Qty:</t>
  </si>
  <si>
    <t>Total Cost:</t>
  </si>
  <si>
    <t>Unit Cost:</t>
  </si>
  <si>
    <t>$ date:</t>
  </si>
  <si>
    <t>2020-07-06 17:28:24</t>
  </si>
  <si>
    <t>Arrow</t>
  </si>
  <si>
    <t>Avail</t>
  </si>
  <si>
    <t>Purch</t>
  </si>
  <si>
    <t>Cat#</t>
  </si>
  <si>
    <t>Digi-Key</t>
  </si>
  <si>
    <t>1276-1784-1-ND</t>
  </si>
  <si>
    <t>NonStk</t>
  </si>
  <si>
    <t>1276-1192-1-ND</t>
  </si>
  <si>
    <t>399-1099-1-ND</t>
  </si>
  <si>
    <t>399-17712-1-ND</t>
  </si>
  <si>
    <t>F12131CT-ND</t>
  </si>
  <si>
    <t>732-4526-1-ND</t>
  </si>
  <si>
    <t>Farnell</t>
  </si>
  <si>
    <t>3013397</t>
  </si>
  <si>
    <t>3013386</t>
  </si>
  <si>
    <t>2581045</t>
  </si>
  <si>
    <t>3346029</t>
  </si>
  <si>
    <t>3276472</t>
  </si>
  <si>
    <t>2336045</t>
  </si>
  <si>
    <t>LCSC</t>
  </si>
  <si>
    <t>C19666</t>
  </si>
  <si>
    <t>C19702</t>
  </si>
  <si>
    <t>C15849</t>
  </si>
  <si>
    <t>Mouser</t>
  </si>
  <si>
    <t>80C0603C104M4R</t>
  </si>
  <si>
    <t>80C0603X105K9RAUTO</t>
  </si>
  <si>
    <t>57604000025WR</t>
  </si>
  <si>
    <t>710744787068</t>
  </si>
  <si>
    <t>Newark</t>
  </si>
  <si>
    <t>02AH6818</t>
  </si>
  <si>
    <t>82AC9283</t>
  </si>
  <si>
    <t>64K2839</t>
  </si>
  <si>
    <t>57AC1788</t>
  </si>
  <si>
    <t>39AH9631</t>
  </si>
  <si>
    <t>RS Components</t>
  </si>
  <si>
    <t>7661009</t>
  </si>
  <si>
    <t>7823780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</si>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</sst>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nerdyscout/ProMicro_LIPO" TargetMode="External"/><Relationship Id="rId2" Type="http://schemas.openxmlformats.org/officeDocument/2006/relationships/hyperlink" Target="https://www.sparkfun.com/products/12587" TargetMode="External"/><Relationship Id="rId3" Type="http://schemas.openxmlformats.org/officeDocument/2006/relationships/hyperlink" Target="https://octopart.com/click/track?c=1&amp;ai=8078&amp;sig=0b11f69&amp;sid=459&amp;ppid=19831517&amp;vpid=72523730&amp;ct=offers" TargetMode="External"/><Relationship Id="rId4" Type="http://schemas.openxmlformats.org/officeDocument/2006/relationships/hyperlink" Target="https://octopart.com/click/track?ai=8078&amp;sig=065c350&amp;sid=819&amp;ppid=19831517&amp;vpid=541437265&amp;ct=offers" TargetMode="External"/><Relationship Id="rId5" Type="http://schemas.openxmlformats.org/officeDocument/2006/relationships/hyperlink" Target="https://octopart.com/click/track?ai=8078&amp;sig=02b0d0c&amp;sid=27971&amp;ppid=19831517&amp;vpid=476994663&amp;ct=offers" TargetMode="External"/><Relationship Id="rId6" Type="http://schemas.openxmlformats.org/officeDocument/2006/relationships/hyperlink" Target="https://octopart.com/click/track?c=1&amp;ai=8078&amp;sig=036a1f3&amp;sid=2402&amp;ppid=19831517&amp;vpid=547460438&amp;ct=offers" TargetMode="External"/><Relationship Id="rId7" Type="http://schemas.openxmlformats.org/officeDocument/2006/relationships/hyperlink" Target="https://octopart.com/click/track?ai=8078&amp;sig=06f21be&amp;sid=10022&amp;ppid=19831517&amp;vpid=562866029&amp;ct=offers" TargetMode="External"/><Relationship Id="rId8" Type="http://schemas.openxmlformats.org/officeDocument/2006/relationships/hyperlink" Target="https://octopart.com/click/track?ai=8078&amp;sig=0390d37&amp;sid=1532&amp;ppid=19831517&amp;vpid=127256832&amp;ct=offers" TargetMode="External"/><Relationship Id="rId9" Type="http://schemas.openxmlformats.org/officeDocument/2006/relationships/hyperlink" Target="https://octopart.com/click/track?ai=8078&amp;sig=0f78652&amp;sid=459&amp;ppid=19831471&amp;vpid=72523582&amp;ct=offers" TargetMode="External"/><Relationship Id="rId10" Type="http://schemas.openxmlformats.org/officeDocument/2006/relationships/hyperlink" Target="https://octopart.com/click/track?ai=8078&amp;sig=0fd3285&amp;sid=819&amp;ppid=19831471&amp;vpid=541437247&amp;ct=offers" TargetMode="External"/><Relationship Id="rId11" Type="http://schemas.openxmlformats.org/officeDocument/2006/relationships/hyperlink" Target="https://octopart.com/click/track?ai=8078&amp;sig=05234ec&amp;sid=27971&amp;ppid=19831471&amp;vpid=476994653&amp;ct=offers" TargetMode="External"/><Relationship Id="rId12" Type="http://schemas.openxmlformats.org/officeDocument/2006/relationships/hyperlink" Target="https://octopart.com/click/track?ai=8078&amp;sig=0fba675&amp;sid=2402&amp;ppid=19831471&amp;vpid=511545402&amp;ct=offers" TargetMode="External"/><Relationship Id="rId13" Type="http://schemas.openxmlformats.org/officeDocument/2006/relationships/hyperlink" Target="https://octopart.com/click/track?ai=8078&amp;sig=01e55b5&amp;sid=459&amp;ppid=134275&amp;vpid=1508063&amp;ct=offers" TargetMode="External"/><Relationship Id="rId14" Type="http://schemas.openxmlformats.org/officeDocument/2006/relationships/hyperlink" Target="https://octopart.com/click/track?ai=8078&amp;sig=0eb37c3&amp;sid=819&amp;ppid=134275&amp;vpid=268831487&amp;ct=offers" TargetMode="External"/><Relationship Id="rId15" Type="http://schemas.openxmlformats.org/officeDocument/2006/relationships/hyperlink" Target="https://octopart.com/click/track?ai=8078&amp;sig=01ea046&amp;sid=2401&amp;ppid=134275&amp;vpid=44736928&amp;ct=offers" TargetMode="External"/><Relationship Id="rId16" Type="http://schemas.openxmlformats.org/officeDocument/2006/relationships/hyperlink" Target="https://octopart.com/click/track?ai=8078&amp;sig=00d0875&amp;sid=2402&amp;ppid=134275&amp;vpid=16452304&amp;ct=offers" TargetMode="External"/><Relationship Id="rId17" Type="http://schemas.openxmlformats.org/officeDocument/2006/relationships/hyperlink" Target="https://octopart.com/click/track?ai=8078&amp;sig=01f9f20&amp;sid=1532&amp;ppid=134275&amp;vpid=531540779&amp;ct=offers" TargetMode="External"/><Relationship Id="rId18" Type="http://schemas.openxmlformats.org/officeDocument/2006/relationships/hyperlink" Target="https://octopart.com/click/track?ai=8078&amp;sig=06924a3&amp;sid=459&amp;ppid=91328507&amp;vpid=477195252&amp;ct=offers" TargetMode="External"/><Relationship Id="rId19" Type="http://schemas.openxmlformats.org/officeDocument/2006/relationships/hyperlink" Target="https://octopart.com/click/track?c=1&amp;ai=8078&amp;sig=07d61b7&amp;sid=819&amp;ppid=91328507&amp;vpid=629187305&amp;ct=offers" TargetMode="External"/><Relationship Id="rId20" Type="http://schemas.openxmlformats.org/officeDocument/2006/relationships/hyperlink" Target="https://octopart.com/click/track?ai=8078&amp;sig=0895b24&amp;sid=27971&amp;ppid=23919125&amp;vpid=476994652&amp;ct=offers" TargetMode="External"/><Relationship Id="rId21" Type="http://schemas.openxmlformats.org/officeDocument/2006/relationships/hyperlink" Target="https://octopart.com/click/track?ai=8078&amp;sig=0d42821&amp;sid=2401&amp;ppid=91328507&amp;vpid=476765335&amp;ct=offers" TargetMode="External"/><Relationship Id="rId22" Type="http://schemas.openxmlformats.org/officeDocument/2006/relationships/hyperlink" Target="https://octopart.com/click/track?ai=8078&amp;sig=00c0591&amp;sid=2402&amp;ppid=91328507&amp;vpid=484916306&amp;ct=offers" TargetMode="External"/><Relationship Id="rId23" Type="http://schemas.openxmlformats.org/officeDocument/2006/relationships/hyperlink" Target="https://octopart.com/click/track?ai=8078&amp;sig=00b869f&amp;sid=1532&amp;ppid=91328507&amp;vpid=493465523&amp;ct=offers" TargetMode="External"/><Relationship Id="rId24" Type="http://schemas.openxmlformats.org/officeDocument/2006/relationships/hyperlink" Target="https://octopart.com/click/track?ai=8078&amp;sig=0f7ca85&amp;sid=459&amp;ppid=103177321&amp;vpid=586331971&amp;ct=offers" TargetMode="External"/><Relationship Id="rId25" Type="http://schemas.openxmlformats.org/officeDocument/2006/relationships/hyperlink" Target="https://octopart.com/click/track?c=1&amp;ai=8078&amp;sig=0621e63&amp;sid=819&amp;ppid=103177321&amp;vpid=595765523&amp;ct=offers" TargetMode="External"/><Relationship Id="rId26" Type="http://schemas.openxmlformats.org/officeDocument/2006/relationships/hyperlink" Target="https://octopart.com/click/track?ai=8078&amp;sig=0bcfe97&amp;sid=2401&amp;ppid=103177321&amp;vpid=572812059&amp;ct=offers" TargetMode="External"/><Relationship Id="rId27" Type="http://schemas.openxmlformats.org/officeDocument/2006/relationships/hyperlink" Target="https://octopart.com/click/track?c=1&amp;ai=8078&amp;sig=03cfc50&amp;sid=2402&amp;ppid=103177321&amp;vpid=591712261&amp;ct=offers" TargetMode="External"/><Relationship Id="rId28" Type="http://schemas.openxmlformats.org/officeDocument/2006/relationships/hyperlink" Target="https://octopart.com/click/track?ai=8078&amp;sig=0febbdb&amp;sid=459&amp;ppid=29613298&amp;vpid=78605114&amp;ct=offers" TargetMode="External"/><Relationship Id="rId29" Type="http://schemas.openxmlformats.org/officeDocument/2006/relationships/hyperlink" Target="https://octopart.com/click/track?c=1&amp;ai=8078&amp;sig=0569e25&amp;sid=819&amp;ppid=29613298&amp;vpid=139816865&amp;ct=offers" TargetMode="External"/><Relationship Id="rId30" Type="http://schemas.openxmlformats.org/officeDocument/2006/relationships/hyperlink" Target="https://octopart.com/click/track?ai=8078&amp;sig=0339ce5&amp;sid=2401&amp;ppid=29613298&amp;vpid=90658298&amp;ct=offers" TargetMode="External"/><Relationship Id="rId31" Type="http://schemas.openxmlformats.org/officeDocument/2006/relationships/hyperlink" Target="https://octopart.com/click/track?ai=8078&amp;sig=0b8ed99&amp;sid=10022&amp;ppid=29613298&amp;vpid=199197598&amp;ct=offers" TargetMode="External"/><Relationship Id="rId32" Type="http://schemas.openxmlformats.org/officeDocument/2006/relationships/vmlDrawing" Target="../drawings/vmlDrawing1.vml"/><Relationship Id="rId3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60</v>
      </c>
      <c r="B1" s="2" t="s">
        <v>61</v>
      </c>
      <c r="F1" s="3" t="s">
        <v>66</v>
      </c>
      <c r="G1" s="3">
        <v>100</v>
      </c>
    </row>
    <row r="2" spans="1:47">
      <c r="A2" s="1" t="s">
        <v>62</v>
      </c>
      <c r="B2" s="2" t="s">
        <v>63</v>
      </c>
      <c r="F2" s="1" t="s">
        <v>68</v>
      </c>
      <c r="G2" s="4">
        <f>TotalCost/BoardQty</f>
        <v>0</v>
      </c>
    </row>
    <row r="3" spans="1:47">
      <c r="A3" s="1" t="s">
        <v>64</v>
      </c>
      <c r="B3" s="2" t="s">
        <v>65</v>
      </c>
      <c r="F3" s="1" t="s">
        <v>67</v>
      </c>
      <c r="G3" s="5">
        <f>SUM(G7:G20)</f>
        <v>0</v>
      </c>
      <c r="K3" s="5">
        <f>SUM(K7:K20)</f>
        <v>0</v>
      </c>
      <c r="L3" s="6">
        <f>(COUNTA(K7:K20)&amp;" of "&amp;ROWS(K7:K20)&amp;" parts found"</f>
        <v>0</v>
      </c>
      <c r="P3" s="5">
        <f>SUM(P7:P20)</f>
        <v>0</v>
      </c>
      <c r="Q3" s="6">
        <f>(COUNTA(P7:P20)&amp;" of "&amp;ROWS(P7:P20)&amp;" parts found"</f>
        <v>0</v>
      </c>
      <c r="U3" s="5">
        <f>SUM(U7:U20)</f>
        <v>0</v>
      </c>
      <c r="V3" s="6">
        <f>(COUNTA(U7:U20)&amp;" of "&amp;ROWS(U7:U20)&amp;" parts found"</f>
        <v>0</v>
      </c>
      <c r="Z3" s="5">
        <f>SUM(Z7:Z20)</f>
        <v>0</v>
      </c>
      <c r="AA3" s="6">
        <f>(COUNTA(Z7:Z20)&amp;" of "&amp;ROWS(Z7:Z20)&amp;" parts found"</f>
        <v>0</v>
      </c>
      <c r="AE3" s="5">
        <f>SUM(AE7:AE20)</f>
        <v>0</v>
      </c>
      <c r="AF3" s="6">
        <f>(COUNTA(AE7:AE20)&amp;" of "&amp;ROWS(AE7:AE20)&amp;" parts found"</f>
        <v>0</v>
      </c>
      <c r="AJ3" s="5">
        <f>SUM(AJ7:AJ20)</f>
        <v>0</v>
      </c>
      <c r="AK3" s="6">
        <f>(COUNTA(AJ7:AJ20)&amp;" of "&amp;ROWS(AJ7:AJ20)&amp;" parts found"</f>
        <v>0</v>
      </c>
      <c r="AO3" s="5">
        <f>SUM(AO7:AO20)</f>
        <v>0</v>
      </c>
      <c r="AP3" s="6">
        <f>(COUNTA(AO7:AO20)&amp;" of "&amp;ROWS(AO7:AO20)&amp;" parts found"</f>
        <v>0</v>
      </c>
      <c r="AT3" s="5">
        <f>SUM(AT7:AT20)</f>
        <v>0</v>
      </c>
      <c r="AU3" s="6">
        <f>(COUNTA(AT7:AT20)&amp;" of "&amp;ROWS(AT7:AT20)&amp;" parts found"</f>
        <v>0</v>
      </c>
    </row>
    <row r="4" spans="1:47">
      <c r="A4" s="1" t="s">
        <v>69</v>
      </c>
      <c r="B4" s="2" t="s">
        <v>70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71</v>
      </c>
      <c r="I5" s="8"/>
      <c r="J5" s="8"/>
      <c r="K5" s="8"/>
      <c r="L5" s="8"/>
      <c r="M5" s="9" t="s">
        <v>75</v>
      </c>
      <c r="N5" s="9"/>
      <c r="O5" s="9"/>
      <c r="P5" s="9"/>
      <c r="Q5" s="9"/>
      <c r="R5" s="10" t="s">
        <v>83</v>
      </c>
      <c r="S5" s="10"/>
      <c r="T5" s="10"/>
      <c r="U5" s="10"/>
      <c r="V5" s="10"/>
      <c r="W5" s="11" t="s">
        <v>90</v>
      </c>
      <c r="X5" s="11"/>
      <c r="Y5" s="11"/>
      <c r="Z5" s="11"/>
      <c r="AA5" s="11"/>
      <c r="AB5" s="12" t="s">
        <v>94</v>
      </c>
      <c r="AC5" s="12"/>
      <c r="AD5" s="12"/>
      <c r="AE5" s="12"/>
      <c r="AF5" s="12"/>
      <c r="AG5" s="13" t="s">
        <v>99</v>
      </c>
      <c r="AH5" s="13"/>
      <c r="AI5" s="13"/>
      <c r="AJ5" s="13"/>
      <c r="AK5" s="13"/>
      <c r="AL5" s="14" t="s">
        <v>105</v>
      </c>
      <c r="AM5" s="14"/>
      <c r="AN5" s="14"/>
      <c r="AO5" s="14"/>
      <c r="AP5" s="14"/>
      <c r="AQ5" s="15" t="s">
        <v>108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72</v>
      </c>
      <c r="I6" s="16" t="s">
        <v>73</v>
      </c>
      <c r="J6" s="16" t="s">
        <v>6</v>
      </c>
      <c r="K6" s="16" t="s">
        <v>7</v>
      </c>
      <c r="L6" s="16" t="s">
        <v>74</v>
      </c>
      <c r="M6" s="16" t="s">
        <v>72</v>
      </c>
      <c r="N6" s="16" t="s">
        <v>73</v>
      </c>
      <c r="O6" s="16" t="s">
        <v>6</v>
      </c>
      <c r="P6" s="16" t="s">
        <v>7</v>
      </c>
      <c r="Q6" s="16" t="s">
        <v>74</v>
      </c>
      <c r="R6" s="16" t="s">
        <v>72</v>
      </c>
      <c r="S6" s="16" t="s">
        <v>73</v>
      </c>
      <c r="T6" s="16" t="s">
        <v>6</v>
      </c>
      <c r="U6" s="16" t="s">
        <v>7</v>
      </c>
      <c r="V6" s="16" t="s">
        <v>74</v>
      </c>
      <c r="W6" s="16" t="s">
        <v>72</v>
      </c>
      <c r="X6" s="16" t="s">
        <v>73</v>
      </c>
      <c r="Y6" s="16" t="s">
        <v>6</v>
      </c>
      <c r="Z6" s="16" t="s">
        <v>7</v>
      </c>
      <c r="AA6" s="16" t="s">
        <v>74</v>
      </c>
      <c r="AB6" s="16" t="s">
        <v>72</v>
      </c>
      <c r="AC6" s="16" t="s">
        <v>73</v>
      </c>
      <c r="AD6" s="16" t="s">
        <v>6</v>
      </c>
      <c r="AE6" s="16" t="s">
        <v>7</v>
      </c>
      <c r="AF6" s="16" t="s">
        <v>74</v>
      </c>
      <c r="AG6" s="16" t="s">
        <v>72</v>
      </c>
      <c r="AH6" s="16" t="s">
        <v>73</v>
      </c>
      <c r="AI6" s="16" t="s">
        <v>6</v>
      </c>
      <c r="AJ6" s="16" t="s">
        <v>7</v>
      </c>
      <c r="AK6" s="16" t="s">
        <v>74</v>
      </c>
      <c r="AL6" s="16" t="s">
        <v>72</v>
      </c>
      <c r="AM6" s="16" t="s">
        <v>73</v>
      </c>
      <c r="AN6" s="16" t="s">
        <v>6</v>
      </c>
      <c r="AO6" s="16" t="s">
        <v>7</v>
      </c>
      <c r="AP6" s="16" t="s">
        <v>74</v>
      </c>
      <c r="AQ6" s="16" t="s">
        <v>72</v>
      </c>
      <c r="AR6" s="16" t="s">
        <v>73</v>
      </c>
      <c r="AS6" s="16" t="s">
        <v>6</v>
      </c>
      <c r="AT6" s="16" t="s">
        <v>7</v>
      </c>
      <c r="AU6" s="16" t="s">
        <v>74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  <c r="M8" s="19" t="s">
        <v>77</v>
      </c>
      <c r="O8" s="18">
        <f>iferror(lookup(if(N8="",E8,N8),{0,1,10,50,100,500,1000,4000,8000,12000},{0.0,0.14,0.103,0.0584,0.0484,0.03396,0.02811,0.02176,0.02024,0.01923}),"")</f>
        <v>0</v>
      </c>
      <c r="P8" s="18">
        <f>iferror(if(N8="",E8,N8)*O8,"")</f>
        <v>0</v>
      </c>
      <c r="Q8" s="20" t="s">
        <v>76</v>
      </c>
      <c r="R8" s="17">
        <v>260</v>
      </c>
      <c r="T8" s="18">
        <f>iferror(USD_GBP*lookup(if(S8="",E8,S8),{0,1,10,100,150,500,1000,2000,4000},{0.0,0.152,0.152,0.084,0.084,0.0548,0.0463,0.0395,0.0315}),"")</f>
        <v>0</v>
      </c>
      <c r="U8" s="18">
        <f>iferror(if(S8="",E8,S8)*T8,"")</f>
        <v>0</v>
      </c>
      <c r="V8" s="20" t="s">
        <v>84</v>
      </c>
      <c r="W8" s="17">
        <v>408060</v>
      </c>
      <c r="Y8" s="18">
        <f>iferror(lookup(if(X8="",E8,X8),{0,1,20,200,600,2000,10000,20000},{0.0,0.01652,0.01652,0.01211,0.0113,0.01049,0.01013,0.00995}),"")</f>
        <v>0</v>
      </c>
      <c r="Z8" s="18">
        <f>iferror(if(X8="",E8,X8)*Y8,"")</f>
        <v>0</v>
      </c>
      <c r="AA8" s="20" t="s">
        <v>91</v>
      </c>
      <c r="AG8" s="19" t="s">
        <v>77</v>
      </c>
      <c r="AI8" s="18">
        <f>iferror(lookup(if(AH8="",E8,AH8),{0,1,4000,5000,10000,20000,30000},{0.0,0.042,0.042,0.039,0.034,0.029,0.024}),"")</f>
        <v>0</v>
      </c>
      <c r="AJ8" s="18">
        <f>iferror(if(AH8="",E8,AH8)*AI8,"")</f>
        <v>0</v>
      </c>
      <c r="AK8" s="20" t="s">
        <v>100</v>
      </c>
      <c r="AL8" s="17">
        <v>132600</v>
      </c>
      <c r="AN8" s="18">
        <f>iferror(USD_GBP*lookup(if(AM8="",E8,AM8),{0,1,50,250,500,2500,5000},{0.0,0.135,0.135,0.076,0.051,0.048,0.042}),"")</f>
        <v>0</v>
      </c>
      <c r="AO8" s="18">
        <f>iferror(if(AM8="",E8,AM8)*AN8,"")</f>
        <v>0</v>
      </c>
      <c r="AP8" s="20" t="s">
        <v>106</v>
      </c>
      <c r="AQ8" s="17">
        <v>80100</v>
      </c>
      <c r="AS8" s="18">
        <f>iferror(USD_EUR*lookup(if(AR8="",E8,AR8),{0,1,100,300,1000,4000},{0.0,0.0594,0.0594,0.0413,0.0265,0.0201}),"")</f>
        <v>0</v>
      </c>
      <c r="AT8" s="18">
        <f>iferror(if(AR8="",E8,AR8)*AS8,"")</f>
        <v>0</v>
      </c>
      <c r="AU8" s="20" t="s">
        <v>15</v>
      </c>
    </row>
    <row r="9" spans="1:47">
      <c r="A9" s="17" t="s">
        <v>16</v>
      </c>
      <c r="B9" s="17" t="s">
        <v>17</v>
      </c>
      <c r="C9" s="17" t="s">
        <v>14</v>
      </c>
      <c r="D9" s="17" t="s">
        <v>18</v>
      </c>
      <c r="E9" s="17">
        <f>BoardQty*1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17">
        <v>1663014</v>
      </c>
      <c r="O9" s="18">
        <f>iferror(lookup(if(N9="",E9,N9),{0,1,10,50,100,500,1000,4000,8000,12000},{0.0,0.19,0.132,0.0794,0.067,0.04588,0.04058,0.03448,0.03208,0.03047}),"")</f>
        <v>0</v>
      </c>
      <c r="P9" s="18">
        <f>iferror(if(N9="",E9,N9)*O9,"")</f>
        <v>0</v>
      </c>
      <c r="Q9" s="20" t="s">
        <v>78</v>
      </c>
      <c r="R9" s="17">
        <v>18438</v>
      </c>
      <c r="T9" s="18">
        <f>iferror(USD_GBP*lookup(if(S9="",E9,S9),{0,1,10,100,150,500,1000,2000,4000,20000},{0.0,0.216,0.216,0.108,0.108,0.063,0.0522,0.0446,0.0349,0.0296}),"")</f>
        <v>0</v>
      </c>
      <c r="U9" s="18">
        <f>iferror(if(S9="",E9,S9)*T9,"")</f>
        <v>0</v>
      </c>
      <c r="V9" s="20" t="s">
        <v>85</v>
      </c>
      <c r="W9" s="17">
        <v>720250</v>
      </c>
      <c r="Y9" s="18">
        <f>iferror(lookup(if(X9="",E9,X9),{0,1,50,500,1500,5000,25000,50000},{0.0,0.01168,0.01168,0.00868,0.00813,0.00758,0.00734,0.00722}),"")</f>
        <v>0</v>
      </c>
      <c r="Z9" s="18">
        <f>iferror(if(X9="",E9,X9)*Y9,"")</f>
        <v>0</v>
      </c>
      <c r="AA9" s="20" t="s">
        <v>92</v>
      </c>
      <c r="AG9" s="17">
        <v>72000</v>
      </c>
      <c r="AI9" s="18">
        <f>iferror(lookup(if(AH9="",E9,AH9),{0,1,25,50,100,250,500,1000,4000,8000},{0.0,0.055,0.196,0.153,0.111,0.095,0.078,0.068,0.053,0.051}),"")</f>
        <v>0</v>
      </c>
      <c r="AJ9" s="18">
        <f>iferror(if(AH9="",E9,AH9)*AI9,"")</f>
        <v>0</v>
      </c>
      <c r="AK9" s="20" t="s">
        <v>101</v>
      </c>
    </row>
    <row r="10" spans="1:47">
      <c r="A10" s="17" t="s">
        <v>19</v>
      </c>
      <c r="B10" s="17" t="s">
        <v>20</v>
      </c>
      <c r="C10" s="17" t="s">
        <v>14</v>
      </c>
      <c r="D10" s="17" t="s">
        <v>21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7">
        <v>178617</v>
      </c>
      <c r="O10" s="18">
        <f>iferror(lookup(if(N10="",E10,N10),{0,1,10,50,100,500,1000,4000,8000,12000},{0.0,0.1,0.035,0.0188,0.0154,0.01102,0.00865,0.00658,0.00601,0.00572}),"")</f>
        <v>0</v>
      </c>
      <c r="P10" s="18">
        <f>iferror(if(N10="",E10,N10)*O10,"")</f>
        <v>0</v>
      </c>
      <c r="Q10" s="20" t="s">
        <v>79</v>
      </c>
      <c r="R10" s="17">
        <v>152807</v>
      </c>
      <c r="T10" s="18">
        <f>iferror(USD_GBP*lookup(if(S10="",E10,S10),{0,1,10,100,150,500,1000,2000,4000},{0.0,0.0167,0.0167,0.0132,0.0132,0.0098,0.008,0.007,0.0071}),"")</f>
        <v>0</v>
      </c>
      <c r="U10" s="18">
        <f>iferror(if(S10="",E10,S10)*T10,"")</f>
        <v>0</v>
      </c>
      <c r="V10" s="20" t="s">
        <v>86</v>
      </c>
      <c r="AB10" s="17">
        <v>3141987</v>
      </c>
      <c r="AD10" s="18">
        <f>iferror(lookup(if(AC10="",E10,AC10),{0,1,10,100,500,1000,4000},{0.0,0.1,0.018,0.012,0.01,0.008,0.005}),"")</f>
        <v>0</v>
      </c>
      <c r="AE10" s="18">
        <f>iferror(if(AC10="",E10,AC10)*AD10,"")</f>
        <v>0</v>
      </c>
      <c r="AF10" s="20" t="s">
        <v>95</v>
      </c>
      <c r="AG10" s="17">
        <v>37303</v>
      </c>
      <c r="AI10" s="18">
        <f>iferror(lookup(if(AH10="",E10,AH10),{0,1,25,50,100,250,500,1000,4000},{0.0,0.113,0.018,0.015,0.013,0.011,0.011,0.008,0.006}),"")</f>
        <v>0</v>
      </c>
      <c r="AJ10" s="18">
        <f>iferror(if(AH10="",E10,AH10)*AI10,"")</f>
        <v>0</v>
      </c>
      <c r="AK10" s="20" t="s">
        <v>102</v>
      </c>
      <c r="AQ10" s="17">
        <v>2640</v>
      </c>
      <c r="AS10" s="18">
        <f>iferror(USD_EUR*lookup(if(AR10="",E10,AR10),{0,1,10,100,1000,4000},{0.0,0.0773,0.0773,0.02004,0.00982,0.00695}),"")</f>
        <v>0</v>
      </c>
      <c r="AT10" s="18">
        <f>iferror(if(AR10="",E10,AR10)*AS10,"")</f>
        <v>0</v>
      </c>
      <c r="AU10" s="20" t="s">
        <v>21</v>
      </c>
    </row>
    <row r="11" spans="1:47">
      <c r="A11" s="17" t="s">
        <v>22</v>
      </c>
      <c r="B11" s="17" t="s">
        <v>23</v>
      </c>
      <c r="C11" s="17" t="s">
        <v>14</v>
      </c>
      <c r="D11" s="17" t="s">
        <v>24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M11" s="17">
        <v>58201</v>
      </c>
      <c r="O11" s="18">
        <f>iferror(lookup(if(N11="",E11,N11),{0,1,10,50,100,500,1000,4000,8000,12000},{0.0,0.5,0.355,0.2682,0.2336,0.17302,0.14707,0.11797,0.1101,0.10814}),"")</f>
        <v>0</v>
      </c>
      <c r="P11" s="18">
        <f>iferror(if(N11="",E11,N11)*O11,"")</f>
        <v>0</v>
      </c>
      <c r="Q11" s="20" t="s">
        <v>80</v>
      </c>
      <c r="R11" s="17">
        <v>4000</v>
      </c>
      <c r="T11" s="18">
        <f>iferror(USD_GBP*lookup(if(S11="",E11,S11),{0,1,10,100,150,500,1000,2000,4000,20000},{0.0,0.408,0.408,0.227,0.227,0.169,0.145,0.125,0.102,0.0956}),"")</f>
        <v>0</v>
      </c>
      <c r="U11" s="18">
        <f>iferror(if(S11="",E11,S11)*T11,"")</f>
        <v>0</v>
      </c>
      <c r="V11" s="20" t="s">
        <v>87</v>
      </c>
      <c r="W11" s="17">
        <v>104600</v>
      </c>
      <c r="Y11" s="18">
        <f>iferror(lookup(if(X11="",E11,X11),{0,1,50,500,1500,5000,25000,50000},{0.0,0.00997,0.00997,0.00729,0.0068,0.00632,0.006,0.00595}),"")</f>
        <v>0</v>
      </c>
      <c r="Z11" s="18">
        <f>iferror(if(X11="",E11,X11)*Y11,"")</f>
        <v>0</v>
      </c>
      <c r="AA11" s="20" t="s">
        <v>93</v>
      </c>
      <c r="AB11" s="17">
        <v>13591</v>
      </c>
      <c r="AD11" s="18">
        <f>iferror(lookup(if(AC11="",E11,AC11),{0,1,10,100,500,1000,4000},{0.0,0.52,0.357,0.23,0.18,0.153,0.118}),"")</f>
        <v>0</v>
      </c>
      <c r="AE11" s="18">
        <f>iferror(if(AC11="",E11,AC11)*AD11,"")</f>
        <v>0</v>
      </c>
      <c r="AF11" s="20" t="s">
        <v>96</v>
      </c>
      <c r="AG11" s="17">
        <v>4000</v>
      </c>
      <c r="AI11" s="18">
        <f>iferror(lookup(if(AH11="",E11,AH11),{0,1,4000,8000,16000,24000},{0.0,0.137,0.137,0.132,0.13,0.127}),"")</f>
        <v>0</v>
      </c>
      <c r="AJ11" s="18">
        <f>iferror(if(AH11="",E11,AH11)*AI11,"")</f>
        <v>0</v>
      </c>
      <c r="AK11" s="20" t="s">
        <v>103</v>
      </c>
      <c r="AQ11" s="17">
        <v>4000</v>
      </c>
      <c r="AS11" s="18">
        <f>iferror(USD_EUR*lookup(if(AR11="",E11,AR11),{0,1,100,1000,4000},{0.0,0.29674,0.29674,0.1514,0.10901}),"")</f>
        <v>0</v>
      </c>
      <c r="AT11" s="18">
        <f>iferror(if(AR11="",E11,AR11)*AS11,"")</f>
        <v>0</v>
      </c>
      <c r="AU11" s="20" t="s">
        <v>24</v>
      </c>
    </row>
    <row r="12" spans="1:47">
      <c r="A12" s="17" t="s">
        <v>25</v>
      </c>
      <c r="B12" s="17" t="s">
        <v>26</v>
      </c>
      <c r="C12" s="17" t="s">
        <v>27</v>
      </c>
      <c r="D12" s="17" t="s">
        <v>28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17">
        <v>1575</v>
      </c>
      <c r="O12" s="18">
        <f>iferror(lookup(if(N12="",E12,N12),{0,1,5,10,50,100,250,500,1000,3000,6000,15000},{0.0,1.34,1.296,1.212,1.0032,0.836,0.81512,0.6897,0.6061,0.513,0.494,0.475}),"")</f>
        <v>0</v>
      </c>
      <c r="P12" s="18">
        <f>iferror(if(N12="",E12,N12)*O12,"")</f>
        <v>0</v>
      </c>
      <c r="Q12" s="20" t="s">
        <v>81</v>
      </c>
      <c r="R12" s="19" t="s">
        <v>77</v>
      </c>
      <c r="T12" s="18">
        <f>iferror(USD_GBP*lookup(if(S12="",E12,S12),{0,1,5,25,50,100,150,250,500,1500,3000,15000},{0.0,1.105,0.89,0.859,0.785,0.711,0.62,0.605,0.589,0.572,0.556,0.54}),"")</f>
        <v>0</v>
      </c>
      <c r="U12" s="18">
        <f>iferror(if(S12="",E12,S12)*T12,"")</f>
        <v>0</v>
      </c>
      <c r="V12" s="20" t="s">
        <v>88</v>
      </c>
      <c r="AB12" s="17">
        <v>1585</v>
      </c>
      <c r="AD12" s="18">
        <f>iferror(lookup(if(AC12="",E12,AC12),{0,1,10,100,250,500,1000},{0.0,1.3,1.01,0.836,0.816,0.69,0.607}),"")</f>
        <v>0</v>
      </c>
      <c r="AE12" s="18">
        <f>iferror(if(AC12="",E12,AC12)*AD12,"")</f>
        <v>0</v>
      </c>
      <c r="AF12" s="20" t="s">
        <v>97</v>
      </c>
      <c r="AG12" s="19" t="s">
        <v>77</v>
      </c>
      <c r="AI12" s="18">
        <f>iferror(lookup(if(AH12="",E12,AH12),{0,1,25,50,100,250,500,1000,3000,4000,6000,10000},{0.0,1.3,1.01,0.923,0.836,0.816,0.69,0.607,0.57,0.513,0.494,0.483}),"")</f>
        <v>0</v>
      </c>
      <c r="AJ12" s="18">
        <f>iferror(if(AH12="",E12,AH12)*AI12,"")</f>
        <v>0</v>
      </c>
      <c r="AK12" s="20" t="s">
        <v>104</v>
      </c>
    </row>
    <row r="13" spans="1:47">
      <c r="A13" s="17" t="s">
        <v>29</v>
      </c>
      <c r="B13" s="17" t="s">
        <v>30</v>
      </c>
      <c r="C13" s="17" t="s">
        <v>31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</row>
    <row r="14" spans="1:47">
      <c r="A14" s="17" t="s">
        <v>32</v>
      </c>
      <c r="B14" s="17" t="s">
        <v>33</v>
      </c>
      <c r="C14" s="17" t="s">
        <v>34</v>
      </c>
      <c r="D14" s="17" t="s">
        <v>35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17">
        <v>2635</v>
      </c>
      <c r="O14" s="18">
        <f>iferror(lookup(if(N14="",E14,N14),{0,1,10,50,100,500,1000},{0.0,1.83,1.747,1.572,1.456,1.398,1.281}),"")</f>
        <v>0</v>
      </c>
      <c r="P14" s="18">
        <f>iferror(if(N14="",E14,N14)*O14,"")</f>
        <v>0</v>
      </c>
      <c r="Q14" s="20" t="s">
        <v>82</v>
      </c>
      <c r="R14" s="19" t="s">
        <v>77</v>
      </c>
      <c r="T14" s="18">
        <f>iferror(USD_GBP*lookup(if(S14="",E14,S14),{0,1,5,10,20,40,100,500,1000},{0.0,0.96,0.84,0.755,0.715,0.64,0.636,0.631,0.627}),"")</f>
        <v>0</v>
      </c>
      <c r="U14" s="18">
        <f>iferror(if(S14="",E14,S14)*T14,"")</f>
        <v>0</v>
      </c>
      <c r="V14" s="20" t="s">
        <v>89</v>
      </c>
      <c r="AB14" s="17">
        <v>1113</v>
      </c>
      <c r="AD14" s="18">
        <f>iferror(lookup(if(AC14="",E14,AC14),{0,1,10,25,50,100,250},{0.0,1.83,1.74,1.74,1.57,1.45,1.45}),"")</f>
        <v>0</v>
      </c>
      <c r="AE14" s="18">
        <f>iferror(if(AC14="",E14,AC14)*AD14,"")</f>
        <v>0</v>
      </c>
      <c r="AF14" s="20" t="s">
        <v>98</v>
      </c>
      <c r="AL14" s="17">
        <v>21</v>
      </c>
      <c r="AN14" s="18">
        <f>iferror(USD_GBP*lookup(if(AM14="",E14,AM14),{0,1,10},{0.0,0.91,0.87}),"")</f>
        <v>0</v>
      </c>
      <c r="AO14" s="18">
        <f>iferror(if(AM14="",E14,AM14)*AN14,"")</f>
        <v>0</v>
      </c>
      <c r="AP14" s="20" t="s">
        <v>107</v>
      </c>
    </row>
    <row r="15" spans="1:47">
      <c r="A15" s="17" t="s">
        <v>36</v>
      </c>
      <c r="B15" s="17" t="s">
        <v>37</v>
      </c>
      <c r="C15" s="17" t="s">
        <v>38</v>
      </c>
      <c r="D15" s="17" t="s">
        <v>39</v>
      </c>
      <c r="E15" s="17">
        <f>BoardQty*3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40</v>
      </c>
      <c r="B16" s="17" t="s">
        <v>41</v>
      </c>
      <c r="C16" s="17" t="s">
        <v>38</v>
      </c>
      <c r="D16" s="17" t="s">
        <v>42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</row>
    <row r="17" spans="1:46">
      <c r="A17" s="17" t="s">
        <v>43</v>
      </c>
      <c r="B17" s="17" t="s">
        <v>44</v>
      </c>
      <c r="C17" s="17" t="s">
        <v>38</v>
      </c>
      <c r="D17" s="17" t="s">
        <v>45</v>
      </c>
      <c r="E17" s="17">
        <f>BoardQty*2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</row>
    <row r="18" spans="1:46">
      <c r="A18" s="17" t="s">
        <v>46</v>
      </c>
      <c r="B18" s="17" t="s">
        <v>47</v>
      </c>
      <c r="C18" s="17" t="s">
        <v>38</v>
      </c>
      <c r="D18" s="17" t="s">
        <v>48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</row>
    <row r="19" spans="1:46">
      <c r="A19" s="17" t="s">
        <v>49</v>
      </c>
      <c r="B19" s="17" t="s">
        <v>50</v>
      </c>
      <c r="C19" s="17" t="s">
        <v>38</v>
      </c>
      <c r="D19" s="17" t="s">
        <v>51</v>
      </c>
      <c r="E19" s="17">
        <f>BoardQty*1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</row>
    <row r="20" spans="1:46">
      <c r="A20" s="17" t="s">
        <v>52</v>
      </c>
      <c r="B20" s="17" t="s">
        <v>53</v>
      </c>
      <c r="C20" s="17" t="s">
        <v>54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</row>
    <row r="22" spans="1:46">
      <c r="B22" s="21" t="s">
        <v>57</v>
      </c>
      <c r="F22" s="1" t="s">
        <v>55</v>
      </c>
      <c r="G22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22" s="6">
        <f>IFERROR(IF(OR(I7:I20),COUNTIFS(I7:I20,"&gt;0",K7:K20,"&lt;&gt;")&amp;" of "&amp;(ROWS(K7:K20)-COUNTBLANK(K7:K20))&amp;" parts purchased",""),"")</f>
        <v>0</v>
      </c>
      <c r="K22" s="5">
        <f>SUMIF(I7:I20,"&gt;0",K7:K20)</f>
        <v>0</v>
      </c>
      <c r="N22" s="6">
        <f>IFERROR(IF(OR(N7:N20),COUNTIFS(N7:N20,"&gt;0",P7:P20,"&lt;&gt;")&amp;" of "&amp;(ROWS(P7:P20)-COUNTBLANK(P7:P20))&amp;" parts purchased",""),"")</f>
        <v>0</v>
      </c>
      <c r="P22" s="5">
        <f>SUMIF(N7:N20,"&gt;0",P7:P20)</f>
        <v>0</v>
      </c>
      <c r="S22" s="6">
        <f>IFERROR(IF(OR(S7:S20),COUNTIFS(S7:S20,"&gt;0",U7:U20,"&lt;&gt;")&amp;" of "&amp;(ROWS(U7:U20)-COUNTBLANK(U7:U20))&amp;" parts purchased",""),"")</f>
        <v>0</v>
      </c>
      <c r="U22" s="5">
        <f>SUMIF(S7:S20,"&gt;0",U7:U20)</f>
        <v>0</v>
      </c>
      <c r="X22" s="6">
        <f>IFERROR(IF(OR(X7:X20),COUNTIFS(X7:X20,"&gt;0",Z7:Z20,"&lt;&gt;")&amp;" of "&amp;(ROWS(Z7:Z20)-COUNTBLANK(Z7:Z20))&amp;" parts purchased",""),"")</f>
        <v>0</v>
      </c>
      <c r="Z22" s="5">
        <f>SUMIF(X7:X20,"&gt;0",Z7:Z20)</f>
        <v>0</v>
      </c>
      <c r="AC22" s="6">
        <f>IFERROR(IF(OR(AC7:AC20),COUNTIFS(AC7:AC20,"&gt;0",AE7:AE20,"&lt;&gt;")&amp;" of "&amp;(ROWS(AE7:AE20)-COUNTBLANK(AE7:AE20))&amp;" parts purchased",""),"")</f>
        <v>0</v>
      </c>
      <c r="AE22" s="5">
        <f>SUMIF(AC7:AC20,"&gt;0",AE7:AE20)</f>
        <v>0</v>
      </c>
      <c r="AH22" s="6">
        <f>IFERROR(IF(OR(AH7:AH20),COUNTIFS(AH7:AH20,"&gt;0",AJ7:AJ20,"&lt;&gt;")&amp;" of "&amp;(ROWS(AJ7:AJ20)-COUNTBLANK(AJ7:AJ20))&amp;" parts purchased",""),"")</f>
        <v>0</v>
      </c>
      <c r="AJ22" s="5">
        <f>SUMIF(AH7:AH20,"&gt;0",AJ7:AJ20)</f>
        <v>0</v>
      </c>
      <c r="AM22" s="6">
        <f>IFERROR(IF(OR(AM7:AM20),COUNTIFS(AM7:AM20,"&gt;0",AO7:AO20,"&lt;&gt;")&amp;" of "&amp;(ROWS(AO7:AO20)-COUNTBLANK(AO7:AO20))&amp;" parts purchased",""),"")</f>
        <v>0</v>
      </c>
      <c r="AO22" s="5">
        <f>SUMIF(AM7:AM20,"&gt;0",AO7:AO20)</f>
        <v>0</v>
      </c>
      <c r="AR22" s="6">
        <f>IFERROR(IF(OR(AR7:AR20),COUNTIFS(AR7:AR20,"&gt;0",AT7:AT20,"&lt;&gt;")&amp;" of "&amp;(ROWS(AT7:AT20)-COUNTBLANK(AT7:AT20))&amp;" parts purchased",""),"")</f>
        <v>0</v>
      </c>
      <c r="AT22" s="5">
        <f>SUMIF(AR7:AR20,"&gt;0",AT7:AT20)</f>
        <v>0</v>
      </c>
    </row>
    <row r="23" spans="1:46">
      <c r="B23" s="21" t="s">
        <v>58</v>
      </c>
      <c r="C23">
        <v>1.267280071813286</v>
      </c>
      <c r="F23" s="21" t="s">
        <v>56</v>
      </c>
      <c r="I23">
        <f t="array" ref="I23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3">
        <f t="array" ref="N23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3">
        <f t="array" ref="S23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3" s="6">
        <f>IFERROR(IF(COUNTIFS(X7:X20,"&gt;0",Z7:Z20,"&lt;&gt;")&gt;0,"Quantity,Comment,Designator,Footprint,LCSC Part #(optional)",""),"")</f>
        <v>0</v>
      </c>
      <c r="AC23">
        <f t="array" ref="AC23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3">
        <f t="array" ref="AH23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3">
        <f t="array" ref="AM23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3">
        <f t="array" ref="AR23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4" spans="1:46">
      <c r="B24" s="21" t="s">
        <v>59</v>
      </c>
      <c r="C24">
        <v>1.1294</v>
      </c>
      <c r="I24">
        <f t="array" ref="I24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4">
        <f t="array" ref="N24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4">
        <f t="array" ref="S24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4">
        <f t="array" ref="X24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4">
        <f t="array" ref="AC24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4">
        <f t="array" ref="AH24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4">
        <f t="array" ref="AM24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4">
        <f t="array" ref="AR24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5" spans="1:46">
      <c r="I25">
        <f t="array" ref="I25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5">
        <f t="array" ref="N25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5">
        <f t="array" ref="S25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5">
        <f t="array" ref="X25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5">
        <f t="array" ref="AC25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5">
        <f t="array" ref="AH25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5">
        <f t="array" ref="AM25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5">
        <f t="array" ref="AR25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6" spans="1:46">
      <c r="A26" s="2" t="s">
        <v>109</v>
      </c>
      <c r="I26">
        <f t="array" ref="I26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6">
        <f t="array" ref="N26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6">
        <f t="array" ref="S26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6">
        <f t="array" ref="X26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6">
        <f t="array" ref="AC26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6">
        <f t="array" ref="AH26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6">
        <f t="array" ref="AM26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6">
        <f t="array" ref="AR26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7" spans="1:46">
      <c r="I27">
        <f t="array" ref="I27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7">
        <f t="array" ref="N27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7">
        <f t="array" ref="S27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7">
        <f t="array" ref="X27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7">
        <f t="array" ref="AC27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7">
        <f t="array" ref="AH27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7">
        <f t="array" ref="AM27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7">
        <f t="array" ref="AR27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8" spans="1:46">
      <c r="I28">
        <f t="array" ref="I28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8">
        <f t="array" ref="N28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8">
        <f t="array" ref="S28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8">
        <f t="array" ref="X28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8">
        <f t="array" ref="AC28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8">
        <f t="array" ref="AH28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8">
        <f t="array" ref="AM28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8">
        <f t="array" ref="AR28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29" spans="1:46">
      <c r="I29">
        <f t="array" ref="I29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29">
        <f t="array" ref="N29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29">
        <f t="array" ref="S29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29">
        <f t="array" ref="X29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29">
        <f t="array" ref="AC29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29">
        <f t="array" ref="AH29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29">
        <f t="array" ref="AM29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29">
        <f t="array" ref="AR29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0" spans="1:46">
      <c r="I30">
        <f t="array" ref="I30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0">
        <f t="array" ref="N30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0">
        <f t="array" ref="S30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0">
        <f t="array" ref="X30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0">
        <f t="array" ref="AC30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0">
        <f t="array" ref="AH30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0">
        <f t="array" ref="AM30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0">
        <f t="array" ref="AR30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1" spans="1:46">
      <c r="I31">
        <f t="array" ref="I31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1">
        <f t="array" ref="N31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1">
        <f t="array" ref="S31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1">
        <f t="array" ref="X31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1">
        <f t="array" ref="AC31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1">
        <f t="array" ref="AH31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1">
        <f t="array" ref="AM31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1">
        <f t="array" ref="AR31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2" spans="1:46">
      <c r="I32">
        <f t="array" ref="I32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2">
        <f t="array" ref="N32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2">
        <f t="array" ref="S32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2">
        <f t="array" ref="X32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2">
        <f t="array" ref="AC32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2">
        <f t="array" ref="AH32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2">
        <f t="array" ref="AM32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2">
        <f t="array" ref="AR32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3" spans="9:44">
      <c r="I33">
        <f t="array" ref="I33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3">
        <f t="array" ref="N33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3">
        <f t="array" ref="S33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3">
        <f t="array" ref="X33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3">
        <f t="array" ref="AC33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3">
        <f t="array" ref="AH33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3">
        <f t="array" ref="AM33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3">
        <f t="array" ref="AR33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4" spans="9:44">
      <c r="I34">
        <f t="array" ref="I34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4">
        <f t="array" ref="N34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4">
        <f t="array" ref="S34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4">
        <f t="array" ref="X34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4">
        <f t="array" ref="AC34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4">
        <f t="array" ref="AH34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4">
        <f t="array" ref="AM34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4">
        <f t="array" ref="AR34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5" spans="9:44">
      <c r="I35">
        <f t="array" ref="I35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5">
        <f t="array" ref="N35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5">
        <f t="array" ref="S35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5">
        <f t="array" ref="X35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5">
        <f t="array" ref="AC35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5">
        <f t="array" ref="AH35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5">
        <f t="array" ref="AM35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5">
        <f t="array" ref="AR35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6" spans="9:44">
      <c r="I36">
        <f t="array" ref="I36">IFERROR(CONCATENATE(INDEX(L7:L20,SMALL(IF(ISNUMBER(I7:I20),IF(I7:I20&gt;0,IF(L7:L20&lt;&gt;"",ROW(I7:I20)-MIN(ROW(I7:I20))+1))),ROW()-ROW(A$23)+1)),",",TEXT(INDEX(I7:I20,SMALL(IF(ISNUMBER(I7:I20),IF(I7:I20&gt;0,IF(L7:L20&lt;&gt;"",ROW(I7:I20)-MIN(ROW(I7:I20))+1))),ROW()-ROW(A$23)+1)),"##0"),",",SUBSTITUTE(INDEX(IF(PURCHASE_DESCRIPTION&lt;&gt;"",PURCHASE_DESCRIPTION&amp;":","")&amp;A7:A20,SMALL(IF(ISNUMBER(I7:I20),IF(I7:I20&gt;0,IF(L7:L20&lt;&gt;"",ROW(I7:I20)-MIN(ROW(I7:I20))+1))),ROW()-ROW(A$23)+1)),",",";")),"")</f>
        <v>0</v>
      </c>
      <c r="N36">
        <f t="array" ref="N36">IFERROR(CONCATENATE(TEXT(INDEX(N7:N20,SMALL(IF(ISNUMBER(N7:N20),IF(N7:N20&gt;0,IF(Q7:Q20&lt;&gt;"",ROW(N7:N20)-MIN(ROW(N7:N20))+1))),ROW()-ROW(A$23)+1)),"##0"),",",INDEX(Q7:Q20,SMALL(IF(ISNUMBER(N7:N20),IF(N7:N20&gt;0,IF(Q7:Q20&lt;&gt;"",ROW(N7:N20)-MIN(ROW(N7:N20))+1))),ROW()-ROW(A$23)+1)),",",SUBSTITUTE(INDEX(IF(PURCHASE_DESCRIPTION&lt;&gt;"",PURCHASE_DESCRIPTION&amp;":","")&amp;A7:A20,SMALL(IF(ISNUMBER(N7:N20),IF(N7:N20&gt;0,IF(Q7:Q20&lt;&gt;"",ROW(N7:N20)-MIN(ROW(N7:N20))+1))),ROW()-ROW(A$23)+1)),",",";")),"")</f>
        <v>0</v>
      </c>
      <c r="S36">
        <f t="array" ref="S36">IFERROR(CONCATENATE(INDEX(V7:V20,SMALL(IF(ISNUMBER(S7:S20),IF(S7:S20&gt;0,IF(V7:V20&lt;&gt;"",ROW(S7:S20)-MIN(ROW(S7:S20))+1))),ROW()-ROW(A$23)+1))," ",TEXT(INDEX(S7:S20,SMALL(IF(ISNUMBER(S7:S20),IF(S7:S20&gt;0,IF(V7:V20&lt;&gt;"",ROW(S7:S20)-MIN(ROW(S7:S20))+1))),ROW()-ROW(A$23)+1)),"##0")," ",SUBSTITUTE(INDEX(IF(PURCHASE_DESCRIPTION&lt;&gt;"",PURCHASE_DESCRIPTION&amp;":","")&amp;A7:A20,SMALL(IF(ISNUMBER(S7:S20),IF(S7:S20&gt;0,IF(V7:V20&lt;&gt;"",ROW(S7:S20)-MIN(ROW(S7:S20))+1))),ROW()-ROW(A$23)+1))," ",";")),"")</f>
        <v>0</v>
      </c>
      <c r="X36">
        <f t="array" ref="X36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  <c r="AC36">
        <f t="array" ref="AC36">IFERROR(CONCATENATE(INDEX(AF7:AF20,SMALL(IF(ISNUMBER(AC7:AC20),IF(AC7:AC20&gt;0,IF(AF7:AF20&lt;&gt;"",ROW(AC7:AC20)-MIN(ROW(AC7:AC20))+1))),ROW()-ROW(A$23)+1)),"|",TEXT(INDEX(AC7:AC20,SMALL(IF(ISNUMBER(AC7:AC20),IF(AC7:AC20&gt;0,IF(AF7:AF20&lt;&gt;"",ROW(AC7:AC20)-MIN(ROW(AC7:AC20))+1))),ROW()-ROW(A$23)+1)),"##0"),"|",SUBSTITUTE(SUBSTITUTE(INDEX(IF(PURCHASE_DESCRIPTION&lt;&gt;"",PURCHASE_DESCRIPTION&amp;":","")&amp;A7:A20,SMALL(IF(ISNUMBER(AC7:AC20),IF(AC7:AC20&gt;0,IF(AF7:AF20&lt;&gt;"",ROW(AC7:AC20)-MIN(ROW(AC7:AC20))+1))),ROW()-ROW(A$23)+1)),"|",";")," ","_")),"")</f>
        <v>0</v>
      </c>
      <c r="AH36">
        <f t="array" ref="AH36">IFERROR(CONCATENATE(INDEX(AK7:AK20,SMALL(IF(ISNUMBER(AH7:AH20),IF(AH7:AH20&gt;0,IF(AK7:AK20&lt;&gt;"",ROW(AH7:AH20)-MIN(ROW(AH7:AH20))+1))),ROW()-ROW(A$23)+1)),",",TEXT(INDEX(AH7:AH20,SMALL(IF(ISNUMBER(AH7:AH20),IF(AH7:AH20&gt;0,IF(AK7:AK20&lt;&gt;"",ROW(AH7:AH20)-MIN(ROW(AH7:AH20))+1))),ROW()-ROW(A$23)+1)),"##0"),",",SUBSTITUTE(INDEX(IF(PURCHASE_DESCRIPTION&lt;&gt;"",PURCHASE_DESCRIPTION&amp;":","")&amp;A7:A20,SMALL(IF(ISNUMBER(AH7:AH20),IF(AH7:AH20&gt;0,IF(AK7:AK20&lt;&gt;"",ROW(AH7:AH20)-MIN(ROW(AH7:AH20))+1))),ROW()-ROW(A$23)+1)),",",";")),"")</f>
        <v>0</v>
      </c>
      <c r="AM36">
        <f t="array" ref="AM36">IFERROR(CONCATENATE(INDEX(AP7:AP20,SMALL(IF(ISNUMBER(AM7:AM20),IF(AM7:AM20&gt;0,IF(AP7:AP20&lt;&gt;"",ROW(AM7:AM20)-MIN(ROW(AM7:AM20))+1))),ROW()-ROW(A$23)+1))," ",TEXT(INDEX(AM7:AM20,SMALL(IF(ISNUMBER(AM7:AM20),IF(AM7:AM20&gt;0,IF(AP7:AP20&lt;&gt;"",ROW(AM7:AM20)-MIN(ROW(AM7:AM20))+1))),ROW()-ROW(A$23)+1)),"##0")," ",SUBSTITUTE(INDEX(IF(PURCHASE_DESCRIPTION&lt;&gt;"",PURCHASE_DESCRIPTION&amp;":","")&amp;A7:A20,SMALL(IF(ISNUMBER(AM7:AM20),IF(AM7:AM20&gt;0,IF(AP7:AP20&lt;&gt;"",ROW(AM7:AM20)-MIN(ROW(AM7:AM20))+1))),ROW()-ROW(A$23)+1))," ",";")),"")</f>
        <v>0</v>
      </c>
      <c r="AR36">
        <f t="array" ref="AR36">IFERROR(CONCATENATE(INDEX(AU7:AU20,SMALL(IF(ISNUMBER(AR7:AR20),IF(AR7:AR20&gt;0,IF(AU7:AU20&lt;&gt;"",ROW(AR7:AR20)-MIN(ROW(AR7:AR20))+1))),ROW()-ROW(A$23)+1))," ",TEXT(INDEX(AR7:AR20,SMALL(IF(ISNUMBER(AR7:AR20),IF(AR7:AR20&gt;0,IF(AU7:AU20&lt;&gt;"",ROW(AR7:AR20)-MIN(ROW(AR7:AR20))+1))),ROW()-ROW(A$23)+1)),"##0")," ",SUBSTITUTE(INDEX(IF(PURCHASE_DESCRIPTION&lt;&gt;"",PURCHASE_DESCRIPTION&amp;":","")&amp;A7:A20,SMALL(IF(ISNUMBER(AR7:AR20),IF(AR7:AR20&gt;0,IF(AU7:AU20&lt;&gt;"",ROW(AR7:AR20)-MIN(ROW(AR7:AR20))+1))),ROW()-ROW(A$23)+1))," ",";")),"")</f>
        <v>0</v>
      </c>
    </row>
    <row r="37" spans="9:44">
      <c r="X37">
        <f t="array" ref="X37">IFERROR(CONCATENATE(TEXT(INDEX(X7:X20,SMALL(IF(ISNUMBER(X7:X20),IF(X7:X20&gt;0,IF(AA7:AA20&lt;&gt;"",ROW(X7:X20)-MIN(ROW(X7:X20))+1))),ROW()-ROW(A$24)+1)),"##0"),",",SUBSTITUTE(INDEX(IF(PURCHASE_DESCRIPTION&lt;&gt;"",PURCHASE_DESCRIPTION&amp;":","")&amp;A7:A20,SMALL(IF(ISNUMBER(X7:X20),IF(X7:X20&gt;0,IF(AA7:AA20&lt;&gt;"",ROW(X7:X20)-MIN(ROW(X7:X20))+1))),ROW()-ROW(A$24)+1)),",",";"),",",SUBSTITUTE(INDEX(IF(PURCHASE_DESCRIPTION&lt;&gt;"",PURCHASE_DESCRIPTION&amp;":","")&amp;C7:C20,SMALL(IF(ISNUMBER(X7:X20),IF(X7:X20&gt;0,IF(AA7:AA20&lt;&gt;"",ROW(X7:X20)-MIN(ROW(X7:X20))+1))),ROW()-ROW(A$24)+1)),",",";"),",",INDEX(AA7:AA20,SMALL(IF(ISNUMBER(X7:X20),IF(X7:X20&gt;0,IF(AA7:AA20&lt;&gt;"",ROW(X7:X20)-MIN(ROW(X7:X20))+1))),ROW()-ROW(A$24)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139" operator="equal">
      <formula>0</formula>
    </cfRule>
    <cfRule type="cellIs" dxfId="2" priority="140" operator="lessThan">
      <formula>E10</formula>
    </cfRule>
  </conditionalFormatting>
  <conditionalFormatting sqref="AB11">
    <cfRule type="cellIs" dxfId="1" priority="144" operator="equal">
      <formula>0</formula>
    </cfRule>
    <cfRule type="cellIs" dxfId="2" priority="145" operator="lessThan">
      <formula>E11</formula>
    </cfRule>
  </conditionalFormatting>
  <conditionalFormatting sqref="AB12">
    <cfRule type="cellIs" dxfId="1" priority="149" operator="equal">
      <formula>0</formula>
    </cfRule>
    <cfRule type="cellIs" dxfId="2" priority="150" operator="lessThan">
      <formula>E12</formula>
    </cfRule>
  </conditionalFormatting>
  <conditionalFormatting sqref="AB14">
    <cfRule type="cellIs" dxfId="1" priority="154" operator="equal">
      <formula>0</formula>
    </cfRule>
    <cfRule type="cellIs" dxfId="2" priority="155" operator="lessThan">
      <formula>E14</formula>
    </cfRule>
  </conditionalFormatting>
  <conditionalFormatting sqref="AC10">
    <cfRule type="cellIs" dxfId="1" priority="141" operator="greaterThan">
      <formula>AB10</formula>
    </cfRule>
  </conditionalFormatting>
  <conditionalFormatting sqref="AC11">
    <cfRule type="cellIs" dxfId="1" priority="146" operator="greaterThan">
      <formula>AB11</formula>
    </cfRule>
  </conditionalFormatting>
  <conditionalFormatting sqref="AC12">
    <cfRule type="cellIs" dxfId="1" priority="151" operator="greaterThan">
      <formula>AB12</formula>
    </cfRule>
  </conditionalFormatting>
  <conditionalFormatting sqref="AC14">
    <cfRule type="cellIs" dxfId="1" priority="156" operator="greaterThan">
      <formula>AB14</formula>
    </cfRule>
  </conditionalFormatting>
  <conditionalFormatting sqref="AD10">
    <cfRule type="cellIs" dxfId="4" priority="143" operator="lessThanOrEqual">
      <formula>F10</formula>
    </cfRule>
  </conditionalFormatting>
  <conditionalFormatting sqref="AD11">
    <cfRule type="cellIs" dxfId="4" priority="148" operator="lessThanOrEqual">
      <formula>F11</formula>
    </cfRule>
  </conditionalFormatting>
  <conditionalFormatting sqref="AD12">
    <cfRule type="cellIs" dxfId="4" priority="153" operator="lessThanOrEqual">
      <formula>F12</formula>
    </cfRule>
  </conditionalFormatting>
  <conditionalFormatting sqref="AD14">
    <cfRule type="cellIs" dxfId="4" priority="158" operator="lessThanOrEqual">
      <formula>F14</formula>
    </cfRule>
  </conditionalFormatting>
  <conditionalFormatting sqref="AE10">
    <cfRule type="cellIs" dxfId="4" priority="142" operator="lessThanOrEqual">
      <formula>G10</formula>
    </cfRule>
  </conditionalFormatting>
  <conditionalFormatting sqref="AE11">
    <cfRule type="cellIs" dxfId="4" priority="147" operator="lessThanOrEqual">
      <formula>G11</formula>
    </cfRule>
  </conditionalFormatting>
  <conditionalFormatting sqref="AE12">
    <cfRule type="cellIs" dxfId="4" priority="152" operator="lessThanOrEqual">
      <formula>G12</formula>
    </cfRule>
  </conditionalFormatting>
  <conditionalFormatting sqref="AE14">
    <cfRule type="cellIs" dxfId="4" priority="157" operator="lessThanOrEqual">
      <formula>G14</formula>
    </cfRule>
  </conditionalFormatting>
  <conditionalFormatting sqref="AG10">
    <cfRule type="cellIs" dxfId="1" priority="170" operator="equal">
      <formula>0</formula>
    </cfRule>
    <cfRule type="cellIs" dxfId="2" priority="171" operator="lessThan">
      <formula>E10</formula>
    </cfRule>
  </conditionalFormatting>
  <conditionalFormatting sqref="AG11">
    <cfRule type="cellIs" dxfId="1" priority="175" operator="equal">
      <formula>0</formula>
    </cfRule>
    <cfRule type="cellIs" dxfId="2" priority="176" operator="lessThan">
      <formula>E11</formula>
    </cfRule>
  </conditionalFormatting>
  <conditionalFormatting sqref="AG12">
    <cfRule type="cellIs" dxfId="1" priority="181" operator="equal">
      <formula>0</formula>
    </cfRule>
    <cfRule type="cellIs" dxfId="2" priority="182" operator="lessThan">
      <formula>E12</formula>
    </cfRule>
  </conditionalFormatting>
  <conditionalFormatting sqref="AG8">
    <cfRule type="cellIs" dxfId="1" priority="159" operator="equal">
      <formula>0</formula>
    </cfRule>
    <cfRule type="cellIs" dxfId="2" priority="160" operator="lessThan">
      <formula>E8</formula>
    </cfRule>
  </conditionalFormatting>
  <conditionalFormatting sqref="AG9">
    <cfRule type="cellIs" dxfId="1" priority="165" operator="equal">
      <formula>0</formula>
    </cfRule>
    <cfRule type="cellIs" dxfId="2" priority="166" operator="lessThan">
      <formula>E9</formula>
    </cfRule>
  </conditionalFormatting>
  <conditionalFormatting sqref="AH10">
    <cfRule type="cellIs" dxfId="1" priority="172" operator="greaterThan">
      <formula>AG10</formula>
    </cfRule>
  </conditionalFormatting>
  <conditionalFormatting sqref="AH11">
    <cfRule type="expression" dxfId="3" priority="177">
      <formula>AND(AH11&gt;0,AH11&lt;4000)</formula>
    </cfRule>
    <cfRule type="cellIs" dxfId="1" priority="178" operator="greaterThan">
      <formula>AG11</formula>
    </cfRule>
  </conditionalFormatting>
  <conditionalFormatting sqref="AH12">
    <cfRule type="cellIs" dxfId="1" priority="183" operator="greaterThan">
      <formula>AG12</formula>
    </cfRule>
  </conditionalFormatting>
  <conditionalFormatting sqref="AH8">
    <cfRule type="expression" dxfId="3" priority="161">
      <formula>AND(AH8&gt;0,AH8&lt;4000)</formula>
    </cfRule>
    <cfRule type="cellIs" dxfId="1" priority="162" operator="greaterThan">
      <formula>AG8</formula>
    </cfRule>
  </conditionalFormatting>
  <conditionalFormatting sqref="AH9">
    <cfRule type="cellIs" dxfId="1" priority="167" operator="greaterThan">
      <formula>AG9</formula>
    </cfRule>
  </conditionalFormatting>
  <conditionalFormatting sqref="AI10">
    <cfRule type="cellIs" dxfId="4" priority="174" operator="lessThanOrEqual">
      <formula>F10</formula>
    </cfRule>
  </conditionalFormatting>
  <conditionalFormatting sqref="AI11">
    <cfRule type="cellIs" dxfId="4" priority="180" operator="lessThanOrEqual">
      <formula>F11</formula>
    </cfRule>
  </conditionalFormatting>
  <conditionalFormatting sqref="AI12">
    <cfRule type="cellIs" dxfId="4" priority="185" operator="lessThanOrEqual">
      <formula>F12</formula>
    </cfRule>
  </conditionalFormatting>
  <conditionalFormatting sqref="AI8">
    <cfRule type="cellIs" dxfId="4" priority="164" operator="lessThanOrEqual">
      <formula>F8</formula>
    </cfRule>
  </conditionalFormatting>
  <conditionalFormatting sqref="AI9">
    <cfRule type="cellIs" dxfId="4" priority="169" operator="lessThanOrEqual">
      <formula>F9</formula>
    </cfRule>
  </conditionalFormatting>
  <conditionalFormatting sqref="AJ10">
    <cfRule type="cellIs" dxfId="4" priority="173" operator="lessThanOrEqual">
      <formula>G10</formula>
    </cfRule>
  </conditionalFormatting>
  <conditionalFormatting sqref="AJ11">
    <cfRule type="cellIs" dxfId="4" priority="179" operator="lessThanOrEqual">
      <formula>G11</formula>
    </cfRule>
  </conditionalFormatting>
  <conditionalFormatting sqref="AJ12">
    <cfRule type="cellIs" dxfId="4" priority="184" operator="lessThanOrEqual">
      <formula>G12</formula>
    </cfRule>
  </conditionalFormatting>
  <conditionalFormatting sqref="AJ8">
    <cfRule type="cellIs" dxfId="4" priority="163" operator="lessThanOrEqual">
      <formula>G8</formula>
    </cfRule>
  </conditionalFormatting>
  <conditionalFormatting sqref="AJ9">
    <cfRule type="cellIs" dxfId="4" priority="168" operator="lessThanOrEqual">
      <formula>G9</formula>
    </cfRule>
  </conditionalFormatting>
  <conditionalFormatting sqref="AL14">
    <cfRule type="cellIs" dxfId="1" priority="192" operator="equal">
      <formula>0</formula>
    </cfRule>
    <cfRule type="cellIs" dxfId="2" priority="193" operator="lessThan">
      <formula>E14</formula>
    </cfRule>
  </conditionalFormatting>
  <conditionalFormatting sqref="AL8">
    <cfRule type="cellIs" dxfId="1" priority="186" operator="equal">
      <formula>0</formula>
    </cfRule>
    <cfRule type="cellIs" dxfId="2" priority="187" operator="lessThan">
      <formula>E8</formula>
    </cfRule>
  </conditionalFormatting>
  <conditionalFormatting sqref="AM14">
    <cfRule type="cellIs" dxfId="1" priority="194" operator="greaterThan">
      <formula>AL14</formula>
    </cfRule>
  </conditionalFormatting>
  <conditionalFormatting sqref="AM8">
    <cfRule type="expression" dxfId="3" priority="188">
      <formula>AND(AM8&gt;0,AM8&lt;50)</formula>
    </cfRule>
    <cfRule type="cellIs" dxfId="1" priority="189" operator="greaterThan">
      <formula>AL8</formula>
    </cfRule>
  </conditionalFormatting>
  <conditionalFormatting sqref="AN14">
    <cfRule type="cellIs" dxfId="4" priority="196" operator="lessThanOrEqual">
      <formula>F14</formula>
    </cfRule>
  </conditionalFormatting>
  <conditionalFormatting sqref="AN8">
    <cfRule type="cellIs" dxfId="4" priority="191" operator="lessThanOrEqual">
      <formula>F8</formula>
    </cfRule>
  </conditionalFormatting>
  <conditionalFormatting sqref="AO14">
    <cfRule type="cellIs" dxfId="4" priority="195" operator="lessThanOrEqual">
      <formula>G14</formula>
    </cfRule>
  </conditionalFormatting>
  <conditionalFormatting sqref="AO8">
    <cfRule type="cellIs" dxfId="4" priority="190" operator="lessThanOrEqual">
      <formula>G8</formula>
    </cfRule>
  </conditionalFormatting>
  <conditionalFormatting sqref="AQ10">
    <cfRule type="cellIs" dxfId="1" priority="203" operator="equal">
      <formula>0</formula>
    </cfRule>
    <cfRule type="cellIs" dxfId="2" priority="204" operator="lessThan">
      <formula>E10</formula>
    </cfRule>
  </conditionalFormatting>
  <conditionalFormatting sqref="AQ11">
    <cfRule type="cellIs" dxfId="1" priority="209" operator="equal">
      <formula>0</formula>
    </cfRule>
    <cfRule type="cellIs" dxfId="2" priority="210" operator="lessThan">
      <formula>E11</formula>
    </cfRule>
  </conditionalFormatting>
  <conditionalFormatting sqref="AQ8">
    <cfRule type="cellIs" dxfId="1" priority="197" operator="equal">
      <formula>0</formula>
    </cfRule>
    <cfRule type="cellIs" dxfId="2" priority="198" operator="lessThan">
      <formula>E8</formula>
    </cfRule>
  </conditionalFormatting>
  <conditionalFormatting sqref="AR10">
    <cfRule type="expression" dxfId="3" priority="205">
      <formula>AND(AR10&gt;0,AR10&lt;10)</formula>
    </cfRule>
    <cfRule type="cellIs" dxfId="1" priority="206" operator="greaterThan">
      <formula>AQ10</formula>
    </cfRule>
  </conditionalFormatting>
  <conditionalFormatting sqref="AR11">
    <cfRule type="expression" dxfId="3" priority="211">
      <formula>AND(AR11&gt;0,AR11&lt;100)</formula>
    </cfRule>
    <cfRule type="cellIs" dxfId="1" priority="212" operator="greaterThan">
      <formula>AQ11</formula>
    </cfRule>
  </conditionalFormatting>
  <conditionalFormatting sqref="AR8">
    <cfRule type="expression" dxfId="3" priority="199">
      <formula>AND(AR8&gt;0,AR8&lt;100)</formula>
    </cfRule>
    <cfRule type="cellIs" dxfId="1" priority="200" operator="greaterThan">
      <formula>AQ8</formula>
    </cfRule>
  </conditionalFormatting>
  <conditionalFormatting sqref="AS10">
    <cfRule type="cellIs" dxfId="4" priority="208" operator="lessThanOrEqual">
      <formula>F10</formula>
    </cfRule>
  </conditionalFormatting>
  <conditionalFormatting sqref="AS11">
    <cfRule type="cellIs" dxfId="4" priority="214" operator="lessThanOrEqual">
      <formula>F11</formula>
    </cfRule>
  </conditionalFormatting>
  <conditionalFormatting sqref="AS8">
    <cfRule type="cellIs" dxfId="4" priority="202" operator="lessThanOrEqual">
      <formula>F8</formula>
    </cfRule>
  </conditionalFormatting>
  <conditionalFormatting sqref="AT10">
    <cfRule type="cellIs" dxfId="4" priority="207" operator="lessThanOrEqual">
      <formula>G10</formula>
    </cfRule>
  </conditionalFormatting>
  <conditionalFormatting sqref="AT11">
    <cfRule type="cellIs" dxfId="4" priority="213" operator="lessThanOrEqual">
      <formula>G11</formula>
    </cfRule>
  </conditionalFormatting>
  <conditionalFormatting sqref="AT8">
    <cfRule type="cellIs" dxfId="4" priority="201" operator="lessThanOrEqual">
      <formula>G8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67" operator="equal">
      <formula>0</formula>
    </cfRule>
    <cfRule type="cellIs" dxfId="2" priority="68" operator="lessThan">
      <formula>E10</formula>
    </cfRule>
  </conditionalFormatting>
  <conditionalFormatting sqref="M11">
    <cfRule type="cellIs" dxfId="1" priority="72" operator="equal">
      <formula>0</formula>
    </cfRule>
    <cfRule type="cellIs" dxfId="2" priority="73" operator="lessThan">
      <formula>E11</formula>
    </cfRule>
  </conditionalFormatting>
  <conditionalFormatting sqref="M12">
    <cfRule type="cellIs" dxfId="1" priority="77" operator="equal">
      <formula>0</formula>
    </cfRule>
    <cfRule type="cellIs" dxfId="2" priority="78" operator="lessThan">
      <formula>E12</formula>
    </cfRule>
  </conditionalFormatting>
  <conditionalFormatting sqref="M14">
    <cfRule type="cellIs" dxfId="1" priority="82" operator="equal">
      <formula>0</formula>
    </cfRule>
    <cfRule type="cellIs" dxfId="2" priority="83" operator="lessThan">
      <formula>E14</formula>
    </cfRule>
  </conditionalFormatting>
  <conditionalFormatting sqref="M8">
    <cfRule type="cellIs" dxfId="1" priority="57" operator="equal">
      <formula>0</formula>
    </cfRule>
    <cfRule type="cellIs" dxfId="2" priority="58" operator="lessThan">
      <formula>E8</formula>
    </cfRule>
  </conditionalFormatting>
  <conditionalFormatting sqref="M9">
    <cfRule type="cellIs" dxfId="1" priority="62" operator="equal">
      <formula>0</formula>
    </cfRule>
    <cfRule type="cellIs" dxfId="2" priority="63" operator="lessThan">
      <formula>E9</formula>
    </cfRule>
  </conditionalFormatting>
  <conditionalFormatting sqref="N10">
    <cfRule type="cellIs" dxfId="1" priority="69" operator="greaterThan">
      <formula>M10</formula>
    </cfRule>
  </conditionalFormatting>
  <conditionalFormatting sqref="N11">
    <cfRule type="cellIs" dxfId="1" priority="74" operator="greaterThan">
      <formula>M11</formula>
    </cfRule>
  </conditionalFormatting>
  <conditionalFormatting sqref="N12">
    <cfRule type="cellIs" dxfId="1" priority="79" operator="greaterThan">
      <formula>M12</formula>
    </cfRule>
  </conditionalFormatting>
  <conditionalFormatting sqref="N14">
    <cfRule type="cellIs" dxfId="1" priority="84" operator="greaterThan">
      <formula>M14</formula>
    </cfRule>
  </conditionalFormatting>
  <conditionalFormatting sqref="N8">
    <cfRule type="cellIs" dxfId="1" priority="59" operator="greaterThan">
      <formula>M8</formula>
    </cfRule>
  </conditionalFormatting>
  <conditionalFormatting sqref="N9">
    <cfRule type="cellIs" dxfId="1" priority="64" operator="greaterThan">
      <formula>M9</formula>
    </cfRule>
  </conditionalFormatting>
  <conditionalFormatting sqref="O10">
    <cfRule type="cellIs" dxfId="4" priority="71" operator="lessThanOrEqual">
      <formula>F10</formula>
    </cfRule>
  </conditionalFormatting>
  <conditionalFormatting sqref="O11">
    <cfRule type="cellIs" dxfId="4" priority="76" operator="lessThanOrEqual">
      <formula>F11</formula>
    </cfRule>
  </conditionalFormatting>
  <conditionalFormatting sqref="O12">
    <cfRule type="cellIs" dxfId="4" priority="81" operator="lessThanOrEqual">
      <formula>F12</formula>
    </cfRule>
  </conditionalFormatting>
  <conditionalFormatting sqref="O14">
    <cfRule type="cellIs" dxfId="4" priority="86" operator="lessThanOrEqual">
      <formula>F14</formula>
    </cfRule>
  </conditionalFormatting>
  <conditionalFormatting sqref="O8">
    <cfRule type="cellIs" dxfId="4" priority="61" operator="lessThanOrEqual">
      <formula>F8</formula>
    </cfRule>
  </conditionalFormatting>
  <conditionalFormatting sqref="O9">
    <cfRule type="cellIs" dxfId="4" priority="66" operator="lessThanOrEqual">
      <formula>F9</formula>
    </cfRule>
  </conditionalFormatting>
  <conditionalFormatting sqref="P10">
    <cfRule type="cellIs" dxfId="4" priority="70" operator="lessThanOrEqual">
      <formula>G10</formula>
    </cfRule>
  </conditionalFormatting>
  <conditionalFormatting sqref="P11">
    <cfRule type="cellIs" dxfId="4" priority="75" operator="lessThanOrEqual">
      <formula>G11</formula>
    </cfRule>
  </conditionalFormatting>
  <conditionalFormatting sqref="P12">
    <cfRule type="cellIs" dxfId="4" priority="80" operator="lessThanOrEqual">
      <formula>G12</formula>
    </cfRule>
  </conditionalFormatting>
  <conditionalFormatting sqref="P14">
    <cfRule type="cellIs" dxfId="4" priority="85" operator="lessThanOrEqual">
      <formula>G14</formula>
    </cfRule>
  </conditionalFormatting>
  <conditionalFormatting sqref="P8">
    <cfRule type="cellIs" dxfId="4" priority="60" operator="lessThanOrEqual">
      <formula>G8</formula>
    </cfRule>
  </conditionalFormatting>
  <conditionalFormatting sqref="P9">
    <cfRule type="cellIs" dxfId="4" priority="65" operator="lessThanOrEqual">
      <formula>G9</formula>
    </cfRule>
  </conditionalFormatting>
  <conditionalFormatting sqref="R10">
    <cfRule type="cellIs" dxfId="1" priority="99" operator="equal">
      <formula>0</formula>
    </cfRule>
    <cfRule type="cellIs" dxfId="2" priority="100" operator="lessThan">
      <formula>E10</formula>
    </cfRule>
  </conditionalFormatting>
  <conditionalFormatting sqref="R11">
    <cfRule type="cellIs" dxfId="1" priority="105" operator="equal">
      <formula>0</formula>
    </cfRule>
    <cfRule type="cellIs" dxfId="2" priority="106" operator="lessThan">
      <formula>E11</formula>
    </cfRule>
  </conditionalFormatting>
  <conditionalFormatting sqref="R12">
    <cfRule type="cellIs" dxfId="1" priority="111" operator="equal">
      <formula>0</formula>
    </cfRule>
    <cfRule type="cellIs" dxfId="2" priority="112" operator="lessThan">
      <formula>E12</formula>
    </cfRule>
  </conditionalFormatting>
  <conditionalFormatting sqref="R14">
    <cfRule type="cellIs" dxfId="1" priority="116" operator="equal">
      <formula>0</formula>
    </cfRule>
    <cfRule type="cellIs" dxfId="2" priority="117" operator="lessThan">
      <formula>E14</formula>
    </cfRule>
  </conditionalFormatting>
  <conditionalFormatting sqref="R8">
    <cfRule type="cellIs" dxfId="1" priority="87" operator="equal">
      <formula>0</formula>
    </cfRule>
    <cfRule type="cellIs" dxfId="2" priority="88" operator="lessThan">
      <formula>E8</formula>
    </cfRule>
  </conditionalFormatting>
  <conditionalFormatting sqref="R9">
    <cfRule type="cellIs" dxfId="1" priority="93" operator="equal">
      <formula>0</formula>
    </cfRule>
    <cfRule type="cellIs" dxfId="2" priority="94" operator="lessThan">
      <formula>E9</formula>
    </cfRule>
  </conditionalFormatting>
  <conditionalFormatting sqref="S10">
    <cfRule type="expression" dxfId="3" priority="101">
      <formula>AND(S10&gt;0,S10&lt;10)</formula>
    </cfRule>
    <cfRule type="cellIs" dxfId="1" priority="102" operator="greaterThan">
      <formula>R10</formula>
    </cfRule>
  </conditionalFormatting>
  <conditionalFormatting sqref="S11">
    <cfRule type="expression" dxfId="3" priority="107">
      <formula>AND(S11&gt;0,S11&lt;10)</formula>
    </cfRule>
    <cfRule type="cellIs" dxfId="1" priority="108" operator="greaterThan">
      <formula>R11</formula>
    </cfRule>
  </conditionalFormatting>
  <conditionalFormatting sqref="S12">
    <cfRule type="cellIs" dxfId="1" priority="113" operator="greaterThan">
      <formula>R12</formula>
    </cfRule>
  </conditionalFormatting>
  <conditionalFormatting sqref="S14">
    <cfRule type="cellIs" dxfId="1" priority="118" operator="greaterThan">
      <formula>R14</formula>
    </cfRule>
  </conditionalFormatting>
  <conditionalFormatting sqref="S8">
    <cfRule type="expression" dxfId="3" priority="89">
      <formula>AND(S8&gt;0,S8&lt;10)</formula>
    </cfRule>
    <cfRule type="cellIs" dxfId="1" priority="90" operator="greaterThan">
      <formula>R8</formula>
    </cfRule>
  </conditionalFormatting>
  <conditionalFormatting sqref="S9">
    <cfRule type="expression" dxfId="3" priority="95">
      <formula>AND(S9&gt;0,S9&lt;10)</formula>
    </cfRule>
    <cfRule type="cellIs" dxfId="1" priority="96" operator="greaterThan">
      <formula>R9</formula>
    </cfRule>
  </conditionalFormatting>
  <conditionalFormatting sqref="T10">
    <cfRule type="cellIs" dxfId="4" priority="104" operator="lessThanOrEqual">
      <formula>F10</formula>
    </cfRule>
  </conditionalFormatting>
  <conditionalFormatting sqref="T11">
    <cfRule type="cellIs" dxfId="4" priority="110" operator="lessThanOrEqual">
      <formula>F11</formula>
    </cfRule>
  </conditionalFormatting>
  <conditionalFormatting sqref="T12">
    <cfRule type="cellIs" dxfId="4" priority="115" operator="lessThanOrEqual">
      <formula>F12</formula>
    </cfRule>
  </conditionalFormatting>
  <conditionalFormatting sqref="T14">
    <cfRule type="cellIs" dxfId="4" priority="120" operator="lessThanOrEqual">
      <formula>F14</formula>
    </cfRule>
  </conditionalFormatting>
  <conditionalFormatting sqref="T8">
    <cfRule type="cellIs" dxfId="4" priority="92" operator="lessThanOrEqual">
      <formula>F8</formula>
    </cfRule>
  </conditionalFormatting>
  <conditionalFormatting sqref="T9">
    <cfRule type="cellIs" dxfId="4" priority="98" operator="lessThanOrEqual">
      <formula>F9</formula>
    </cfRule>
  </conditionalFormatting>
  <conditionalFormatting sqref="U10">
    <cfRule type="cellIs" dxfId="4" priority="103" operator="lessThanOrEqual">
      <formula>G10</formula>
    </cfRule>
  </conditionalFormatting>
  <conditionalFormatting sqref="U11">
    <cfRule type="cellIs" dxfId="4" priority="109" operator="lessThanOrEqual">
      <formula>G11</formula>
    </cfRule>
  </conditionalFormatting>
  <conditionalFormatting sqref="U12">
    <cfRule type="cellIs" dxfId="4" priority="114" operator="lessThanOrEqual">
      <formula>G12</formula>
    </cfRule>
  </conditionalFormatting>
  <conditionalFormatting sqref="U14">
    <cfRule type="cellIs" dxfId="4" priority="119" operator="lessThanOrEqual">
      <formula>G14</formula>
    </cfRule>
  </conditionalFormatting>
  <conditionalFormatting sqref="U8">
    <cfRule type="cellIs" dxfId="4" priority="91" operator="lessThanOrEqual">
      <formula>G8</formula>
    </cfRule>
  </conditionalFormatting>
  <conditionalFormatting sqref="U9">
    <cfRule type="cellIs" dxfId="4" priority="97" operator="lessThanOrEqual">
      <formula>G9</formula>
    </cfRule>
  </conditionalFormatting>
  <conditionalFormatting sqref="W11">
    <cfRule type="cellIs" dxfId="1" priority="133" operator="equal">
      <formula>0</formula>
    </cfRule>
    <cfRule type="cellIs" dxfId="2" priority="134" operator="lessThan">
      <formula>E11</formula>
    </cfRule>
  </conditionalFormatting>
  <conditionalFormatting sqref="W8">
    <cfRule type="cellIs" dxfId="1" priority="121" operator="equal">
      <formula>0</formula>
    </cfRule>
    <cfRule type="cellIs" dxfId="2" priority="122" operator="lessThan">
      <formula>E8</formula>
    </cfRule>
  </conditionalFormatting>
  <conditionalFormatting sqref="W9">
    <cfRule type="cellIs" dxfId="1" priority="127" operator="equal">
      <formula>0</formula>
    </cfRule>
    <cfRule type="cellIs" dxfId="2" priority="128" operator="lessThan">
      <formula>E9</formula>
    </cfRule>
  </conditionalFormatting>
  <conditionalFormatting sqref="X11">
    <cfRule type="expression" dxfId="3" priority="135">
      <formula>AND(X11&gt;0,X11&lt;50)</formula>
    </cfRule>
    <cfRule type="cellIs" dxfId="1" priority="136" operator="greaterThan">
      <formula>W11</formula>
    </cfRule>
  </conditionalFormatting>
  <conditionalFormatting sqref="X8">
    <cfRule type="expression" dxfId="3" priority="123">
      <formula>AND(X8&gt;0,X8&lt;20)</formula>
    </cfRule>
    <cfRule type="cellIs" dxfId="1" priority="124" operator="greaterThan">
      <formula>W8</formula>
    </cfRule>
  </conditionalFormatting>
  <conditionalFormatting sqref="X9">
    <cfRule type="expression" dxfId="3" priority="129">
      <formula>AND(X9&gt;0,X9&lt;50)</formula>
    </cfRule>
    <cfRule type="cellIs" dxfId="1" priority="130" operator="greaterThan">
      <formula>W9</formula>
    </cfRule>
  </conditionalFormatting>
  <conditionalFormatting sqref="Y11">
    <cfRule type="cellIs" dxfId="4" priority="138" operator="lessThanOrEqual">
      <formula>F11</formula>
    </cfRule>
  </conditionalFormatting>
  <conditionalFormatting sqref="Y8">
    <cfRule type="cellIs" dxfId="4" priority="126" operator="lessThanOrEqual">
      <formula>F8</formula>
    </cfRule>
  </conditionalFormatting>
  <conditionalFormatting sqref="Y9">
    <cfRule type="cellIs" dxfId="4" priority="132" operator="lessThanOrEqual">
      <formula>F9</formula>
    </cfRule>
  </conditionalFormatting>
  <conditionalFormatting sqref="Z11">
    <cfRule type="cellIs" dxfId="4" priority="137" operator="lessThanOrEqual">
      <formula>G11</formula>
    </cfRule>
  </conditionalFormatting>
  <conditionalFormatting sqref="Z8">
    <cfRule type="cellIs" dxfId="4" priority="125" operator="lessThanOrEqual">
      <formula>G8</formula>
    </cfRule>
  </conditionalFormatting>
  <conditionalFormatting sqref="Z9">
    <cfRule type="cellIs" dxfId="4" priority="131" operator="lessThanOrEqual">
      <formula>G9</formula>
    </cfRule>
  </conditionalFormatting>
  <hyperlinks>
    <hyperlink ref="B2" r:id="rId1"/>
    <hyperlink ref="D7" r:id="rId2"/>
    <hyperlink ref="Q8" r:id="rId3"/>
    <hyperlink ref="V8" r:id="rId4"/>
    <hyperlink ref="AA8" r:id="rId5"/>
    <hyperlink ref="AK8" r:id="rId6"/>
    <hyperlink ref="AP8" r:id="rId7"/>
    <hyperlink ref="AU8" r:id="rId8"/>
    <hyperlink ref="Q9" r:id="rId9"/>
    <hyperlink ref="V9" r:id="rId10"/>
    <hyperlink ref="AA9" r:id="rId11"/>
    <hyperlink ref="AK9" r:id="rId12"/>
    <hyperlink ref="Q10" r:id="rId13"/>
    <hyperlink ref="V10" r:id="rId14"/>
    <hyperlink ref="AF10" r:id="rId15"/>
    <hyperlink ref="AK10" r:id="rId16"/>
    <hyperlink ref="AU10" r:id="rId17"/>
    <hyperlink ref="Q11" r:id="rId18"/>
    <hyperlink ref="V11" r:id="rId19"/>
    <hyperlink ref="AA11" r:id="rId20"/>
    <hyperlink ref="AF11" r:id="rId21"/>
    <hyperlink ref="AK11" r:id="rId22"/>
    <hyperlink ref="AU11" r:id="rId23"/>
    <hyperlink ref="Q12" r:id="rId24"/>
    <hyperlink ref="V12" r:id="rId25"/>
    <hyperlink ref="AF12" r:id="rId26"/>
    <hyperlink ref="AK12" r:id="rId27"/>
    <hyperlink ref="Q14" r:id="rId28"/>
    <hyperlink ref="V14" r:id="rId29"/>
    <hyperlink ref="AF14" r:id="rId30"/>
    <hyperlink ref="AP14" r:id="rId31"/>
  </hyperlinks>
  <pageMargins left="0.7" right="0.7" top="0.75" bottom="0.75" header="0.3" footer="0.3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ProMicro_LIPO.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2020-07-06T17:28:24Z</dcterms:created>
  <dcterms:modified xsi:type="dcterms:W3CDTF">2020-07-06T17:28:24Z</dcterms:modified>
</cp:coreProperties>
</file>