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o\Projects\generate_mariadb\"/>
    </mc:Choice>
  </mc:AlternateContent>
  <xr:revisionPtr revIDLastSave="0" documentId="13_ncr:1_{15D78B71-1211-43F0-808D-E1D069127F44}" xr6:coauthVersionLast="47" xr6:coauthVersionMax="47" xr10:uidLastSave="{00000000-0000-0000-0000-000000000000}"/>
  <bookViews>
    <workbookView xWindow="-120" yWindow="-120" windowWidth="24240" windowHeight="13140" activeTab="4" xr2:uid="{58F36A5F-8BA1-41DF-994A-1C1B91A4AA8B}"/>
  </bookViews>
  <sheets>
    <sheet name="tablasubicacion" sheetId="2" r:id="rId1"/>
    <sheet name="Hoja2 (2)" sheetId="3" r:id="rId2"/>
    <sheet name="RELACIONESSTORE" sheetId="6" r:id="rId3"/>
    <sheet name="Hoja3" sheetId="5" r:id="rId4"/>
    <sheet name="RELACIONESSTORE (2)" sheetId="7" r:id="rId5"/>
  </sheets>
  <externalReferences>
    <externalReference r:id="rId6"/>
  </externalReferences>
  <definedNames>
    <definedName name="_xlnm._FilterDatabase" localSheetId="2" hidden="1">RELACIONESSTORE!$A$22:$L$38</definedName>
    <definedName name="_xlnm._FilterDatabase" localSheetId="4" hidden="1">'RELACIONESSTORE (2)'!$A$22:$L$38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8" i="7" l="1"/>
  <c r="D77" i="7"/>
  <c r="D76" i="7"/>
  <c r="D75" i="7"/>
  <c r="D74" i="7"/>
  <c r="D73" i="7"/>
  <c r="D72" i="7"/>
  <c r="D71" i="7"/>
  <c r="D70" i="7"/>
  <c r="L59" i="7"/>
  <c r="I59" i="7"/>
  <c r="K58" i="7"/>
  <c r="J58" i="7"/>
  <c r="J57" i="7"/>
  <c r="K57" i="7" s="1"/>
  <c r="J56" i="7"/>
  <c r="J55" i="7"/>
  <c r="K55" i="7" s="1"/>
  <c r="K54" i="7"/>
  <c r="J54" i="7"/>
  <c r="K53" i="7"/>
  <c r="J53" i="7"/>
  <c r="J52" i="7"/>
  <c r="J51" i="7"/>
  <c r="K51" i="7" s="1"/>
  <c r="K50" i="7"/>
  <c r="J50" i="7"/>
  <c r="K49" i="7"/>
  <c r="J49" i="7"/>
  <c r="J48" i="7"/>
  <c r="J47" i="7"/>
  <c r="J46" i="7"/>
  <c r="J45" i="7"/>
  <c r="F39" i="7"/>
  <c r="D39" i="7"/>
  <c r="C39" i="7"/>
  <c r="H38" i="7"/>
  <c r="G38" i="7"/>
  <c r="H37" i="7"/>
  <c r="G37" i="7"/>
  <c r="H36" i="7"/>
  <c r="G36" i="7"/>
  <c r="H35" i="7"/>
  <c r="G35" i="7"/>
  <c r="H34" i="7"/>
  <c r="G34" i="7"/>
  <c r="H33" i="7"/>
  <c r="G33" i="7"/>
  <c r="H32" i="7"/>
  <c r="G32" i="7"/>
  <c r="H31" i="7"/>
  <c r="G31" i="7"/>
  <c r="H30" i="7"/>
  <c r="G30" i="7"/>
  <c r="H29" i="7"/>
  <c r="E29" i="7"/>
  <c r="G29" i="7" s="1"/>
  <c r="H28" i="7"/>
  <c r="G28" i="7"/>
  <c r="H27" i="7"/>
  <c r="G27" i="7"/>
  <c r="H26" i="7"/>
  <c r="G26" i="7"/>
  <c r="H25" i="7"/>
  <c r="G25" i="7"/>
  <c r="H24" i="7"/>
  <c r="G24" i="7"/>
  <c r="H23" i="7"/>
  <c r="H39" i="7" s="1"/>
  <c r="G23" i="7"/>
  <c r="D71" i="6"/>
  <c r="D72" i="6"/>
  <c r="D73" i="6"/>
  <c r="D74" i="6"/>
  <c r="D75" i="6"/>
  <c r="D76" i="6"/>
  <c r="D77" i="6"/>
  <c r="D78" i="6"/>
  <c r="D70" i="6"/>
  <c r="K48" i="6"/>
  <c r="J48" i="6"/>
  <c r="O45" i="6"/>
  <c r="L59" i="6"/>
  <c r="I59" i="6"/>
  <c r="O46" i="6"/>
  <c r="O47" i="6"/>
  <c r="O49" i="6"/>
  <c r="O50" i="6"/>
  <c r="O51" i="6"/>
  <c r="O52" i="6"/>
  <c r="O53" i="6"/>
  <c r="O54" i="6"/>
  <c r="O55" i="6"/>
  <c r="O56" i="6"/>
  <c r="O57" i="6"/>
  <c r="O58" i="6"/>
  <c r="J47" i="6"/>
  <c r="J46" i="6"/>
  <c r="J58" i="6"/>
  <c r="K58" i="6" s="1"/>
  <c r="J49" i="6"/>
  <c r="K49" i="6" s="1"/>
  <c r="J50" i="6"/>
  <c r="J51" i="6"/>
  <c r="J52" i="6"/>
  <c r="K52" i="6" s="1"/>
  <c r="J53" i="6"/>
  <c r="K53" i="6" s="1"/>
  <c r="J54" i="6"/>
  <c r="J55" i="6"/>
  <c r="J56" i="6"/>
  <c r="K56" i="6" s="1"/>
  <c r="J57" i="6"/>
  <c r="K57" i="6" s="1"/>
  <c r="J45" i="6"/>
  <c r="K50" i="6"/>
  <c r="K51" i="6"/>
  <c r="K54" i="6"/>
  <c r="K55" i="6"/>
  <c r="K45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23" i="6"/>
  <c r="I39" i="6"/>
  <c r="H23" i="6"/>
  <c r="G23" i="6"/>
  <c r="G38" i="6"/>
  <c r="H38" i="6"/>
  <c r="G37" i="6"/>
  <c r="H37" i="6"/>
  <c r="C39" i="6"/>
  <c r="D39" i="6"/>
  <c r="E39" i="6"/>
  <c r="H31" i="6"/>
  <c r="H30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E29" i="6"/>
  <c r="H29" i="6"/>
  <c r="H26" i="6"/>
  <c r="H28" i="6"/>
  <c r="H25" i="6"/>
  <c r="H24" i="6"/>
  <c r="H27" i="6"/>
  <c r="G16" i="5"/>
  <c r="Z4" i="5"/>
  <c r="V4" i="5"/>
  <c r="R4" i="5"/>
  <c r="N6" i="5"/>
  <c r="P6" i="5" s="1"/>
  <c r="J4" i="5"/>
  <c r="J6" i="5"/>
  <c r="AH72" i="5"/>
  <c r="AF72" i="5"/>
  <c r="AE72" i="5"/>
  <c r="AC72" i="5"/>
  <c r="AA72" i="5"/>
  <c r="Z72" i="5"/>
  <c r="V72" i="5"/>
  <c r="Y72" i="5" s="1"/>
  <c r="U72" i="5"/>
  <c r="R72" i="5"/>
  <c r="N72" i="5"/>
  <c r="M72" i="5"/>
  <c r="J72" i="5"/>
  <c r="I72" i="5"/>
  <c r="G72" i="5"/>
  <c r="F72" i="5"/>
  <c r="E72" i="5"/>
  <c r="D72" i="5"/>
  <c r="N71" i="5"/>
  <c r="M71" i="5"/>
  <c r="J71" i="5"/>
  <c r="I71" i="5"/>
  <c r="G71" i="5"/>
  <c r="F71" i="5"/>
  <c r="E71" i="5"/>
  <c r="D71" i="5"/>
  <c r="C71" i="5"/>
  <c r="AC70" i="5"/>
  <c r="AA70" i="5"/>
  <c r="Z70" i="5"/>
  <c r="N70" i="5"/>
  <c r="P70" i="5" s="1"/>
  <c r="M70" i="5"/>
  <c r="J70" i="5"/>
  <c r="I70" i="5"/>
  <c r="G70" i="5"/>
  <c r="F70" i="5"/>
  <c r="E70" i="5"/>
  <c r="D70" i="5"/>
  <c r="AC69" i="5"/>
  <c r="AA69" i="5"/>
  <c r="Z69" i="5"/>
  <c r="N69" i="5"/>
  <c r="O69" i="5" s="1"/>
  <c r="M69" i="5"/>
  <c r="J69" i="5"/>
  <c r="I69" i="5"/>
  <c r="G69" i="5"/>
  <c r="F69" i="5"/>
  <c r="E69" i="5"/>
  <c r="D69" i="5"/>
  <c r="AC68" i="5"/>
  <c r="AA68" i="5"/>
  <c r="Z68" i="5"/>
  <c r="N68" i="5"/>
  <c r="M68" i="5"/>
  <c r="J68" i="5"/>
  <c r="I68" i="5"/>
  <c r="G68" i="5"/>
  <c r="F68" i="5"/>
  <c r="E68" i="5"/>
  <c r="D68" i="5"/>
  <c r="AH67" i="5"/>
  <c r="AF67" i="5"/>
  <c r="AE67" i="5"/>
  <c r="AC67" i="5"/>
  <c r="AA67" i="5"/>
  <c r="Z67" i="5"/>
  <c r="V67" i="5"/>
  <c r="U67" i="5"/>
  <c r="R67" i="5"/>
  <c r="N67" i="5"/>
  <c r="M67" i="5"/>
  <c r="J67" i="5"/>
  <c r="I67" i="5"/>
  <c r="G67" i="5"/>
  <c r="F67" i="5"/>
  <c r="E67" i="5"/>
  <c r="D67" i="5"/>
  <c r="AH66" i="5"/>
  <c r="AF66" i="5"/>
  <c r="AE66" i="5"/>
  <c r="AC66" i="5"/>
  <c r="AA66" i="5"/>
  <c r="Z66" i="5"/>
  <c r="V66" i="5"/>
  <c r="U66" i="5"/>
  <c r="R66" i="5"/>
  <c r="N66" i="5"/>
  <c r="Q66" i="5" s="1"/>
  <c r="M66" i="5"/>
  <c r="J66" i="5"/>
  <c r="I66" i="5"/>
  <c r="G66" i="5"/>
  <c r="F66" i="5"/>
  <c r="E66" i="5"/>
  <c r="D66" i="5"/>
  <c r="C66" i="5"/>
  <c r="AH65" i="5"/>
  <c r="AF65" i="5"/>
  <c r="AE65" i="5"/>
  <c r="AC65" i="5"/>
  <c r="AA65" i="5"/>
  <c r="V65" i="5"/>
  <c r="U65" i="5"/>
  <c r="Y65" i="5" s="1"/>
  <c r="R65" i="5"/>
  <c r="N65" i="5"/>
  <c r="M65" i="5"/>
  <c r="J65" i="5"/>
  <c r="I65" i="5"/>
  <c r="G65" i="5"/>
  <c r="F65" i="5"/>
  <c r="E65" i="5"/>
  <c r="D65" i="5"/>
  <c r="AH64" i="5"/>
  <c r="AF64" i="5"/>
  <c r="AE64" i="5"/>
  <c r="AC64" i="5"/>
  <c r="AA64" i="5"/>
  <c r="Z64" i="5"/>
  <c r="V64" i="5"/>
  <c r="W64" i="5" s="1"/>
  <c r="U64" i="5"/>
  <c r="R64" i="5"/>
  <c r="N64" i="5"/>
  <c r="M64" i="5"/>
  <c r="J64" i="5"/>
  <c r="I64" i="5"/>
  <c r="G64" i="5"/>
  <c r="F64" i="5"/>
  <c r="E64" i="5"/>
  <c r="D64" i="5"/>
  <c r="AH63" i="5"/>
  <c r="AF63" i="5"/>
  <c r="AE63" i="5"/>
  <c r="AC63" i="5"/>
  <c r="AA63" i="5"/>
  <c r="Z63" i="5"/>
  <c r="V63" i="5"/>
  <c r="U63" i="5"/>
  <c r="R63" i="5"/>
  <c r="N63" i="5"/>
  <c r="M63" i="5"/>
  <c r="J63" i="5"/>
  <c r="I63" i="5"/>
  <c r="G63" i="5"/>
  <c r="F63" i="5"/>
  <c r="E63" i="5"/>
  <c r="D63" i="5"/>
  <c r="AH62" i="5"/>
  <c r="AF62" i="5"/>
  <c r="AE62" i="5"/>
  <c r="AC62" i="5"/>
  <c r="AA62" i="5"/>
  <c r="Z62" i="5"/>
  <c r="V62" i="5"/>
  <c r="U62" i="5"/>
  <c r="R62" i="5"/>
  <c r="N62" i="5"/>
  <c r="Q62" i="5" s="1"/>
  <c r="M62" i="5"/>
  <c r="J62" i="5"/>
  <c r="I62" i="5"/>
  <c r="G62" i="5"/>
  <c r="F62" i="5"/>
  <c r="E62" i="5"/>
  <c r="D62" i="5"/>
  <c r="AH61" i="5"/>
  <c r="AF61" i="5"/>
  <c r="AE61" i="5"/>
  <c r="AC61" i="5"/>
  <c r="AA61" i="5"/>
  <c r="Z61" i="5"/>
  <c r="V61" i="5"/>
  <c r="U61" i="5"/>
  <c r="R61" i="5"/>
  <c r="N61" i="5"/>
  <c r="M61" i="5"/>
  <c r="J61" i="5"/>
  <c r="I61" i="5"/>
  <c r="G61" i="5"/>
  <c r="F61" i="5"/>
  <c r="E61" i="5"/>
  <c r="D61" i="5"/>
  <c r="C61" i="5"/>
  <c r="AH60" i="5"/>
  <c r="AF60" i="5"/>
  <c r="AE60" i="5"/>
  <c r="AC60" i="5"/>
  <c r="AA60" i="5"/>
  <c r="Z60" i="5"/>
  <c r="V60" i="5"/>
  <c r="U60" i="5"/>
  <c r="R60" i="5"/>
  <c r="X60" i="5" s="1"/>
  <c r="N60" i="5"/>
  <c r="M60" i="5"/>
  <c r="J60" i="5"/>
  <c r="I60" i="5"/>
  <c r="G60" i="5"/>
  <c r="F60" i="5"/>
  <c r="E60" i="5"/>
  <c r="D60" i="5"/>
  <c r="AH59" i="5"/>
  <c r="AF59" i="5"/>
  <c r="AE59" i="5"/>
  <c r="AC59" i="5"/>
  <c r="AA59" i="5"/>
  <c r="Z59" i="5"/>
  <c r="V59" i="5"/>
  <c r="U59" i="5"/>
  <c r="R59" i="5"/>
  <c r="N59" i="5"/>
  <c r="M59" i="5"/>
  <c r="Q59" i="5" s="1"/>
  <c r="J59" i="5"/>
  <c r="P59" i="5" s="1"/>
  <c r="I59" i="5"/>
  <c r="G59" i="5"/>
  <c r="F59" i="5"/>
  <c r="E59" i="5"/>
  <c r="D59" i="5"/>
  <c r="C59" i="5"/>
  <c r="AC58" i="5"/>
  <c r="AA58" i="5"/>
  <c r="Z58" i="5"/>
  <c r="N58" i="5"/>
  <c r="O58" i="5" s="1"/>
  <c r="M58" i="5"/>
  <c r="J58" i="5"/>
  <c r="I58" i="5"/>
  <c r="G58" i="5"/>
  <c r="F58" i="5"/>
  <c r="E58" i="5"/>
  <c r="D58" i="5"/>
  <c r="AC57" i="5"/>
  <c r="AA57" i="5"/>
  <c r="Z57" i="5"/>
  <c r="N57" i="5"/>
  <c r="M57" i="5"/>
  <c r="J57" i="5"/>
  <c r="I57" i="5"/>
  <c r="G57" i="5"/>
  <c r="F57" i="5"/>
  <c r="E57" i="5"/>
  <c r="D57" i="5"/>
  <c r="AC56" i="5"/>
  <c r="AA56" i="5"/>
  <c r="Z56" i="5"/>
  <c r="N56" i="5"/>
  <c r="P56" i="5" s="1"/>
  <c r="M56" i="5"/>
  <c r="J56" i="5"/>
  <c r="I56" i="5"/>
  <c r="G56" i="5"/>
  <c r="F56" i="5"/>
  <c r="E56" i="5"/>
  <c r="D56" i="5"/>
  <c r="C56" i="5"/>
  <c r="AH55" i="5"/>
  <c r="AF55" i="5"/>
  <c r="AE55" i="5"/>
  <c r="AC55" i="5"/>
  <c r="AA55" i="5"/>
  <c r="Z55" i="5"/>
  <c r="V55" i="5"/>
  <c r="U55" i="5"/>
  <c r="R55" i="5"/>
  <c r="N55" i="5"/>
  <c r="O55" i="5" s="1"/>
  <c r="M55" i="5"/>
  <c r="J55" i="5"/>
  <c r="I55" i="5"/>
  <c r="G55" i="5"/>
  <c r="F55" i="5"/>
  <c r="E55" i="5"/>
  <c r="D55" i="5"/>
  <c r="C55" i="5"/>
  <c r="AH54" i="5"/>
  <c r="AF54" i="5"/>
  <c r="AE54" i="5"/>
  <c r="AC54" i="5"/>
  <c r="AA54" i="5"/>
  <c r="Z54" i="5"/>
  <c r="V54" i="5"/>
  <c r="U54" i="5"/>
  <c r="R54" i="5"/>
  <c r="N54" i="5"/>
  <c r="M54" i="5"/>
  <c r="J54" i="5"/>
  <c r="I54" i="5"/>
  <c r="G54" i="5"/>
  <c r="F54" i="5"/>
  <c r="E54" i="5"/>
  <c r="D54" i="5"/>
  <c r="C54" i="5"/>
  <c r="AH53" i="5"/>
  <c r="AF53" i="5"/>
  <c r="AE53" i="5"/>
  <c r="AC53" i="5"/>
  <c r="AA53" i="5"/>
  <c r="Z53" i="5"/>
  <c r="V53" i="5"/>
  <c r="U53" i="5"/>
  <c r="R53" i="5"/>
  <c r="N53" i="5"/>
  <c r="Q53" i="5" s="1"/>
  <c r="M53" i="5"/>
  <c r="J53" i="5"/>
  <c r="I53" i="5"/>
  <c r="G53" i="5"/>
  <c r="F53" i="5"/>
  <c r="E53" i="5"/>
  <c r="D53" i="5"/>
  <c r="AH52" i="5"/>
  <c r="AF52" i="5"/>
  <c r="AE52" i="5"/>
  <c r="AC52" i="5"/>
  <c r="AA52" i="5"/>
  <c r="Z52" i="5"/>
  <c r="V52" i="5"/>
  <c r="Y52" i="5" s="1"/>
  <c r="U52" i="5"/>
  <c r="R52" i="5"/>
  <c r="N52" i="5"/>
  <c r="Q52" i="5" s="1"/>
  <c r="M52" i="5"/>
  <c r="J52" i="5"/>
  <c r="I52" i="5"/>
  <c r="G52" i="5"/>
  <c r="F52" i="5"/>
  <c r="E52" i="5"/>
  <c r="D52" i="5"/>
  <c r="AH51" i="5"/>
  <c r="AF51" i="5"/>
  <c r="AE51" i="5"/>
  <c r="AC51" i="5"/>
  <c r="AA51" i="5"/>
  <c r="Z51" i="5"/>
  <c r="V51" i="5"/>
  <c r="Y51" i="5" s="1"/>
  <c r="U51" i="5"/>
  <c r="R51" i="5"/>
  <c r="N51" i="5"/>
  <c r="M51" i="5"/>
  <c r="J51" i="5"/>
  <c r="I51" i="5"/>
  <c r="G51" i="5"/>
  <c r="F51" i="5"/>
  <c r="E51" i="5"/>
  <c r="D51" i="5"/>
  <c r="C51" i="5"/>
  <c r="Y50" i="5"/>
  <c r="X50" i="5"/>
  <c r="W50" i="5"/>
  <c r="N50" i="5"/>
  <c r="O50" i="5" s="1"/>
  <c r="M50" i="5"/>
  <c r="J50" i="5"/>
  <c r="I50" i="5"/>
  <c r="G50" i="5"/>
  <c r="F50" i="5"/>
  <c r="E50" i="5"/>
  <c r="D50" i="5"/>
  <c r="AH49" i="5"/>
  <c r="AF49" i="5"/>
  <c r="AE49" i="5"/>
  <c r="AC49" i="5"/>
  <c r="AA49" i="5"/>
  <c r="Z49" i="5"/>
  <c r="V49" i="5"/>
  <c r="U49" i="5"/>
  <c r="R49" i="5"/>
  <c r="N49" i="5"/>
  <c r="Q49" i="5" s="1"/>
  <c r="M49" i="5"/>
  <c r="J49" i="5"/>
  <c r="I49" i="5"/>
  <c r="G49" i="5"/>
  <c r="F49" i="5"/>
  <c r="E49" i="5"/>
  <c r="D49" i="5"/>
  <c r="C49" i="5"/>
  <c r="AH48" i="5"/>
  <c r="AF48" i="5"/>
  <c r="AE48" i="5"/>
  <c r="AC48" i="5"/>
  <c r="AA48" i="5"/>
  <c r="Z48" i="5"/>
  <c r="V48" i="5"/>
  <c r="U48" i="5"/>
  <c r="R48" i="5"/>
  <c r="N48" i="5"/>
  <c r="M48" i="5"/>
  <c r="J48" i="5"/>
  <c r="O48" i="5" s="1"/>
  <c r="I48" i="5"/>
  <c r="G48" i="5"/>
  <c r="F48" i="5"/>
  <c r="E48" i="5"/>
  <c r="D48" i="5"/>
  <c r="C48" i="5"/>
  <c r="AH47" i="5"/>
  <c r="AF47" i="5"/>
  <c r="AE47" i="5"/>
  <c r="AC47" i="5"/>
  <c r="AA47" i="5"/>
  <c r="Z47" i="5"/>
  <c r="V47" i="5"/>
  <c r="U47" i="5"/>
  <c r="S47" i="5"/>
  <c r="R47" i="5"/>
  <c r="N47" i="5"/>
  <c r="M47" i="5"/>
  <c r="K47" i="5"/>
  <c r="P47" i="5" s="1"/>
  <c r="J47" i="5"/>
  <c r="O47" i="5" s="1"/>
  <c r="I47" i="5"/>
  <c r="G47" i="5"/>
  <c r="F47" i="5"/>
  <c r="E47" i="5"/>
  <c r="D47" i="5"/>
  <c r="AH46" i="5"/>
  <c r="AF46" i="5"/>
  <c r="AE46" i="5"/>
  <c r="AC46" i="5"/>
  <c r="AA46" i="5"/>
  <c r="Z46" i="5"/>
  <c r="W46" i="5"/>
  <c r="V46" i="5"/>
  <c r="U46" i="5"/>
  <c r="R46" i="5"/>
  <c r="Q46" i="5"/>
  <c r="N46" i="5"/>
  <c r="M46" i="5"/>
  <c r="J46" i="5"/>
  <c r="I46" i="5"/>
  <c r="G46" i="5"/>
  <c r="F46" i="5"/>
  <c r="E46" i="5"/>
  <c r="D46" i="5"/>
  <c r="AH45" i="5"/>
  <c r="AF45" i="5"/>
  <c r="AE45" i="5"/>
  <c r="AC45" i="5"/>
  <c r="AA45" i="5"/>
  <c r="Z45" i="5"/>
  <c r="V45" i="5"/>
  <c r="U45" i="5"/>
  <c r="R45" i="5"/>
  <c r="N45" i="5"/>
  <c r="M45" i="5"/>
  <c r="J45" i="5"/>
  <c r="I45" i="5"/>
  <c r="G45" i="5"/>
  <c r="F45" i="5"/>
  <c r="E45" i="5"/>
  <c r="D45" i="5"/>
  <c r="AH44" i="5"/>
  <c r="AF44" i="5"/>
  <c r="AE44" i="5"/>
  <c r="AC44" i="5"/>
  <c r="AA44" i="5"/>
  <c r="Z44" i="5"/>
  <c r="V44" i="5"/>
  <c r="Y44" i="5" s="1"/>
  <c r="U44" i="5"/>
  <c r="R44" i="5"/>
  <c r="N44" i="5"/>
  <c r="M44" i="5"/>
  <c r="J44" i="5"/>
  <c r="I44" i="5"/>
  <c r="G44" i="5"/>
  <c r="F44" i="5"/>
  <c r="E44" i="5"/>
  <c r="D44" i="5"/>
  <c r="AH43" i="5"/>
  <c r="AF43" i="5"/>
  <c r="AE43" i="5"/>
  <c r="AC43" i="5"/>
  <c r="AA43" i="5"/>
  <c r="Z43" i="5"/>
  <c r="V43" i="5"/>
  <c r="U43" i="5"/>
  <c r="T43" i="5"/>
  <c r="S43" i="5"/>
  <c r="R43" i="5"/>
  <c r="N43" i="5"/>
  <c r="M43" i="5"/>
  <c r="L43" i="5"/>
  <c r="K43" i="5"/>
  <c r="J43" i="5"/>
  <c r="I43" i="5"/>
  <c r="G43" i="5"/>
  <c r="F43" i="5"/>
  <c r="E43" i="5"/>
  <c r="D43" i="5"/>
  <c r="AH42" i="5"/>
  <c r="AF42" i="5"/>
  <c r="AE42" i="5"/>
  <c r="AC42" i="5"/>
  <c r="AA42" i="5"/>
  <c r="Z42" i="5"/>
  <c r="V42" i="5"/>
  <c r="U42" i="5"/>
  <c r="T42" i="5"/>
  <c r="S42" i="5"/>
  <c r="R42" i="5"/>
  <c r="N42" i="5"/>
  <c r="M42" i="5"/>
  <c r="L42" i="5"/>
  <c r="K42" i="5"/>
  <c r="J42" i="5"/>
  <c r="I42" i="5"/>
  <c r="G42" i="5"/>
  <c r="F42" i="5"/>
  <c r="E42" i="5"/>
  <c r="D42" i="5"/>
  <c r="AH41" i="5"/>
  <c r="AF41" i="5"/>
  <c r="AE41" i="5"/>
  <c r="AC41" i="5"/>
  <c r="AA41" i="5"/>
  <c r="Z41" i="5"/>
  <c r="V41" i="5"/>
  <c r="U41" i="5"/>
  <c r="T41" i="5"/>
  <c r="S41" i="5"/>
  <c r="R41" i="5"/>
  <c r="N41" i="5"/>
  <c r="M41" i="5"/>
  <c r="L41" i="5"/>
  <c r="K41" i="5"/>
  <c r="J41" i="5"/>
  <c r="I41" i="5"/>
  <c r="G41" i="5"/>
  <c r="F41" i="5"/>
  <c r="E41" i="5"/>
  <c r="D41" i="5"/>
  <c r="AH40" i="5"/>
  <c r="AF40" i="5"/>
  <c r="AE40" i="5"/>
  <c r="AC40" i="5"/>
  <c r="AA40" i="5"/>
  <c r="Z40" i="5"/>
  <c r="Y40" i="5"/>
  <c r="V40" i="5"/>
  <c r="U40" i="5"/>
  <c r="R40" i="5"/>
  <c r="O40" i="5"/>
  <c r="N40" i="5"/>
  <c r="M40" i="5"/>
  <c r="J40" i="5"/>
  <c r="I40" i="5"/>
  <c r="G40" i="5"/>
  <c r="F40" i="5"/>
  <c r="E40" i="5"/>
  <c r="D40" i="5"/>
  <c r="AH39" i="5"/>
  <c r="AF39" i="5"/>
  <c r="AE39" i="5"/>
  <c r="AC39" i="5"/>
  <c r="AA39" i="5"/>
  <c r="Z39" i="5"/>
  <c r="V39" i="5"/>
  <c r="W39" i="5" s="1"/>
  <c r="U39" i="5"/>
  <c r="R39" i="5"/>
  <c r="N39" i="5"/>
  <c r="M39" i="5"/>
  <c r="J39" i="5"/>
  <c r="I39" i="5"/>
  <c r="G39" i="5"/>
  <c r="F39" i="5"/>
  <c r="E39" i="5"/>
  <c r="D39" i="5"/>
  <c r="C39" i="5"/>
  <c r="AH38" i="5"/>
  <c r="AF38" i="5"/>
  <c r="AE38" i="5"/>
  <c r="AC38" i="5"/>
  <c r="AA38" i="5"/>
  <c r="Z38" i="5"/>
  <c r="V38" i="5"/>
  <c r="U38" i="5"/>
  <c r="R38" i="5"/>
  <c r="N38" i="5"/>
  <c r="M38" i="5"/>
  <c r="J38" i="5"/>
  <c r="I38" i="5"/>
  <c r="G38" i="5"/>
  <c r="F38" i="5"/>
  <c r="E38" i="5"/>
  <c r="D38" i="5"/>
  <c r="AH37" i="5"/>
  <c r="AF37" i="5"/>
  <c r="AE37" i="5"/>
  <c r="AC37" i="5"/>
  <c r="AA37" i="5"/>
  <c r="Z37" i="5"/>
  <c r="V37" i="5"/>
  <c r="U37" i="5"/>
  <c r="R37" i="5"/>
  <c r="N37" i="5"/>
  <c r="M37" i="5"/>
  <c r="J37" i="5"/>
  <c r="I37" i="5"/>
  <c r="G37" i="5"/>
  <c r="F37" i="5"/>
  <c r="E37" i="5"/>
  <c r="D37" i="5"/>
  <c r="C37" i="5"/>
  <c r="AH36" i="5"/>
  <c r="AF36" i="5"/>
  <c r="AE36" i="5"/>
  <c r="AC36" i="5"/>
  <c r="AA36" i="5"/>
  <c r="Z36" i="5"/>
  <c r="X36" i="5"/>
  <c r="V36" i="5"/>
  <c r="Y36" i="5" s="1"/>
  <c r="U36" i="5"/>
  <c r="R36" i="5"/>
  <c r="N36" i="5"/>
  <c r="P36" i="5" s="1"/>
  <c r="M36" i="5"/>
  <c r="J36" i="5"/>
  <c r="I36" i="5"/>
  <c r="G36" i="5"/>
  <c r="F36" i="5"/>
  <c r="E36" i="5"/>
  <c r="D36" i="5"/>
  <c r="AH35" i="5"/>
  <c r="AF35" i="5"/>
  <c r="AE35" i="5"/>
  <c r="AC35" i="5"/>
  <c r="AA35" i="5"/>
  <c r="Z35" i="5"/>
  <c r="V35" i="5"/>
  <c r="U35" i="5"/>
  <c r="R35" i="5"/>
  <c r="N35" i="5"/>
  <c r="M35" i="5"/>
  <c r="J35" i="5"/>
  <c r="I35" i="5"/>
  <c r="G35" i="5"/>
  <c r="F35" i="5"/>
  <c r="E35" i="5"/>
  <c r="D35" i="5"/>
  <c r="C35" i="5"/>
  <c r="AH34" i="5"/>
  <c r="AF34" i="5"/>
  <c r="AE34" i="5"/>
  <c r="AC34" i="5"/>
  <c r="AA34" i="5"/>
  <c r="Z34" i="5"/>
  <c r="V34" i="5"/>
  <c r="U34" i="5"/>
  <c r="R34" i="5"/>
  <c r="N34" i="5"/>
  <c r="P34" i="5" s="1"/>
  <c r="M34" i="5"/>
  <c r="J34" i="5"/>
  <c r="I34" i="5"/>
  <c r="G34" i="5"/>
  <c r="F34" i="5"/>
  <c r="E34" i="5"/>
  <c r="D34" i="5"/>
  <c r="AH33" i="5"/>
  <c r="AF33" i="5"/>
  <c r="AE33" i="5"/>
  <c r="AC33" i="5"/>
  <c r="AA33" i="5"/>
  <c r="Z33" i="5"/>
  <c r="V33" i="5"/>
  <c r="W33" i="5" s="1"/>
  <c r="U33" i="5"/>
  <c r="R33" i="5"/>
  <c r="N33" i="5"/>
  <c r="M33" i="5"/>
  <c r="J33" i="5"/>
  <c r="I33" i="5"/>
  <c r="G33" i="5"/>
  <c r="F33" i="5"/>
  <c r="E33" i="5"/>
  <c r="D33" i="5"/>
  <c r="C33" i="5"/>
  <c r="Y32" i="5"/>
  <c r="X32" i="5"/>
  <c r="W32" i="5"/>
  <c r="N32" i="5"/>
  <c r="M32" i="5"/>
  <c r="J32" i="5"/>
  <c r="I32" i="5"/>
  <c r="G32" i="5"/>
  <c r="F32" i="5"/>
  <c r="E32" i="5"/>
  <c r="D32" i="5"/>
  <c r="C32" i="5"/>
  <c r="Y31" i="5"/>
  <c r="X31" i="5"/>
  <c r="W31" i="5"/>
  <c r="N31" i="5"/>
  <c r="O31" i="5" s="1"/>
  <c r="M31" i="5"/>
  <c r="Q31" i="5" s="1"/>
  <c r="J31" i="5"/>
  <c r="I31" i="5"/>
  <c r="G31" i="5"/>
  <c r="F31" i="5"/>
  <c r="E31" i="5"/>
  <c r="D31" i="5"/>
  <c r="C31" i="5"/>
  <c r="AC30" i="5"/>
  <c r="AA30" i="5"/>
  <c r="Z30" i="5"/>
  <c r="Y30" i="5"/>
  <c r="X30" i="5"/>
  <c r="W30" i="5"/>
  <c r="N30" i="5"/>
  <c r="M30" i="5"/>
  <c r="J30" i="5"/>
  <c r="I30" i="5"/>
  <c r="G30" i="5"/>
  <c r="F30" i="5"/>
  <c r="E30" i="5"/>
  <c r="D30" i="5"/>
  <c r="AK29" i="5"/>
  <c r="AI29" i="5"/>
  <c r="AH29" i="5"/>
  <c r="AG29" i="5"/>
  <c r="AF29" i="5"/>
  <c r="AE29" i="5"/>
  <c r="AD29" i="5"/>
  <c r="AC29" i="5"/>
  <c r="AB29" i="5"/>
  <c r="AA29" i="5"/>
  <c r="Z29" i="5"/>
  <c r="V29" i="5"/>
  <c r="W29" i="5" s="1"/>
  <c r="U29" i="5"/>
  <c r="R29" i="5"/>
  <c r="N29" i="5"/>
  <c r="Q29" i="5" s="1"/>
  <c r="M29" i="5"/>
  <c r="J29" i="5"/>
  <c r="I29" i="5"/>
  <c r="G29" i="5"/>
  <c r="F29" i="5"/>
  <c r="E29" i="5"/>
  <c r="D29" i="5"/>
  <c r="C29" i="5"/>
  <c r="AH28" i="5"/>
  <c r="AF28" i="5"/>
  <c r="AE28" i="5"/>
  <c r="AC28" i="5"/>
  <c r="AA28" i="5"/>
  <c r="Z28" i="5"/>
  <c r="Y28" i="5"/>
  <c r="X28" i="5"/>
  <c r="V28" i="5"/>
  <c r="W28" i="5" s="1"/>
  <c r="U28" i="5"/>
  <c r="R28" i="5"/>
  <c r="O28" i="5"/>
  <c r="N28" i="5"/>
  <c r="Q28" i="5" s="1"/>
  <c r="M28" i="5"/>
  <c r="J28" i="5"/>
  <c r="I28" i="5"/>
  <c r="G28" i="5"/>
  <c r="F28" i="5"/>
  <c r="E28" i="5"/>
  <c r="D28" i="5"/>
  <c r="C28" i="5"/>
  <c r="N27" i="5"/>
  <c r="Q27" i="5" s="1"/>
  <c r="I27" i="5"/>
  <c r="F27" i="5"/>
  <c r="E27" i="5"/>
  <c r="N26" i="5"/>
  <c r="Q26" i="5" s="1"/>
  <c r="I26" i="5"/>
  <c r="F26" i="5"/>
  <c r="E26" i="5"/>
  <c r="AC25" i="5"/>
  <c r="AA25" i="5"/>
  <c r="Z25" i="5"/>
  <c r="Y25" i="5"/>
  <c r="X25" i="5"/>
  <c r="W25" i="5"/>
  <c r="N25" i="5"/>
  <c r="M25" i="5"/>
  <c r="J25" i="5"/>
  <c r="I25" i="5"/>
  <c r="G25" i="5"/>
  <c r="F25" i="5"/>
  <c r="E25" i="5"/>
  <c r="D25" i="5"/>
  <c r="AC24" i="5"/>
  <c r="AA24" i="5"/>
  <c r="Z24" i="5"/>
  <c r="Y24" i="5"/>
  <c r="X24" i="5"/>
  <c r="W24" i="5"/>
  <c r="N24" i="5"/>
  <c r="M24" i="5"/>
  <c r="J24" i="5"/>
  <c r="I24" i="5"/>
  <c r="G24" i="5"/>
  <c r="F24" i="5"/>
  <c r="E24" i="5"/>
  <c r="D24" i="5"/>
  <c r="C24" i="5"/>
  <c r="AH23" i="5"/>
  <c r="AF23" i="5"/>
  <c r="AE23" i="5"/>
  <c r="AC23" i="5"/>
  <c r="AA23" i="5"/>
  <c r="Z23" i="5"/>
  <c r="V23" i="5"/>
  <c r="U23" i="5"/>
  <c r="R23" i="5"/>
  <c r="N23" i="5"/>
  <c r="Q23" i="5" s="1"/>
  <c r="M23" i="5"/>
  <c r="J23" i="5"/>
  <c r="I23" i="5"/>
  <c r="G23" i="5"/>
  <c r="F23" i="5"/>
  <c r="E23" i="5"/>
  <c r="D23" i="5"/>
  <c r="AH22" i="5"/>
  <c r="AF22" i="5"/>
  <c r="AE22" i="5"/>
  <c r="AC22" i="5"/>
  <c r="AA22" i="5"/>
  <c r="Z22" i="5"/>
  <c r="V22" i="5"/>
  <c r="U22" i="5"/>
  <c r="T22" i="5"/>
  <c r="S22" i="5"/>
  <c r="R22" i="5"/>
  <c r="N22" i="5"/>
  <c r="M22" i="5"/>
  <c r="L22" i="5"/>
  <c r="K22" i="5"/>
  <c r="J22" i="5"/>
  <c r="I22" i="5"/>
  <c r="G22" i="5"/>
  <c r="F22" i="5"/>
  <c r="E22" i="5"/>
  <c r="D22" i="5"/>
  <c r="AH21" i="5"/>
  <c r="AF21" i="5"/>
  <c r="AE21" i="5"/>
  <c r="AC21" i="5"/>
  <c r="AA21" i="5"/>
  <c r="Z21" i="5"/>
  <c r="V21" i="5"/>
  <c r="U21" i="5"/>
  <c r="R21" i="5"/>
  <c r="W21" i="5" s="1"/>
  <c r="N21" i="5"/>
  <c r="M21" i="5"/>
  <c r="J21" i="5"/>
  <c r="I21" i="5"/>
  <c r="G21" i="5"/>
  <c r="F21" i="5"/>
  <c r="E21" i="5"/>
  <c r="D21" i="5"/>
  <c r="AH20" i="5"/>
  <c r="AF20" i="5"/>
  <c r="AE20" i="5"/>
  <c r="AC20" i="5"/>
  <c r="AA20" i="5"/>
  <c r="Z20" i="5"/>
  <c r="V20" i="5"/>
  <c r="U20" i="5"/>
  <c r="R20" i="5"/>
  <c r="N20" i="5"/>
  <c r="M20" i="5"/>
  <c r="J20" i="5"/>
  <c r="I20" i="5"/>
  <c r="G20" i="5"/>
  <c r="F20" i="5"/>
  <c r="E20" i="5"/>
  <c r="D20" i="5"/>
  <c r="C20" i="5"/>
  <c r="AH19" i="5"/>
  <c r="AF19" i="5"/>
  <c r="AE19" i="5"/>
  <c r="AC19" i="5"/>
  <c r="AA19" i="5"/>
  <c r="Z19" i="5"/>
  <c r="V19" i="5"/>
  <c r="U19" i="5"/>
  <c r="R19" i="5"/>
  <c r="N19" i="5"/>
  <c r="O19" i="5" s="1"/>
  <c r="M19" i="5"/>
  <c r="J19" i="5"/>
  <c r="I19" i="5"/>
  <c r="G19" i="5"/>
  <c r="F19" i="5"/>
  <c r="E19" i="5"/>
  <c r="D19" i="5"/>
  <c r="AH18" i="5"/>
  <c r="AF18" i="5"/>
  <c r="AE18" i="5"/>
  <c r="AC18" i="5"/>
  <c r="AA18" i="5"/>
  <c r="Z18" i="5"/>
  <c r="V18" i="5"/>
  <c r="U18" i="5"/>
  <c r="R18" i="5"/>
  <c r="N18" i="5"/>
  <c r="Q18" i="5" s="1"/>
  <c r="M18" i="5"/>
  <c r="J18" i="5"/>
  <c r="I18" i="5"/>
  <c r="G18" i="5"/>
  <c r="F18" i="5"/>
  <c r="E18" i="5"/>
  <c r="D18" i="5"/>
  <c r="AH17" i="5"/>
  <c r="AF17" i="5"/>
  <c r="AE17" i="5"/>
  <c r="AC17" i="5"/>
  <c r="AA17" i="5"/>
  <c r="Z17" i="5"/>
  <c r="V17" i="5"/>
  <c r="U17" i="5"/>
  <c r="R17" i="5"/>
  <c r="N17" i="5"/>
  <c r="M17" i="5"/>
  <c r="J17" i="5"/>
  <c r="I17" i="5"/>
  <c r="G17" i="5"/>
  <c r="F17" i="5"/>
  <c r="E17" i="5"/>
  <c r="D17" i="5"/>
  <c r="AH16" i="5"/>
  <c r="AF16" i="5"/>
  <c r="AE16" i="5"/>
  <c r="AC16" i="5"/>
  <c r="AA16" i="5"/>
  <c r="Z16" i="5"/>
  <c r="V16" i="5"/>
  <c r="W16" i="5" s="1"/>
  <c r="U16" i="5"/>
  <c r="R16" i="5"/>
  <c r="N16" i="5"/>
  <c r="M16" i="5"/>
  <c r="J16" i="5"/>
  <c r="I16" i="5"/>
  <c r="F16" i="5"/>
  <c r="E16" i="5"/>
  <c r="D16" i="5"/>
  <c r="AH15" i="5"/>
  <c r="AF15" i="5"/>
  <c r="AE15" i="5"/>
  <c r="AC15" i="5"/>
  <c r="AA15" i="5"/>
  <c r="Z15" i="5"/>
  <c r="W15" i="5"/>
  <c r="V15" i="5"/>
  <c r="U15" i="5"/>
  <c r="R15" i="5"/>
  <c r="Q15" i="5"/>
  <c r="N15" i="5"/>
  <c r="M15" i="5"/>
  <c r="J15" i="5"/>
  <c r="P15" i="5" s="1"/>
  <c r="I15" i="5"/>
  <c r="G15" i="5"/>
  <c r="F15" i="5"/>
  <c r="E15" i="5"/>
  <c r="D15" i="5"/>
  <c r="AH14" i="5"/>
  <c r="AF14" i="5"/>
  <c r="AE14" i="5"/>
  <c r="AC14" i="5"/>
  <c r="AA14" i="5"/>
  <c r="Z14" i="5"/>
  <c r="V14" i="5"/>
  <c r="U14" i="5"/>
  <c r="R14" i="5"/>
  <c r="N14" i="5"/>
  <c r="M14" i="5"/>
  <c r="J14" i="5"/>
  <c r="I14" i="5"/>
  <c r="G14" i="5"/>
  <c r="F14" i="5"/>
  <c r="E14" i="5"/>
  <c r="D14" i="5"/>
  <c r="AH13" i="5"/>
  <c r="AF13" i="5"/>
  <c r="AE13" i="5"/>
  <c r="AC13" i="5"/>
  <c r="AA13" i="5"/>
  <c r="Z13" i="5"/>
  <c r="V13" i="5"/>
  <c r="U13" i="5"/>
  <c r="R13" i="5"/>
  <c r="N13" i="5"/>
  <c r="M13" i="5"/>
  <c r="J13" i="5"/>
  <c r="I13" i="5"/>
  <c r="G13" i="5"/>
  <c r="F13" i="5"/>
  <c r="E13" i="5"/>
  <c r="D13" i="5"/>
  <c r="C13" i="5"/>
  <c r="AK12" i="5"/>
  <c r="AI12" i="5"/>
  <c r="AH12" i="5"/>
  <c r="AF12" i="5"/>
  <c r="AE12" i="5"/>
  <c r="AC12" i="5"/>
  <c r="AA12" i="5"/>
  <c r="Z12" i="5"/>
  <c r="V12" i="5"/>
  <c r="U12" i="5"/>
  <c r="T12" i="5"/>
  <c r="S12" i="5"/>
  <c r="R12" i="5"/>
  <c r="N12" i="5"/>
  <c r="M12" i="5"/>
  <c r="L12" i="5"/>
  <c r="K12" i="5"/>
  <c r="J12" i="5"/>
  <c r="I12" i="5"/>
  <c r="G12" i="5"/>
  <c r="F12" i="5"/>
  <c r="E12" i="5"/>
  <c r="D12" i="5"/>
  <c r="AI11" i="5"/>
  <c r="AH11" i="5"/>
  <c r="AF11" i="5"/>
  <c r="AE11" i="5"/>
  <c r="AC11" i="5"/>
  <c r="AA11" i="5"/>
  <c r="Z11" i="5"/>
  <c r="V11" i="5"/>
  <c r="U11" i="5"/>
  <c r="T11" i="5"/>
  <c r="S11" i="5"/>
  <c r="R11" i="5"/>
  <c r="N11" i="5"/>
  <c r="M11" i="5"/>
  <c r="L11" i="5"/>
  <c r="K11" i="5"/>
  <c r="J11" i="5"/>
  <c r="I11" i="5"/>
  <c r="G11" i="5"/>
  <c r="F11" i="5"/>
  <c r="E11" i="5"/>
  <c r="D11" i="5"/>
  <c r="C11" i="5"/>
  <c r="AH10" i="5"/>
  <c r="AF10" i="5"/>
  <c r="AE10" i="5"/>
  <c r="AC10" i="5"/>
  <c r="AA10" i="5"/>
  <c r="Z10" i="5"/>
  <c r="V10" i="5"/>
  <c r="U10" i="5"/>
  <c r="R10" i="5"/>
  <c r="N10" i="5"/>
  <c r="M10" i="5"/>
  <c r="J10" i="5"/>
  <c r="I10" i="5"/>
  <c r="G10" i="5"/>
  <c r="F10" i="5"/>
  <c r="E10" i="5"/>
  <c r="D10" i="5"/>
  <c r="AH9" i="5"/>
  <c r="AF9" i="5"/>
  <c r="AE9" i="5"/>
  <c r="AC9" i="5"/>
  <c r="AA9" i="5"/>
  <c r="Z9" i="5"/>
  <c r="V9" i="5"/>
  <c r="U9" i="5"/>
  <c r="R9" i="5"/>
  <c r="N9" i="5"/>
  <c r="P9" i="5" s="1"/>
  <c r="M9" i="5"/>
  <c r="J9" i="5"/>
  <c r="I9" i="5"/>
  <c r="G9" i="5"/>
  <c r="F9" i="5"/>
  <c r="E9" i="5"/>
  <c r="D9" i="5"/>
  <c r="AH8" i="5"/>
  <c r="AF8" i="5"/>
  <c r="AE8" i="5"/>
  <c r="AC8" i="5"/>
  <c r="AA8" i="5"/>
  <c r="Z8" i="5"/>
  <c r="V8" i="5"/>
  <c r="U8" i="5"/>
  <c r="R8" i="5"/>
  <c r="X8" i="5" s="1"/>
  <c r="N8" i="5"/>
  <c r="M8" i="5"/>
  <c r="J8" i="5"/>
  <c r="I8" i="5"/>
  <c r="G8" i="5"/>
  <c r="F8" i="5"/>
  <c r="E8" i="5"/>
  <c r="D8" i="5"/>
  <c r="AH7" i="5"/>
  <c r="AF7" i="5"/>
  <c r="AE7" i="5"/>
  <c r="AC7" i="5"/>
  <c r="AA7" i="5"/>
  <c r="Z7" i="5"/>
  <c r="V7" i="5"/>
  <c r="U7" i="5"/>
  <c r="R7" i="5"/>
  <c r="N7" i="5"/>
  <c r="M7" i="5"/>
  <c r="J7" i="5"/>
  <c r="I7" i="5"/>
  <c r="G7" i="5"/>
  <c r="F7" i="5"/>
  <c r="E7" i="5"/>
  <c r="D7" i="5"/>
  <c r="C7" i="5"/>
  <c r="O6" i="5"/>
  <c r="M6" i="5"/>
  <c r="I6" i="5"/>
  <c r="G6" i="5"/>
  <c r="F6" i="5"/>
  <c r="E6" i="5"/>
  <c r="D6" i="5"/>
  <c r="AH5" i="5"/>
  <c r="AF5" i="5"/>
  <c r="AE5" i="5"/>
  <c r="AC5" i="5"/>
  <c r="AA5" i="5"/>
  <c r="Z5" i="5"/>
  <c r="V5" i="5"/>
  <c r="U5" i="5"/>
  <c r="R5" i="5"/>
  <c r="N5" i="5"/>
  <c r="O5" i="5" s="1"/>
  <c r="M5" i="5"/>
  <c r="Q5" i="5" s="1"/>
  <c r="J5" i="5"/>
  <c r="I5" i="5"/>
  <c r="G5" i="5"/>
  <c r="F5" i="5"/>
  <c r="E5" i="5"/>
  <c r="D5" i="5"/>
  <c r="AH4" i="5"/>
  <c r="AF4" i="5"/>
  <c r="AE4" i="5"/>
  <c r="AC4" i="5"/>
  <c r="AA4" i="5"/>
  <c r="U4" i="5"/>
  <c r="Y4" i="5" s="1"/>
  <c r="N4" i="5"/>
  <c r="M4" i="5"/>
  <c r="I4" i="5"/>
  <c r="G4" i="5"/>
  <c r="F4" i="5"/>
  <c r="E4" i="5"/>
  <c r="D4" i="5"/>
  <c r="C4" i="5"/>
  <c r="E1" i="5"/>
  <c r="C54" i="3"/>
  <c r="C53" i="3"/>
  <c r="B54" i="3"/>
  <c r="B53" i="3"/>
  <c r="C52" i="3"/>
  <c r="B51" i="3"/>
  <c r="C50" i="3"/>
  <c r="C51" i="3" s="1"/>
  <c r="C41" i="3"/>
  <c r="C40" i="3"/>
  <c r="C39" i="3"/>
  <c r="B52" i="3"/>
  <c r="B41" i="3"/>
  <c r="B37" i="3"/>
  <c r="B39" i="3" s="1"/>
  <c r="B29" i="3"/>
  <c r="X5" i="5" l="1"/>
  <c r="W11" i="5"/>
  <c r="X13" i="5"/>
  <c r="Q14" i="5"/>
  <c r="Y37" i="5"/>
  <c r="P50" i="5"/>
  <c r="O56" i="5"/>
  <c r="W62" i="5"/>
  <c r="X65" i="5"/>
  <c r="P68" i="5"/>
  <c r="P18" i="5"/>
  <c r="W17" i="5"/>
  <c r="Y20" i="5"/>
  <c r="O26" i="5"/>
  <c r="Q17" i="5"/>
  <c r="O20" i="5"/>
  <c r="Q22" i="5"/>
  <c r="P23" i="5"/>
  <c r="O24" i="5"/>
  <c r="Q25" i="5"/>
  <c r="P26" i="5"/>
  <c r="W9" i="5"/>
  <c r="P10" i="5"/>
  <c r="Y19" i="5"/>
  <c r="Y33" i="5"/>
  <c r="P35" i="5"/>
  <c r="Q36" i="5"/>
  <c r="W36" i="5"/>
  <c r="Q37" i="5"/>
  <c r="Y43" i="5"/>
  <c r="X44" i="5"/>
  <c r="Q50" i="5"/>
  <c r="P55" i="5"/>
  <c r="Q56" i="5"/>
  <c r="W61" i="5"/>
  <c r="X66" i="5"/>
  <c r="Q67" i="5"/>
  <c r="J59" i="7"/>
  <c r="G39" i="7"/>
  <c r="I39" i="7" s="1"/>
  <c r="E39" i="7"/>
  <c r="K48" i="7"/>
  <c r="K52" i="7"/>
  <c r="K56" i="7"/>
  <c r="K45" i="7"/>
  <c r="O48" i="6"/>
  <c r="O59" i="6" s="1"/>
  <c r="P59" i="6" s="1"/>
  <c r="J59" i="6"/>
  <c r="K59" i="6"/>
  <c r="F39" i="6"/>
  <c r="G39" i="6"/>
  <c r="H36" i="6"/>
  <c r="H34" i="6"/>
  <c r="H32" i="6"/>
  <c r="H33" i="6"/>
  <c r="H35" i="6"/>
  <c r="Q7" i="5"/>
  <c r="Y7" i="5"/>
  <c r="O9" i="5"/>
  <c r="O17" i="5"/>
  <c r="Y17" i="5"/>
  <c r="Q19" i="5"/>
  <c r="W19" i="5"/>
  <c r="Q20" i="5"/>
  <c r="W20" i="5"/>
  <c r="W22" i="5"/>
  <c r="O25" i="5"/>
  <c r="O29" i="5"/>
  <c r="X29" i="5"/>
  <c r="Q30" i="5"/>
  <c r="Q33" i="5"/>
  <c r="W37" i="5"/>
  <c r="Q42" i="5"/>
  <c r="Q45" i="5"/>
  <c r="P49" i="5"/>
  <c r="W51" i="5"/>
  <c r="O52" i="5"/>
  <c r="W52" i="5"/>
  <c r="Q54" i="5"/>
  <c r="Y59" i="5"/>
  <c r="O62" i="5"/>
  <c r="O66" i="5"/>
  <c r="Y66" i="5"/>
  <c r="Q68" i="5"/>
  <c r="Q70" i="5"/>
  <c r="O18" i="5"/>
  <c r="W5" i="5"/>
  <c r="Q6" i="5"/>
  <c r="O7" i="5"/>
  <c r="W8" i="5"/>
  <c r="X9" i="5"/>
  <c r="W10" i="5"/>
  <c r="W13" i="5"/>
  <c r="O14" i="5"/>
  <c r="X17" i="5"/>
  <c r="P19" i="5"/>
  <c r="P20" i="5"/>
  <c r="Y21" i="5"/>
  <c r="X22" i="5"/>
  <c r="Q24" i="5"/>
  <c r="O27" i="5"/>
  <c r="Y29" i="5"/>
  <c r="O30" i="5"/>
  <c r="O33" i="5"/>
  <c r="O35" i="5"/>
  <c r="X37" i="5"/>
  <c r="W38" i="5"/>
  <c r="O42" i="5"/>
  <c r="Y42" i="5"/>
  <c r="Q43" i="5"/>
  <c r="X43" i="5"/>
  <c r="Q44" i="5"/>
  <c r="P45" i="5"/>
  <c r="P46" i="5"/>
  <c r="Q47" i="5"/>
  <c r="Q48" i="5"/>
  <c r="O49" i="5"/>
  <c r="X51" i="5"/>
  <c r="X52" i="5"/>
  <c r="O53" i="5"/>
  <c r="P58" i="5"/>
  <c r="O59" i="5"/>
  <c r="W59" i="5"/>
  <c r="Y61" i="5"/>
  <c r="O63" i="5"/>
  <c r="P66" i="5"/>
  <c r="P69" i="5"/>
  <c r="W72" i="5"/>
  <c r="Q4" i="5"/>
  <c r="Q8" i="5"/>
  <c r="Q9" i="5"/>
  <c r="Y9" i="5"/>
  <c r="O10" i="5"/>
  <c r="Q13" i="5"/>
  <c r="Y13" i="5"/>
  <c r="P14" i="5"/>
  <c r="O15" i="5"/>
  <c r="Y15" i="5"/>
  <c r="X16" i="5"/>
  <c r="O22" i="5"/>
  <c r="Y22" i="5"/>
  <c r="O23" i="5"/>
  <c r="P31" i="5"/>
  <c r="X33" i="5"/>
  <c r="O34" i="5"/>
  <c r="X38" i="5"/>
  <c r="X39" i="5"/>
  <c r="Q40" i="5"/>
  <c r="W42" i="5"/>
  <c r="O43" i="5"/>
  <c r="P43" i="5"/>
  <c r="O44" i="5"/>
  <c r="O45" i="5"/>
  <c r="Y46" i="5"/>
  <c r="P53" i="5"/>
  <c r="O54" i="5"/>
  <c r="Q55" i="5"/>
  <c r="W60" i="5"/>
  <c r="Y62" i="5"/>
  <c r="P63" i="5"/>
  <c r="Q64" i="5"/>
  <c r="Y64" i="5"/>
  <c r="W65" i="5"/>
  <c r="O67" i="5"/>
  <c r="Q69" i="5"/>
  <c r="O13" i="5"/>
  <c r="O4" i="5"/>
  <c r="Y12" i="5"/>
  <c r="X12" i="5"/>
  <c r="Y35" i="5"/>
  <c r="X35" i="5"/>
  <c r="W35" i="5"/>
  <c r="Y45" i="5"/>
  <c r="X45" i="5"/>
  <c r="W45" i="5"/>
  <c r="Q60" i="5"/>
  <c r="P60" i="5"/>
  <c r="O60" i="5"/>
  <c r="Y63" i="5"/>
  <c r="X63" i="5"/>
  <c r="W63" i="5"/>
  <c r="W4" i="5"/>
  <c r="Y5" i="5"/>
  <c r="W7" i="5"/>
  <c r="O8" i="5"/>
  <c r="Y8" i="5"/>
  <c r="Q10" i="5"/>
  <c r="W12" i="5"/>
  <c r="P22" i="5"/>
  <c r="Y23" i="5"/>
  <c r="X23" i="5"/>
  <c r="W23" i="5"/>
  <c r="P24" i="5"/>
  <c r="Y34" i="5"/>
  <c r="X34" i="5"/>
  <c r="W34" i="5"/>
  <c r="Q39" i="5"/>
  <c r="P39" i="5"/>
  <c r="O39" i="5"/>
  <c r="Y41" i="5"/>
  <c r="X41" i="5"/>
  <c r="W41" i="5"/>
  <c r="W44" i="5"/>
  <c r="Y49" i="5"/>
  <c r="X49" i="5"/>
  <c r="W49" i="5"/>
  <c r="Q57" i="5"/>
  <c r="P57" i="5"/>
  <c r="O57" i="5"/>
  <c r="Q65" i="5"/>
  <c r="P65" i="5"/>
  <c r="O65" i="5"/>
  <c r="Q72" i="5"/>
  <c r="P72" i="5"/>
  <c r="O72" i="5"/>
  <c r="X72" i="5"/>
  <c r="Y10" i="5"/>
  <c r="X10" i="5"/>
  <c r="Y11" i="5"/>
  <c r="X11" i="5"/>
  <c r="Q41" i="5"/>
  <c r="P41" i="5"/>
  <c r="O41" i="5"/>
  <c r="M27" i="5"/>
  <c r="J27" i="5"/>
  <c r="M26" i="5"/>
  <c r="X4" i="5"/>
  <c r="P8" i="5"/>
  <c r="Q11" i="5"/>
  <c r="P11" i="5"/>
  <c r="Q12" i="5"/>
  <c r="P12" i="5"/>
  <c r="Y14" i="5"/>
  <c r="X14" i="5"/>
  <c r="W14" i="5"/>
  <c r="Y16" i="5"/>
  <c r="Y18" i="5"/>
  <c r="X18" i="5"/>
  <c r="W18" i="5"/>
  <c r="J26" i="5"/>
  <c r="Q32" i="5"/>
  <c r="P32" i="5"/>
  <c r="O32" i="5"/>
  <c r="Q38" i="5"/>
  <c r="P38" i="5"/>
  <c r="O38" i="5"/>
  <c r="O46" i="5"/>
  <c r="Y48" i="5"/>
  <c r="X48" i="5"/>
  <c r="W48" i="5"/>
  <c r="Q51" i="5"/>
  <c r="P51" i="5"/>
  <c r="O51" i="5"/>
  <c r="Y54" i="5"/>
  <c r="X54" i="5"/>
  <c r="W54" i="5"/>
  <c r="Y55" i="5"/>
  <c r="X55" i="5"/>
  <c r="W55" i="5"/>
  <c r="P64" i="5"/>
  <c r="Y67" i="5"/>
  <c r="X67" i="5"/>
  <c r="W67" i="5"/>
  <c r="O11" i="5"/>
  <c r="O12" i="5"/>
  <c r="Q16" i="5"/>
  <c r="P16" i="5"/>
  <c r="O16" i="5"/>
  <c r="Q21" i="5"/>
  <c r="P21" i="5"/>
  <c r="O21" i="5"/>
  <c r="X21" i="5"/>
  <c r="P37" i="5"/>
  <c r="X40" i="5"/>
  <c r="W43" i="5"/>
  <c r="Y47" i="5"/>
  <c r="X47" i="5"/>
  <c r="W47" i="5"/>
  <c r="P48" i="5"/>
  <c r="Y53" i="5"/>
  <c r="X53" i="5"/>
  <c r="W53" i="5"/>
  <c r="P54" i="5"/>
  <c r="Q61" i="5"/>
  <c r="P61" i="5"/>
  <c r="O61" i="5"/>
  <c r="X61" i="5"/>
  <c r="X62" i="5"/>
  <c r="P67" i="5"/>
  <c r="P13" i="5"/>
  <c r="X15" i="5"/>
  <c r="P17" i="5"/>
  <c r="X19" i="5"/>
  <c r="X20" i="5"/>
  <c r="P25" i="5"/>
  <c r="P27" i="5"/>
  <c r="P28" i="5"/>
  <c r="P29" i="5"/>
  <c r="P30" i="5"/>
  <c r="P33" i="5"/>
  <c r="Q34" i="5"/>
  <c r="Q35" i="5"/>
  <c r="Y38" i="5"/>
  <c r="Y39" i="5"/>
  <c r="P40" i="5"/>
  <c r="P42" i="5"/>
  <c r="X42" i="5"/>
  <c r="P44" i="5"/>
  <c r="X46" i="5"/>
  <c r="P52" i="5"/>
  <c r="Q58" i="5"/>
  <c r="X59" i="5"/>
  <c r="Y60" i="5"/>
  <c r="P62" i="5"/>
  <c r="Q63" i="5"/>
  <c r="X64" i="5"/>
  <c r="O36" i="5"/>
  <c r="O37" i="5"/>
  <c r="W40" i="5"/>
  <c r="O64" i="5"/>
  <c r="W66" i="5"/>
  <c r="O68" i="5"/>
  <c r="O70" i="5"/>
  <c r="K59" i="7" l="1"/>
  <c r="H39" i="6"/>
</calcChain>
</file>

<file path=xl/sharedStrings.xml><?xml version="1.0" encoding="utf-8"?>
<sst xmlns="http://schemas.openxmlformats.org/spreadsheetml/2006/main" count="885" uniqueCount="437">
  <si>
    <t>CREATE DATABASE dbstore;</t>
  </si>
  <si>
    <t>USE dbstore;</t>
  </si>
  <si>
    <t>);</t>
  </si>
  <si>
    <t>CREATE TABLE Persona (</t>
  </si>
  <si>
    <t xml:space="preserve">  persona_id INT PRIMARY KEY, </t>
  </si>
  <si>
    <t xml:space="preserve">  nombre_persona VARCHAR(100),</t>
  </si>
  <si>
    <t xml:space="preserve">  direccion VARCHAR(150),</t>
  </si>
  <si>
    <t xml:space="preserve">  persona_id INT,</t>
  </si>
  <si>
    <t>CREATE TABLE Categoria (</t>
  </si>
  <si>
    <t xml:space="preserve">  categoria_id INT PRIMARY KEY,</t>
  </si>
  <si>
    <t xml:space="preserve">  nombre_categoria VARCHAR(100)</t>
  </si>
  <si>
    <t>CREATE TABLE Producto (</t>
  </si>
  <si>
    <t xml:space="preserve">  nombre_producto VARCHAR(100),</t>
  </si>
  <si>
    <t xml:space="preserve">  descripcion VARCHAR(255),</t>
  </si>
  <si>
    <t xml:space="preserve">  precio FLOAT,</t>
  </si>
  <si>
    <t xml:space="preserve">  categoria_id INT,</t>
  </si>
  <si>
    <t xml:space="preserve">  FOREIGN KEY (categoria_id) REFERENCES Categoria(categoria_id)</t>
  </si>
  <si>
    <t>CREATE TABLE Documento (</t>
  </si>
  <si>
    <t xml:space="preserve">  documento_id INT PRIMARY KEY, </t>
  </si>
  <si>
    <t xml:space="preserve">  numero_documento_id INT,</t>
  </si>
  <si>
    <t xml:space="preserve">  fecha_emision DATETIME,</t>
  </si>
  <si>
    <t xml:space="preserve">  fecha_pago DATETIME</t>
  </si>
  <si>
    <t>CREATE TABLE Pedido (</t>
  </si>
  <si>
    <t xml:space="preserve">  pedido_id INT PRIMARY KEY,</t>
  </si>
  <si>
    <t xml:space="preserve">  documento_id INT,</t>
  </si>
  <si>
    <t xml:space="preserve">  estado VARCHAR(50),</t>
  </si>
  <si>
    <t xml:space="preserve">  FOREIGN KEY (documento_id) REFERENCES Documento(documento_id)</t>
  </si>
  <si>
    <t xml:space="preserve">  pedido_id INT,</t>
  </si>
  <si>
    <t xml:space="preserve">  FOREIGN KEY (producto_id) REFERENCES Producto(producto_id)</t>
  </si>
  <si>
    <t>CREATE TABLE Inventario (</t>
  </si>
  <si>
    <t xml:space="preserve">  inventario_id INT PRIMARY KEY,</t>
  </si>
  <si>
    <t xml:space="preserve">  stock_inicial INT,</t>
  </si>
  <si>
    <t>INSERT INTO Persona (persona_id, nombre_persona, direccion, telefono, distrito_id)</t>
  </si>
  <si>
    <t xml:space="preserve"> </t>
  </si>
  <si>
    <t xml:space="preserve">INSERT INTO Departamento (departamento_id, nombre_departamento) </t>
  </si>
  <si>
    <t>SELECT FLOOR(RAND() * 100), CONCAT('Departamento ', FLOOR(RAND() * 100))</t>
  </si>
  <si>
    <t>FROM dual LIMIT 100;</t>
  </si>
  <si>
    <t>INSERT INTO Provincia (provincia_id, nombre_provincia, departamento_id)</t>
  </si>
  <si>
    <t xml:space="preserve">SELECT FLOOR(RAND() * 100), CONCAT('Provincia ', FLOOR(RAND() * 100)), FLOOR(RAND() * 100)  </t>
  </si>
  <si>
    <t>INSERT INTO Distrito (distrito_id, nombre_distrito, provincia_id)</t>
  </si>
  <si>
    <t>SELECT FLOOR(RAND() * 100), CONCAT('Distrito ', FLOOR(RAND() * 100)), FLOOR(RAND() * 100)</t>
  </si>
  <si>
    <t>SELECT FLOOR(RAND() * 1000), CONCAT('Persona ', FLOOR(RAND() * 1000)), CONCAT('Dirección ', FLOOR(RAND() * 1000)), '123456789', FLOOR(RAND() * 100)</t>
  </si>
  <si>
    <t>INSERT INTO Empleado (empleado_id, persona_id, cargo)</t>
  </si>
  <si>
    <t>SELECT FLOOR(RAND() * 100), FLOOR(RAND() * 1000), 'Empleado'</t>
  </si>
  <si>
    <t xml:space="preserve">INSERT INTO Cliente (cliente_id, persona_id)  </t>
  </si>
  <si>
    <t>SELECT FLOOR(RAND() * 100), FLOOR(RAND() * 1000)</t>
  </si>
  <si>
    <t>INSERT INTO Proveedor (proveedor_id, persona_id)</t>
  </si>
  <si>
    <t>INSERT INTO Categoria (categoria_id, nombre_categoria)</t>
  </si>
  <si>
    <t xml:space="preserve">SELECT FLOOR(RAND() * 100), CONCAT('Categoría ', FLOOR(RAND() * 100)) </t>
  </si>
  <si>
    <t xml:space="preserve">INSERT INTO Producto (producto_id, nombre_producto, descripcion, precio, categoria_id)  </t>
  </si>
  <si>
    <t>SELECT FLOOR(RAND() * 1000), CONCAT('Producto ', FLOOR(RAND() * 1000)), 'Descripcion', RAND() * 100, FLOOR(RAND() * 100)</t>
  </si>
  <si>
    <t>INSERT INTO Documento (documento_id, numero_documento_id, fecha_emision, fecha_pago)</t>
  </si>
  <si>
    <t>SELECT FLOOR(RAND() * 1000), FLOOR(RAND() * 1000), NOW(), NOW()</t>
  </si>
  <si>
    <t>INSERT INTO Pedido (pedido_id, cliente_id, empleado_id, documento_id, estado)</t>
  </si>
  <si>
    <t>SELECT FLOOR(RAND() * 1000), FLOOR(RAND() * 100), FLOOR(RAND() * 100), FLOOR(RAND() * 1000), 'Pendiente'</t>
  </si>
  <si>
    <t>INSERT INTO Pedido_Producto (pedido_producto_id, pedido_id, producto_id, cantidad, precio_unitario)</t>
  </si>
  <si>
    <t xml:space="preserve">SELECT FLOOR(RAND() * 1000), FLOOR(RAND() * 1000), FLOOR(RAND() * 1000), FLOOR(RAND() * 10), RAND() * 100  </t>
  </si>
  <si>
    <t xml:space="preserve">  </t>
  </si>
  <si>
    <t>INSERT INTO Local (local_id, nombre_local, direccion, empleado_id)</t>
  </si>
  <si>
    <t>SELECT FLOOR(RAND() * 100), CONCAT('Local ', FLOOR(RAND() * 100)), 'Dirección Local', FLOOR(RAND() * 100)</t>
  </si>
  <si>
    <t xml:space="preserve">INSERT INTO Compra (compra_id, proveedor_id, empleado_id, documento_id, estado_compra)  </t>
  </si>
  <si>
    <t>INSERT INTO Solicitud_Producto (solicitud_id, compra_id, producto_id, cantidad, precio_unitario)</t>
  </si>
  <si>
    <t>SELECT FLOOR(RAND() * 1000), FLOOR(RAND() * 1000), FLOOR(RAND() * 1000), FLOOR(RAND() * 10), RAND() * 100</t>
  </si>
  <si>
    <t>INSERT INTO Inventario (inventario_id, producto_id, stock_inicial, stock_actual, stock_final, costo_unitario, costo_total)</t>
  </si>
  <si>
    <t xml:space="preserve">SELECT FLOOR(RAND() * 1000), FLOOR(RAND() * 1000), FLOOR(RAND() * 100), FLOOR(RAND() * 100), FLOOR(RAND() * 100), RAND() * 100, RAND() * 1000   </t>
  </si>
  <si>
    <t>Cercado de Lima</t>
  </si>
  <si>
    <t>Ancón</t>
  </si>
  <si>
    <t>Ate Vitarte</t>
  </si>
  <si>
    <t>Barranco</t>
  </si>
  <si>
    <t>Breña</t>
  </si>
  <si>
    <t>Carabayllo</t>
  </si>
  <si>
    <t>Chaclacayo</t>
  </si>
  <si>
    <t>Chorrillos</t>
  </si>
  <si>
    <t>Lima</t>
  </si>
  <si>
    <t>Callao</t>
  </si>
  <si>
    <t>01</t>
  </si>
  <si>
    <t>09</t>
  </si>
  <si>
    <t>04</t>
  </si>
  <si>
    <t>08</t>
  </si>
  <si>
    <t>05</t>
  </si>
  <si>
    <t>02</t>
  </si>
  <si>
    <t>06</t>
  </si>
  <si>
    <t>07</t>
  </si>
  <si>
    <t>Magdalena del Mar</t>
  </si>
  <si>
    <t>San Isidro</t>
  </si>
  <si>
    <t>Santa María del Mar</t>
  </si>
  <si>
    <t>Punta Hermosa</t>
  </si>
  <si>
    <t>Pucusana</t>
  </si>
  <si>
    <t>Punta Negra</t>
  </si>
  <si>
    <t>Lurín</t>
  </si>
  <si>
    <t>Pachacámac</t>
  </si>
  <si>
    <t>Surquillo</t>
  </si>
  <si>
    <t>Villa El Salvador</t>
  </si>
  <si>
    <t>La Molina</t>
  </si>
  <si>
    <t>Jesús María</t>
  </si>
  <si>
    <t>Pueblo Libre</t>
  </si>
  <si>
    <t>La Victoria</t>
  </si>
  <si>
    <t>San Miguel</t>
  </si>
  <si>
    <t>Lince</t>
  </si>
  <si>
    <t>San Martín de Porres</t>
  </si>
  <si>
    <t>San Juan de Lurigancho</t>
  </si>
  <si>
    <t>El Agustino</t>
  </si>
  <si>
    <t>San Luis</t>
  </si>
  <si>
    <t>Cieneguilla</t>
  </si>
  <si>
    <t>San Juan de Miraflores</t>
  </si>
  <si>
    <t>Villa María del Triunfo</t>
  </si>
  <si>
    <t>Santa Rosa</t>
  </si>
  <si>
    <t>San Bartolo</t>
  </si>
  <si>
    <t>Independencia</t>
  </si>
  <si>
    <t>Lurigancho</t>
  </si>
  <si>
    <t>Santa Eulalia</t>
  </si>
  <si>
    <t>Santiago de Surco</t>
  </si>
  <si>
    <t>Comas</t>
  </si>
  <si>
    <t>Ricardo Palma</t>
  </si>
  <si>
    <t>Los Olivos</t>
  </si>
  <si>
    <t>Santa Anita</t>
  </si>
  <si>
    <t>03</t>
  </si>
  <si>
    <t>Cercado Callao</t>
  </si>
  <si>
    <t>Bellavista</t>
  </si>
  <si>
    <t>Carmen de la Legua</t>
  </si>
  <si>
    <t>La Perla</t>
  </si>
  <si>
    <t>La Punta</t>
  </si>
  <si>
    <t>Ventanilla</t>
  </si>
  <si>
    <t>9901</t>
  </si>
  <si>
    <t>9902</t>
  </si>
  <si>
    <t>9903</t>
  </si>
  <si>
    <t>9904</t>
  </si>
  <si>
    <t>9905</t>
  </si>
  <si>
    <t>9906</t>
  </si>
  <si>
    <t>Amazonas</t>
  </si>
  <si>
    <t>Ancash</t>
  </si>
  <si>
    <t>Apurímac</t>
  </si>
  <si>
    <t>Arequipa</t>
  </si>
  <si>
    <t>Ayacucho</t>
  </si>
  <si>
    <t>Cajamarca</t>
  </si>
  <si>
    <t>Cusco</t>
  </si>
  <si>
    <t>Huancavelica</t>
  </si>
  <si>
    <t>Huánuco</t>
  </si>
  <si>
    <t>Ica</t>
  </si>
  <si>
    <t>Junín</t>
  </si>
  <si>
    <t>Lambayeque</t>
  </si>
  <si>
    <t>Loreto</t>
  </si>
  <si>
    <t>Moquegua</t>
  </si>
  <si>
    <t>Pasco</t>
  </si>
  <si>
    <t>Piura</t>
  </si>
  <si>
    <t>Puno</t>
  </si>
  <si>
    <t>Tacna</t>
  </si>
  <si>
    <t>Tumbes</t>
  </si>
  <si>
    <t>Ucayali</t>
  </si>
  <si>
    <t>La Libertad</t>
  </si>
  <si>
    <t>Madre de Dios</t>
  </si>
  <si>
    <t>San Martín</t>
  </si>
  <si>
    <t>codido</t>
  </si>
  <si>
    <t>Distrito</t>
  </si>
  <si>
    <t>Departamento</t>
  </si>
  <si>
    <t>Cajatambo</t>
  </si>
  <si>
    <t>Cañete</t>
  </si>
  <si>
    <t>Canta</t>
  </si>
  <si>
    <t>Huaura</t>
  </si>
  <si>
    <t>Oyón</t>
  </si>
  <si>
    <t>Yauyos</t>
  </si>
  <si>
    <t>Barranca</t>
  </si>
  <si>
    <t>Huarochiri</t>
  </si>
  <si>
    <t>Provincia</t>
  </si>
  <si>
    <t>ID</t>
  </si>
  <si>
    <t>BARRANCA</t>
  </si>
  <si>
    <t>HUAURA</t>
  </si>
  <si>
    <t>YAUYOS</t>
  </si>
  <si>
    <t>CAJATAMBO</t>
  </si>
  <si>
    <t>CANETE</t>
  </si>
  <si>
    <t>CANTA</t>
  </si>
  <si>
    <t>HAROCHIRI</t>
  </si>
  <si>
    <t>OYON</t>
  </si>
  <si>
    <t>CALLAO</t>
  </si>
  <si>
    <t>LIMA</t>
  </si>
  <si>
    <t>claudio</t>
  </si>
  <si>
    <t>claudio quispe</t>
  </si>
  <si>
    <t>lima</t>
  </si>
  <si>
    <t>cliente-empleado-proveedor</t>
  </si>
  <si>
    <t xml:space="preserve">  telefono INT(9),</t>
  </si>
  <si>
    <t xml:space="preserve">  razonsocial_persona VARCHAR(100),</t>
  </si>
  <si>
    <t xml:space="preserve">  persona_tipo VARCHAR(20),</t>
  </si>
  <si>
    <t>FRUTAS</t>
  </si>
  <si>
    <t>MANZANA</t>
  </si>
  <si>
    <t>MANZANA CHILENA</t>
  </si>
  <si>
    <t>MZCHID</t>
  </si>
  <si>
    <t>IDFRUTAS</t>
  </si>
  <si>
    <t>FT</t>
  </si>
  <si>
    <t>001-100</t>
  </si>
  <si>
    <t xml:space="preserve">  FOREIGN KEY (persona_tipo) REFERENCES Persona(persona_tipo),</t>
  </si>
  <si>
    <t xml:space="preserve">  documento_tipo VARCHAR PRIMARY KEY, </t>
  </si>
  <si>
    <t xml:space="preserve">  FOREIGN KEY (precio FLOAT) REFERENCES Producto(precio FLOAT),</t>
  </si>
  <si>
    <t xml:space="preserve">  nombre_subcategoria VARCHAR(100)</t>
  </si>
  <si>
    <t xml:space="preserve">  total FLOAT, </t>
  </si>
  <si>
    <t xml:space="preserve">  pv FLOAT,</t>
  </si>
  <si>
    <t xml:space="preserve">  pc FLOAT,</t>
  </si>
  <si>
    <t>c001</t>
  </si>
  <si>
    <t xml:space="preserve">  producto_id VARCHAR,</t>
  </si>
  <si>
    <t xml:space="preserve">  producto_id VARCHAR PRIMARY KEY,</t>
  </si>
  <si>
    <t xml:space="preserve">  cantidad_c INT,</t>
  </si>
  <si>
    <t xml:space="preserve">  cantidad_v INT,</t>
  </si>
  <si>
    <t xml:space="preserve">  FOREIGN KEY (cantidad_c) REFERENCES Pedido(pedido_id)</t>
  </si>
  <si>
    <t xml:space="preserve">  FOREIGN KEY (cantidad_v) REFERENCES Pedido(pedido_id)</t>
  </si>
  <si>
    <t>VENTA</t>
  </si>
  <si>
    <t>COMPRA</t>
  </si>
  <si>
    <t>002-200</t>
  </si>
  <si>
    <t>c002</t>
  </si>
  <si>
    <t xml:space="preserve">  sctok_actual INT,</t>
  </si>
  <si>
    <t xml:space="preserve">  documento_id INT, </t>
  </si>
  <si>
    <t xml:space="preserve">  FOREIGN KEY (pedido_id) REFERENCES Pedido(pedido_id)</t>
  </si>
  <si>
    <t>Mes:</t>
  </si>
  <si>
    <t>Persp.</t>
  </si>
  <si>
    <t>Cod.</t>
  </si>
  <si>
    <t>Objetivo</t>
  </si>
  <si>
    <t>Indicadores</t>
  </si>
  <si>
    <t>Responsable del 
Indicador</t>
  </si>
  <si>
    <t>Responsable de 
la medición</t>
  </si>
  <si>
    <t>Formula</t>
  </si>
  <si>
    <t>Unidad
Medida</t>
  </si>
  <si>
    <t>Limites</t>
  </si>
  <si>
    <t>Mes Evaluado</t>
  </si>
  <si>
    <t>Acumulado al mes</t>
  </si>
  <si>
    <t>Var 1. %</t>
  </si>
  <si>
    <t>Var 2. %</t>
  </si>
  <si>
    <t>Acumulado</t>
  </si>
  <si>
    <t>Var. 1 %</t>
  </si>
  <si>
    <t>Var. 2 %</t>
  </si>
  <si>
    <t>PPTO anual</t>
  </si>
  <si>
    <t>% Avance</t>
  </si>
  <si>
    <t xml:space="preserve">Superior </t>
  </si>
  <si>
    <t>Intermedio
 Sup</t>
  </si>
  <si>
    <t>Intermedio
 Inf</t>
  </si>
  <si>
    <t>Inferior</t>
  </si>
  <si>
    <t>Resultado</t>
  </si>
  <si>
    <t>Perform</t>
  </si>
  <si>
    <t>Periodo Anterior</t>
  </si>
  <si>
    <t>Periodo Actual</t>
  </si>
  <si>
    <t>PPTO      inicial</t>
  </si>
  <si>
    <t>FINANCIERA</t>
  </si>
  <si>
    <t>PF01-A</t>
  </si>
  <si>
    <t>PF01-B</t>
  </si>
  <si>
    <t>PF02</t>
  </si>
  <si>
    <t>PF03</t>
  </si>
  <si>
    <t>PF06</t>
  </si>
  <si>
    <t>PF07</t>
  </si>
  <si>
    <t>PF07A</t>
  </si>
  <si>
    <t>PF08-A</t>
  </si>
  <si>
    <t>PF08-B</t>
  </si>
  <si>
    <t>PF09</t>
  </si>
  <si>
    <t>PF09-A</t>
  </si>
  <si>
    <t>PF09-B</t>
  </si>
  <si>
    <t>PF09-C</t>
  </si>
  <si>
    <t>PF10</t>
  </si>
  <si>
    <t>PF11-A</t>
  </si>
  <si>
    <t>PF12</t>
  </si>
  <si>
    <t>CLIENTE</t>
  </si>
  <si>
    <t>PC03-A</t>
  </si>
  <si>
    <t>PC03-B</t>
  </si>
  <si>
    <t>PC03-C</t>
  </si>
  <si>
    <t>PC03-D</t>
  </si>
  <si>
    <t>PC04-A</t>
  </si>
  <si>
    <t>PC04-B</t>
  </si>
  <si>
    <t>PC04-C</t>
  </si>
  <si>
    <t>% Participación de mercado $ (Mercado Total)</t>
  </si>
  <si>
    <t>Venta Empresa / Venta Mercado Total</t>
  </si>
  <si>
    <t>PC04-D</t>
  </si>
  <si>
    <t>% Participación de mercado TM (Mercado Total)</t>
  </si>
  <si>
    <t>PC05</t>
  </si>
  <si>
    <t>PC06</t>
  </si>
  <si>
    <t>PC07</t>
  </si>
  <si>
    <t>PROCESOS INTERNOS</t>
  </si>
  <si>
    <t>PPI02</t>
  </si>
  <si>
    <t>PPI04</t>
  </si>
  <si>
    <t>PPI07</t>
  </si>
  <si>
    <t>PPI09</t>
  </si>
  <si>
    <t>PPI11</t>
  </si>
  <si>
    <t>PPI11-B</t>
  </si>
  <si>
    <t>PPI2-A</t>
  </si>
  <si>
    <t>PPI2-B</t>
  </si>
  <si>
    <t>PPI31</t>
  </si>
  <si>
    <t>PPI4</t>
  </si>
  <si>
    <t>PP15MP</t>
  </si>
  <si>
    <t>PPI5ME</t>
  </si>
  <si>
    <t>PPI5PT</t>
  </si>
  <si>
    <t>PPI15-D</t>
  </si>
  <si>
    <t>PPI6</t>
  </si>
  <si>
    <t>PPI17</t>
  </si>
  <si>
    <t>PPI18</t>
  </si>
  <si>
    <t>PPI19</t>
  </si>
  <si>
    <t>PPI20</t>
  </si>
  <si>
    <t>PPI21</t>
  </si>
  <si>
    <t>PPI22-3</t>
  </si>
  <si>
    <t>PPI22-1</t>
  </si>
  <si>
    <t>PPI22-2</t>
  </si>
  <si>
    <t>PAC01</t>
  </si>
  <si>
    <t>PCA03</t>
  </si>
  <si>
    <t>PCA04</t>
  </si>
  <si>
    <t>PCA05</t>
  </si>
  <si>
    <t>PCA06</t>
  </si>
  <si>
    <t>PCA08-A</t>
  </si>
  <si>
    <t>PCA08-B</t>
  </si>
  <si>
    <t>PCA08-C</t>
  </si>
  <si>
    <t>PCA08-D</t>
  </si>
  <si>
    <t>PCA08-E</t>
  </si>
  <si>
    <t>PCA08-F</t>
  </si>
  <si>
    <t>PCA08-G</t>
  </si>
  <si>
    <t>PCA09-A</t>
  </si>
  <si>
    <t>PCA09-B</t>
  </si>
  <si>
    <t>PCA09-C</t>
  </si>
  <si>
    <t>PCA09-D</t>
  </si>
  <si>
    <t>PCA09-E</t>
  </si>
  <si>
    <t>PCA10</t>
  </si>
  <si>
    <t>PCA11</t>
  </si>
  <si>
    <t>SubFormulas</t>
  </si>
  <si>
    <t>Periodo Promedio de Inventario = (Inventario Inicial + Inventario Final) / 2 / Costo de Ventas Diario</t>
  </si>
  <si>
    <t>Periodo Promedio de Pago = (Cuentas por Pagar / Compras Diarias)</t>
  </si>
  <si>
    <t>Periodo Promedio de Cobro = (Cuentas por Cobrar / Ventas Diarias)</t>
  </si>
  <si>
    <t>Ciclo de Caja = Periodo Promedio de Inventario + Periodo Promedio de Cobro - Periodo Promedio de Pago</t>
  </si>
  <si>
    <t>Grado de Endeudamiento = Deuda Total / Capital Total</t>
  </si>
  <si>
    <t>documento_id</t>
  </si>
  <si>
    <t>documento_tipo</t>
  </si>
  <si>
    <t>numero_documento_id</t>
  </si>
  <si>
    <t>documento_estado</t>
  </si>
  <si>
    <t>fecha_emision</t>
  </si>
  <si>
    <t>fecha_pago</t>
  </si>
  <si>
    <t>documento_afecto</t>
  </si>
  <si>
    <t>tasa_tipo</t>
  </si>
  <si>
    <t>total</t>
  </si>
  <si>
    <t>subtotal</t>
  </si>
  <si>
    <t>imp_gravado</t>
  </si>
  <si>
    <t>imp_nogravado</t>
  </si>
  <si>
    <t>SI</t>
  </si>
  <si>
    <t>002-2023</t>
  </si>
  <si>
    <t>BV</t>
  </si>
  <si>
    <t>RC</t>
  </si>
  <si>
    <t>Documentos</t>
  </si>
  <si>
    <t>pedido_id</t>
  </si>
  <si>
    <t>estado</t>
  </si>
  <si>
    <t>cantidad_vendida</t>
  </si>
  <si>
    <t>cantidad_comprada</t>
  </si>
  <si>
    <t>pv</t>
  </si>
  <si>
    <t>pc</t>
  </si>
  <si>
    <t>total_vendido</t>
  </si>
  <si>
    <t>total_comprado</t>
  </si>
  <si>
    <t>pedido_notas</t>
  </si>
  <si>
    <t>persona_id</t>
  </si>
  <si>
    <t>Pendiente</t>
  </si>
  <si>
    <t>43959102-1</t>
  </si>
  <si>
    <t>Facturado</t>
  </si>
  <si>
    <t>Completado</t>
  </si>
  <si>
    <t>49308844-0</t>
  </si>
  <si>
    <t>3563614-5</t>
  </si>
  <si>
    <t>8856331-K</t>
  </si>
  <si>
    <t>2897404-3</t>
  </si>
  <si>
    <t>44384572-0</t>
  </si>
  <si>
    <t>21577158-K</t>
  </si>
  <si>
    <t>7232108-1</t>
  </si>
  <si>
    <t>48157779-9</t>
  </si>
  <si>
    <t>17200612-4</t>
  </si>
  <si>
    <t>20849768-5</t>
  </si>
  <si>
    <t>34214108-0</t>
  </si>
  <si>
    <t>7352822-4</t>
  </si>
  <si>
    <t>34300632-2</t>
  </si>
  <si>
    <t>producto_id</t>
  </si>
  <si>
    <t>nombre_producto</t>
  </si>
  <si>
    <t>descripcion</t>
  </si>
  <si>
    <t>precio</t>
  </si>
  <si>
    <t>categoria_id</t>
  </si>
  <si>
    <t>"Refrigeradora"</t>
  </si>
  <si>
    <t>"Refrigeradora de acero inoxidable con capacidad de 500 litros."</t>
  </si>
  <si>
    <t>"CAT01"</t>
  </si>
  <si>
    <t>"Televisor LED"</t>
  </si>
  <si>
    <t>"Televisor LED de 55 pulgadas con resolución 4K Ultra HD."</t>
  </si>
  <si>
    <t>"CAT02"</t>
  </si>
  <si>
    <t>"Máquina CNC"</t>
  </si>
  <si>
    <t>"Máquina CNC de alta precisión para el corte y mecanizado de piezas metálicas."</t>
  </si>
  <si>
    <t>"CAT03"</t>
  </si>
  <si>
    <t>"Empacadora Automática"</t>
  </si>
  <si>
    <t>"Empacadora automática para embalaje de productos en cajas de cartón."</t>
  </si>
  <si>
    <t>"CAT04"</t>
  </si>
  <si>
    <t>"Sistema de Navegación GPS"</t>
  </si>
  <si>
    <t>"Sistema de navegación GPS para vehículos con pantalla táctil y actualizaciones en tiempo real."</t>
  </si>
  <si>
    <t>"CAT05"</t>
  </si>
  <si>
    <t>"Circuito Integrado"</t>
  </si>
  <si>
    <t>"Circuito integrado de alta potencia para sistemas electrónicos avanzados."</t>
  </si>
  <si>
    <t>"CAT06"</t>
  </si>
  <si>
    <t>"Automóvil Eléctrico"</t>
  </si>
  <si>
    <t>"Automóvil eléctrico con una autonomía de 400 km por carga."</t>
  </si>
  <si>
    <t>"CAT07"</t>
  </si>
  <si>
    <t>"Camión de Carga"</t>
  </si>
  <si>
    <t>"Camión de carga con capacidad para transportar 10 toneladas de carga."</t>
  </si>
  <si>
    <t>"CAT08"</t>
  </si>
  <si>
    <t>"Teléfono Inteligente"</t>
  </si>
  <si>
    <t>"Teléfono inteligente con pantalla OLED y cámara de alta resolución."</t>
  </si>
  <si>
    <t>"CAT09"</t>
  </si>
  <si>
    <t>"Sistema de Audio"</t>
  </si>
  <si>
    <t>"Sistema de audio para el hogar con sonido envolvente y conectividad Bluetooth."</t>
  </si>
  <si>
    <t>"CAT10"</t>
  </si>
  <si>
    <t>"Computadora Portátil"</t>
  </si>
  <si>
    <t>"Computadora portátil con procesador de última generación y disco de estado sólido."</t>
  </si>
  <si>
    <t>"CAT11"</t>
  </si>
  <si>
    <t>"Impresora 3D"</t>
  </si>
  <si>
    <t>"Impresora 3D de alta precisión para prototipado y fabricación aditiva."</t>
  </si>
  <si>
    <t>"Robot Aspiradora"</t>
  </si>
  <si>
    <t>"Robot aspiradora con mapeo inteligente y función de limpieza programada."</t>
  </si>
  <si>
    <t>"Drone con Cámara"</t>
  </si>
  <si>
    <t>"Drone con cámara de alta definición y funciones de seguimiento automático."</t>
  </si>
  <si>
    <t>"Monitor Gaming"</t>
  </si>
  <si>
    <t>"Monitor gaming de 27 pulgadas con frecuencia de actualización de 144Hz."</t>
  </si>
  <si>
    <t>"Batería Solar"</t>
  </si>
  <si>
    <t>"Batería solar de alta capacidad para sistemas de energía renovable."</t>
  </si>
  <si>
    <t>"Escáner de Documentos"</t>
  </si>
  <si>
    <t>"Escáner de documentos de alta velocidad y escaneo a doble cara."</t>
  </si>
  <si>
    <t>"Altavoz Bluetooth"</t>
  </si>
  <si>
    <t>"Altavoz Bluetooth portátil con resistencia al agua y larga duración de la batería."</t>
  </si>
  <si>
    <t>"Laptop Gaming"</t>
  </si>
  <si>
    <t>"Laptop gaming con tarjeta gráfica dedicada y teclado retroiluminado."</t>
  </si>
  <si>
    <t>001-001</t>
  </si>
  <si>
    <t>001-002</t>
  </si>
  <si>
    <t>001-003</t>
  </si>
  <si>
    <t>001-004</t>
  </si>
  <si>
    <t>001-005</t>
  </si>
  <si>
    <t>001-006</t>
  </si>
  <si>
    <t>002-007</t>
  </si>
  <si>
    <t>010-1001</t>
  </si>
  <si>
    <t>001-7</t>
  </si>
  <si>
    <t>003-005</t>
  </si>
  <si>
    <t>004-005</t>
  </si>
  <si>
    <t>005-006</t>
  </si>
  <si>
    <t>ESTADO_ID</t>
  </si>
  <si>
    <t>NO</t>
  </si>
  <si>
    <t>CATEGORIA</t>
  </si>
  <si>
    <t>inventario_id</t>
  </si>
  <si>
    <t>stock_inicial</t>
  </si>
  <si>
    <t>stock_actual</t>
  </si>
  <si>
    <t>inventario_nota</t>
  </si>
  <si>
    <t>operaciones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</si>
</sst>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C0A]mmm\-yy;@"/>
    <numFmt numFmtId="165" formatCode="0.0%"/>
    <numFmt numFmtId="166" formatCode="0.0"/>
    <numFmt numFmtId="167" formatCode="#,##0.0"/>
  </numFmts>
  <fonts count="3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.6"/>
      <color rgb="FF374151"/>
      <name val="Segoe UI"/>
      <family val="2"/>
    </font>
    <font>
      <sz val="9.6"/>
      <color rgb="FF374151"/>
      <name val="Segoe UI"/>
      <family val="2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.6"/>
      <name val="Segoe UI"/>
      <family val="2"/>
    </font>
    <font>
      <sz val="11"/>
      <color indexed="8"/>
      <name val="Calibri"/>
      <family val="2"/>
    </font>
    <font>
      <b/>
      <sz val="12"/>
      <color indexed="9"/>
      <name val="Arial"/>
      <family val="2"/>
    </font>
    <font>
      <b/>
      <sz val="16"/>
      <color indexed="9"/>
      <name val="Arial"/>
      <family val="2"/>
    </font>
    <font>
      <b/>
      <sz val="9"/>
      <color indexed="9"/>
      <name val="Arial"/>
      <family val="2"/>
    </font>
    <font>
      <b/>
      <sz val="18"/>
      <color indexed="9"/>
      <name val="Arial"/>
      <family val="2"/>
    </font>
    <font>
      <b/>
      <sz val="8"/>
      <name val="Tahoma"/>
      <family val="2"/>
    </font>
    <font>
      <b/>
      <sz val="8"/>
      <name val="Arial"/>
      <family val="2"/>
    </font>
    <font>
      <b/>
      <sz val="8"/>
      <color indexed="8"/>
      <name val="Calibri"/>
      <family val="2"/>
    </font>
    <font>
      <sz val="9"/>
      <name val="Arial"/>
      <family val="2"/>
    </font>
    <font>
      <sz val="12"/>
      <color indexed="11"/>
      <name val="Webdings"/>
      <family val="1"/>
      <charset val="2"/>
    </font>
    <font>
      <sz val="12"/>
      <color indexed="13"/>
      <name val="Webdings"/>
      <family val="1"/>
      <charset val="2"/>
    </font>
    <font>
      <sz val="12"/>
      <color indexed="10"/>
      <name val="Webdings"/>
      <family val="1"/>
      <charset val="2"/>
    </font>
    <font>
      <sz val="8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sz val="12"/>
      <color indexed="20"/>
      <name val="Webdings"/>
      <family val="1"/>
      <charset val="2"/>
    </font>
    <font>
      <b/>
      <sz val="8"/>
      <color indexed="9"/>
      <name val="Arial"/>
      <family val="2"/>
    </font>
    <font>
      <b/>
      <sz val="8"/>
      <color indexed="13"/>
      <name val="Arial"/>
      <family val="2"/>
    </font>
    <font>
      <b/>
      <sz val="8"/>
      <name val="Calibri"/>
      <family val="2"/>
    </font>
    <font>
      <b/>
      <sz val="9"/>
      <color indexed="10"/>
      <name val="Arial"/>
      <family val="2"/>
    </font>
    <font>
      <sz val="9"/>
      <color indexed="13"/>
      <name val="Webdings"/>
      <family val="1"/>
      <charset val="2"/>
    </font>
    <font>
      <sz val="9.6"/>
      <color rgb="FF374151"/>
      <name val="Segoe UI"/>
      <family val="2"/>
    </font>
    <font>
      <sz val="8"/>
      <name val="Calibri"/>
      <family val="2"/>
      <scheme val="minor"/>
    </font>
    <font>
      <sz val="9.6"/>
      <color rgb="FFFF0000"/>
      <name val="Segoe UI"/>
      <family val="2"/>
    </font>
    <font>
      <u/>
      <sz val="9.6"/>
      <color rgb="FF374151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7F7F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</fills>
  <borders count="50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9"/>
      </bottom>
      <diagonal/>
    </border>
    <border>
      <left style="medium">
        <color indexed="64"/>
      </left>
      <right style="thin">
        <color indexed="64"/>
      </right>
      <top/>
      <bottom style="medium">
        <color indexed="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9"/>
      </left>
      <right style="thin">
        <color indexed="64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9"/>
      </left>
      <right style="thin">
        <color indexed="64"/>
      </right>
      <top/>
      <bottom style="medium">
        <color indexed="9"/>
      </bottom>
      <diagonal/>
    </border>
    <border>
      <left style="medium">
        <color indexed="9"/>
      </left>
      <right style="medium">
        <color indexed="9"/>
      </right>
      <top/>
      <bottom/>
      <diagonal/>
    </border>
    <border>
      <left style="medium">
        <color indexed="9"/>
      </left>
      <right style="medium">
        <color indexed="9"/>
      </right>
      <top/>
      <bottom style="medium">
        <color indexed="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9"/>
      </left>
      <right/>
      <top style="medium">
        <color indexed="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9"/>
      </left>
      <right style="medium">
        <color indexed="9"/>
      </right>
      <top/>
      <bottom style="medium">
        <color indexed="64"/>
      </bottom>
      <diagonal/>
    </border>
    <border>
      <left style="medium">
        <color indexed="64"/>
      </left>
      <right style="medium">
        <color indexed="9"/>
      </right>
      <top style="medium">
        <color indexed="64"/>
      </top>
      <bottom/>
      <diagonal/>
    </border>
    <border>
      <left style="medium">
        <color indexed="64"/>
      </left>
      <right style="medium">
        <color indexed="9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9"/>
      </right>
      <top/>
      <bottom style="medium">
        <color indexed="9"/>
      </bottom>
      <diagonal/>
    </border>
    <border>
      <left style="medium">
        <color indexed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9"/>
      </left>
      <right/>
      <top/>
      <bottom/>
      <diagonal/>
    </border>
    <border>
      <left style="medium">
        <color rgb="FFD9D9E3"/>
      </left>
      <right style="medium">
        <color rgb="FFD9D9E3"/>
      </right>
      <top/>
      <bottom/>
      <diagonal/>
    </border>
    <border>
      <left style="medium">
        <color rgb="FFD9D9E3"/>
      </left>
      <right/>
      <top/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8" fillId="0" borderId="0"/>
  </cellStyleXfs>
  <cellXfs count="225">
    <xf numFmtId="0" fontId="0" fillId="0" borderId="0" xfId="0"/>
    <xf numFmtId="0" fontId="0" fillId="2" borderId="0" xfId="0" applyFill="1"/>
    <xf numFmtId="0" fontId="0" fillId="3" borderId="0" xfId="0" applyFill="1"/>
    <xf numFmtId="0" fontId="3" fillId="4" borderId="1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  <xf numFmtId="0" fontId="5" fillId="0" borderId="0" xfId="0" applyFont="1"/>
    <xf numFmtId="49" fontId="0" fillId="0" borderId="0" xfId="0" applyNumberFormat="1"/>
    <xf numFmtId="0" fontId="1" fillId="3" borderId="0" xfId="0" applyFont="1" applyFill="1"/>
    <xf numFmtId="0" fontId="4" fillId="4" borderId="0" xfId="0" applyFont="1" applyFill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1" fillId="0" borderId="0" xfId="0" applyFont="1"/>
    <xf numFmtId="0" fontId="2" fillId="0" borderId="0" xfId="0" applyFont="1"/>
    <xf numFmtId="0" fontId="4" fillId="5" borderId="3" xfId="0" applyFont="1" applyFill="1" applyBorder="1" applyAlignment="1">
      <alignment vertical="center" wrapText="1"/>
    </xf>
    <xf numFmtId="14" fontId="4" fillId="3" borderId="3" xfId="0" applyNumberFormat="1" applyFont="1" applyFill="1" applyBorder="1" applyAlignment="1">
      <alignment vertical="center" wrapText="1"/>
    </xf>
    <xf numFmtId="0" fontId="2" fillId="3" borderId="0" xfId="0" applyFont="1" applyFill="1"/>
    <xf numFmtId="0" fontId="5" fillId="3" borderId="0" xfId="0" applyFont="1" applyFill="1"/>
    <xf numFmtId="49" fontId="0" fillId="0" borderId="5" xfId="0" applyNumberFormat="1" applyBorder="1"/>
    <xf numFmtId="49" fontId="5" fillId="0" borderId="0" xfId="0" applyNumberFormat="1" applyFont="1"/>
    <xf numFmtId="0" fontId="9" fillId="6" borderId="0" xfId="2" applyFont="1" applyFill="1" applyAlignment="1">
      <alignment horizontal="center" vertical="center"/>
    </xf>
    <xf numFmtId="164" fontId="10" fillId="6" borderId="0" xfId="2" applyNumberFormat="1" applyFont="1" applyFill="1" applyAlignment="1" applyProtection="1">
      <alignment horizontal="center" vertical="center"/>
      <protection locked="0"/>
    </xf>
    <xf numFmtId="16" fontId="11" fillId="6" borderId="0" xfId="2" applyNumberFormat="1" applyFont="1" applyFill="1" applyAlignment="1">
      <alignment horizontal="center" vertical="center"/>
    </xf>
    <xf numFmtId="16" fontId="10" fillId="6" borderId="0" xfId="2" applyNumberFormat="1" applyFont="1" applyFill="1" applyAlignment="1">
      <alignment horizontal="center" vertical="center"/>
    </xf>
    <xf numFmtId="0" fontId="10" fillId="6" borderId="0" xfId="2" applyFont="1" applyFill="1" applyAlignment="1">
      <alignment horizontal="center" vertical="center"/>
    </xf>
    <xf numFmtId="0" fontId="12" fillId="6" borderId="0" xfId="2" applyFont="1" applyFill="1" applyAlignment="1">
      <alignment horizontal="center" vertical="center"/>
    </xf>
    <xf numFmtId="0" fontId="10" fillId="6" borderId="0" xfId="2" applyFont="1" applyFill="1" applyAlignment="1">
      <alignment vertical="center"/>
    </xf>
    <xf numFmtId="0" fontId="12" fillId="6" borderId="0" xfId="2" applyFont="1" applyFill="1" applyAlignment="1">
      <alignment vertical="center"/>
    </xf>
    <xf numFmtId="0" fontId="14" fillId="7" borderId="25" xfId="2" applyFont="1" applyFill="1" applyBorder="1" applyAlignment="1">
      <alignment horizontal="center" vertical="center"/>
    </xf>
    <xf numFmtId="0" fontId="14" fillId="7" borderId="25" xfId="2" applyFont="1" applyFill="1" applyBorder="1" applyAlignment="1">
      <alignment horizontal="center" vertical="center" wrapText="1"/>
    </xf>
    <xf numFmtId="0" fontId="14" fillId="7" borderId="10" xfId="2" applyFont="1" applyFill="1" applyBorder="1" applyAlignment="1">
      <alignment horizontal="center" vertical="center"/>
    </xf>
    <xf numFmtId="0" fontId="14" fillId="7" borderId="26" xfId="2" applyFont="1" applyFill="1" applyBorder="1" applyAlignment="1">
      <alignment horizontal="center" vertical="center"/>
    </xf>
    <xf numFmtId="0" fontId="14" fillId="7" borderId="10" xfId="2" applyFont="1" applyFill="1" applyBorder="1" applyAlignment="1">
      <alignment horizontal="center" vertical="center" wrapText="1"/>
    </xf>
    <xf numFmtId="0" fontId="14" fillId="8" borderId="29" xfId="0" applyFont="1" applyFill="1" applyBorder="1" applyAlignment="1">
      <alignment vertical="center" wrapText="1"/>
    </xf>
    <xf numFmtId="0" fontId="14" fillId="8" borderId="29" xfId="0" applyFont="1" applyFill="1" applyBorder="1" applyAlignment="1">
      <alignment horizontal="center" vertical="center" wrapText="1"/>
    </xf>
    <xf numFmtId="0" fontId="14" fillId="8" borderId="31" xfId="0" applyFont="1" applyFill="1" applyBorder="1" applyAlignment="1">
      <alignment horizontal="center" vertical="center" wrapText="1"/>
    </xf>
    <xf numFmtId="9" fontId="16" fillId="9" borderId="32" xfId="1" applyFont="1" applyFill="1" applyBorder="1" applyAlignment="1">
      <alignment horizontal="center" vertical="center"/>
    </xf>
    <xf numFmtId="165" fontId="16" fillId="9" borderId="32" xfId="1" applyNumberFormat="1" applyFont="1" applyFill="1" applyBorder="1" applyAlignment="1">
      <alignment horizontal="center" vertical="center"/>
    </xf>
    <xf numFmtId="165" fontId="14" fillId="10" borderId="5" xfId="2" applyNumberFormat="1" applyFont="1" applyFill="1" applyBorder="1" applyAlignment="1">
      <alignment horizontal="center" vertical="center"/>
    </xf>
    <xf numFmtId="38" fontId="17" fillId="11" borderId="5" xfId="0" applyNumberFormat="1" applyFont="1" applyFill="1" applyBorder="1" applyAlignment="1">
      <alignment horizontal="center" vertical="center"/>
    </xf>
    <xf numFmtId="0" fontId="18" fillId="11" borderId="5" xfId="0" applyFont="1" applyFill="1" applyBorder="1" applyAlignment="1">
      <alignment horizontal="center" vertical="center"/>
    </xf>
    <xf numFmtId="0" fontId="19" fillId="11" borderId="5" xfId="0" applyFont="1" applyFill="1" applyBorder="1" applyAlignment="1">
      <alignment horizontal="center" vertical="center"/>
    </xf>
    <xf numFmtId="165" fontId="20" fillId="9" borderId="5" xfId="1" applyNumberFormat="1" applyFont="1" applyFill="1" applyBorder="1" applyAlignment="1">
      <alignment horizontal="center" vertical="center"/>
    </xf>
    <xf numFmtId="165" fontId="14" fillId="10" borderId="5" xfId="1" applyNumberFormat="1" applyFont="1" applyFill="1" applyBorder="1" applyAlignment="1">
      <alignment horizontal="center" vertical="center"/>
    </xf>
    <xf numFmtId="165" fontId="21" fillId="9" borderId="32" xfId="1" applyNumberFormat="1" applyFont="1" applyFill="1" applyBorder="1" applyAlignment="1">
      <alignment horizontal="center" vertical="center"/>
    </xf>
    <xf numFmtId="165" fontId="21" fillId="9" borderId="5" xfId="1" applyNumberFormat="1" applyFont="1" applyFill="1" applyBorder="1" applyAlignment="1">
      <alignment horizontal="center" vertical="center"/>
    </xf>
    <xf numFmtId="9" fontId="21" fillId="9" borderId="5" xfId="1" applyFont="1" applyFill="1" applyBorder="1" applyAlignment="1">
      <alignment horizontal="center" vertical="center"/>
    </xf>
    <xf numFmtId="0" fontId="14" fillId="8" borderId="34" xfId="0" applyFont="1" applyFill="1" applyBorder="1" applyAlignment="1">
      <alignment vertical="center" wrapText="1"/>
    </xf>
    <xf numFmtId="0" fontId="14" fillId="8" borderId="34" xfId="0" applyFont="1" applyFill="1" applyBorder="1" applyAlignment="1">
      <alignment horizontal="center" vertical="center" wrapText="1"/>
    </xf>
    <xf numFmtId="0" fontId="14" fillId="8" borderId="36" xfId="0" applyFont="1" applyFill="1" applyBorder="1" applyAlignment="1">
      <alignment horizontal="center" vertical="center" wrapText="1"/>
    </xf>
    <xf numFmtId="166" fontId="20" fillId="0" borderId="26" xfId="2" applyNumberFormat="1" applyFont="1" applyBorder="1" applyAlignment="1">
      <alignment horizontal="center" vertical="center"/>
    </xf>
    <xf numFmtId="2" fontId="20" fillId="0" borderId="26" xfId="2" applyNumberFormat="1" applyFont="1" applyBorder="1" applyAlignment="1">
      <alignment horizontal="center" vertical="center"/>
    </xf>
    <xf numFmtId="3" fontId="14" fillId="10" borderId="5" xfId="2" applyNumberFormat="1" applyFont="1" applyFill="1" applyBorder="1" applyAlignment="1">
      <alignment horizontal="center" vertical="center"/>
    </xf>
    <xf numFmtId="0" fontId="20" fillId="9" borderId="5" xfId="2" applyFont="1" applyFill="1" applyBorder="1" applyAlignment="1">
      <alignment horizontal="center" vertical="center"/>
    </xf>
    <xf numFmtId="0" fontId="14" fillId="10" borderId="5" xfId="2" applyFont="1" applyFill="1" applyBorder="1" applyAlignment="1">
      <alignment horizontal="center" vertical="center"/>
    </xf>
    <xf numFmtId="9" fontId="22" fillId="9" borderId="32" xfId="1" applyFont="1" applyFill="1" applyBorder="1" applyAlignment="1">
      <alignment horizontal="center" vertical="center"/>
    </xf>
    <xf numFmtId="9" fontId="22" fillId="9" borderId="5" xfId="1" applyFont="1" applyFill="1" applyBorder="1" applyAlignment="1">
      <alignment horizontal="center" vertical="center"/>
    </xf>
    <xf numFmtId="166" fontId="14" fillId="10" borderId="5" xfId="2" applyNumberFormat="1" applyFont="1" applyFill="1" applyBorder="1" applyAlignment="1">
      <alignment horizontal="center" vertical="center"/>
    </xf>
    <xf numFmtId="0" fontId="23" fillId="11" borderId="5" xfId="0" applyFont="1" applyFill="1" applyBorder="1" applyAlignment="1">
      <alignment horizontal="center" vertical="center"/>
    </xf>
    <xf numFmtId="166" fontId="20" fillId="9" borderId="5" xfId="2" applyNumberFormat="1" applyFont="1" applyFill="1" applyBorder="1" applyAlignment="1">
      <alignment horizontal="center" vertical="center"/>
    </xf>
    <xf numFmtId="166" fontId="21" fillId="9" borderId="32" xfId="1" applyNumberFormat="1" applyFont="1" applyFill="1" applyBorder="1" applyAlignment="1">
      <alignment horizontal="center" vertical="center"/>
    </xf>
    <xf numFmtId="166" fontId="21" fillId="9" borderId="5" xfId="1" applyNumberFormat="1" applyFont="1" applyFill="1" applyBorder="1" applyAlignment="1">
      <alignment horizontal="center" vertical="center"/>
    </xf>
    <xf numFmtId="165" fontId="16" fillId="9" borderId="5" xfId="0" applyNumberFormat="1" applyFont="1" applyFill="1" applyBorder="1" applyAlignment="1">
      <alignment horizontal="center" vertical="center"/>
    </xf>
    <xf numFmtId="9" fontId="16" fillId="9" borderId="5" xfId="0" applyNumberFormat="1" applyFont="1" applyFill="1" applyBorder="1" applyAlignment="1">
      <alignment horizontal="center" vertical="center"/>
    </xf>
    <xf numFmtId="1" fontId="21" fillId="9" borderId="5" xfId="1" applyNumberFormat="1" applyFont="1" applyFill="1" applyBorder="1" applyAlignment="1">
      <alignment horizontal="center" vertical="center"/>
    </xf>
    <xf numFmtId="167" fontId="21" fillId="9" borderId="32" xfId="1" applyNumberFormat="1" applyFont="1" applyFill="1" applyBorder="1" applyAlignment="1">
      <alignment horizontal="center" vertical="center"/>
    </xf>
    <xf numFmtId="167" fontId="21" fillId="9" borderId="5" xfId="1" applyNumberFormat="1" applyFont="1" applyFill="1" applyBorder="1" applyAlignment="1">
      <alignment horizontal="center" vertical="center"/>
    </xf>
    <xf numFmtId="165" fontId="20" fillId="0" borderId="26" xfId="1" applyNumberFormat="1" applyFont="1" applyFill="1" applyBorder="1" applyAlignment="1">
      <alignment horizontal="center" vertical="center"/>
    </xf>
    <xf numFmtId="1" fontId="16" fillId="9" borderId="32" xfId="1" applyNumberFormat="1" applyFont="1" applyFill="1" applyBorder="1" applyAlignment="1">
      <alignment horizontal="center" vertical="center"/>
    </xf>
    <xf numFmtId="1" fontId="14" fillId="10" borderId="5" xfId="2" applyNumberFormat="1" applyFont="1" applyFill="1" applyBorder="1" applyAlignment="1">
      <alignment horizontal="center" vertical="center"/>
    </xf>
    <xf numFmtId="1" fontId="20" fillId="9" borderId="5" xfId="2" applyNumberFormat="1" applyFont="1" applyFill="1" applyBorder="1" applyAlignment="1">
      <alignment horizontal="center" vertical="center"/>
    </xf>
    <xf numFmtId="1" fontId="21" fillId="9" borderId="32" xfId="1" applyNumberFormat="1" applyFont="1" applyFill="1" applyBorder="1" applyAlignment="1">
      <alignment horizontal="center" vertical="center"/>
    </xf>
    <xf numFmtId="166" fontId="16" fillId="9" borderId="32" xfId="1" applyNumberFormat="1" applyFont="1" applyFill="1" applyBorder="1" applyAlignment="1">
      <alignment horizontal="center" vertical="center"/>
    </xf>
    <xf numFmtId="166" fontId="14" fillId="10" borderId="5" xfId="1" applyNumberFormat="1" applyFont="1" applyFill="1" applyBorder="1" applyAlignment="1">
      <alignment horizontal="center" vertical="center"/>
    </xf>
    <xf numFmtId="166" fontId="20" fillId="9" borderId="5" xfId="1" applyNumberFormat="1" applyFont="1" applyFill="1" applyBorder="1" applyAlignment="1">
      <alignment horizontal="center" vertical="center"/>
    </xf>
    <xf numFmtId="0" fontId="14" fillId="8" borderId="30" xfId="0" applyFont="1" applyFill="1" applyBorder="1" applyAlignment="1">
      <alignment vertical="center" wrapText="1"/>
    </xf>
    <xf numFmtId="2" fontId="16" fillId="9" borderId="32" xfId="1" applyNumberFormat="1" applyFont="1" applyFill="1" applyBorder="1" applyAlignment="1">
      <alignment horizontal="center" vertical="center"/>
    </xf>
    <xf numFmtId="0" fontId="15" fillId="8" borderId="0" xfId="2" applyFont="1" applyFill="1" applyAlignment="1">
      <alignment horizontal="center" vertical="center" textRotation="90"/>
    </xf>
    <xf numFmtId="9" fontId="21" fillId="9" borderId="32" xfId="1" applyFont="1" applyFill="1" applyBorder="1" applyAlignment="1">
      <alignment horizontal="center" vertical="center"/>
    </xf>
    <xf numFmtId="0" fontId="24" fillId="6" borderId="29" xfId="0" applyFont="1" applyFill="1" applyBorder="1" applyAlignment="1">
      <alignment vertical="center" wrapText="1"/>
    </xf>
    <xf numFmtId="0" fontId="24" fillId="6" borderId="29" xfId="0" applyFont="1" applyFill="1" applyBorder="1" applyAlignment="1">
      <alignment horizontal="center" vertical="center" wrapText="1"/>
    </xf>
    <xf numFmtId="0" fontId="24" fillId="6" borderId="31" xfId="0" applyFont="1" applyFill="1" applyBorder="1" applyAlignment="1">
      <alignment horizontal="center" vertical="center" wrapText="1"/>
    </xf>
    <xf numFmtId="165" fontId="20" fillId="9" borderId="5" xfId="2" applyNumberFormat="1" applyFont="1" applyFill="1" applyBorder="1" applyAlignment="1">
      <alignment horizontal="center" vertical="center"/>
    </xf>
    <xf numFmtId="167" fontId="21" fillId="9" borderId="10" xfId="1" applyNumberFormat="1" applyFont="1" applyFill="1" applyBorder="1" applyAlignment="1">
      <alignment horizontal="center" vertical="center"/>
    </xf>
    <xf numFmtId="1" fontId="21" fillId="9" borderId="10" xfId="1" applyNumberFormat="1" applyFont="1" applyFill="1" applyBorder="1" applyAlignment="1">
      <alignment horizontal="center" vertical="center"/>
    </xf>
    <xf numFmtId="9" fontId="21" fillId="9" borderId="10" xfId="1" applyFont="1" applyFill="1" applyBorder="1" applyAlignment="1">
      <alignment horizontal="center" vertical="center"/>
    </xf>
    <xf numFmtId="165" fontId="21" fillId="9" borderId="10" xfId="1" applyNumberFormat="1" applyFont="1" applyFill="1" applyBorder="1" applyAlignment="1">
      <alignment horizontal="center" vertical="center"/>
    </xf>
    <xf numFmtId="0" fontId="24" fillId="6" borderId="39" xfId="0" applyFont="1" applyFill="1" applyBorder="1" applyAlignment="1">
      <alignment vertical="center" wrapText="1"/>
    </xf>
    <xf numFmtId="0" fontId="24" fillId="6" borderId="30" xfId="0" applyFont="1" applyFill="1" applyBorder="1" applyAlignment="1">
      <alignment vertical="center" wrapText="1"/>
    </xf>
    <xf numFmtId="10" fontId="20" fillId="9" borderId="5" xfId="1" applyNumberFormat="1" applyFont="1" applyFill="1" applyBorder="1" applyAlignment="1">
      <alignment horizontal="center" vertical="center"/>
    </xf>
    <xf numFmtId="10" fontId="14" fillId="10" borderId="5" xfId="2" applyNumberFormat="1" applyFont="1" applyFill="1" applyBorder="1" applyAlignment="1">
      <alignment horizontal="center" vertical="center"/>
    </xf>
    <xf numFmtId="0" fontId="19" fillId="11" borderId="40" xfId="0" applyFont="1" applyFill="1" applyBorder="1" applyAlignment="1">
      <alignment horizontal="center" vertical="center"/>
    </xf>
    <xf numFmtId="10" fontId="21" fillId="9" borderId="5" xfId="1" applyNumberFormat="1" applyFont="1" applyFill="1" applyBorder="1" applyAlignment="1">
      <alignment horizontal="center" vertical="center"/>
    </xf>
    <xf numFmtId="1" fontId="21" fillId="0" borderId="5" xfId="2" applyNumberFormat="1" applyFont="1" applyBorder="1" applyAlignment="1">
      <alignment horizontal="center" vertical="center" wrapText="1"/>
    </xf>
    <xf numFmtId="165" fontId="21" fillId="0" borderId="5" xfId="1" applyNumberFormat="1" applyFont="1" applyBorder="1" applyAlignment="1">
      <alignment horizontal="center" vertical="center" wrapText="1"/>
    </xf>
    <xf numFmtId="0" fontId="25" fillId="6" borderId="29" xfId="0" applyFont="1" applyFill="1" applyBorder="1" applyAlignment="1">
      <alignment vertical="center" wrapText="1"/>
    </xf>
    <xf numFmtId="9" fontId="14" fillId="10" borderId="5" xfId="2" applyNumberFormat="1" applyFont="1" applyFill="1" applyBorder="1" applyAlignment="1">
      <alignment horizontal="center" vertical="center"/>
    </xf>
    <xf numFmtId="0" fontId="14" fillId="9" borderId="5" xfId="2" applyFont="1" applyFill="1" applyBorder="1" applyAlignment="1">
      <alignment horizontal="center" vertical="center"/>
    </xf>
    <xf numFmtId="1" fontId="22" fillId="9" borderId="5" xfId="1" applyNumberFormat="1" applyFont="1" applyFill="1" applyBorder="1" applyAlignment="1">
      <alignment horizontal="center" vertical="center"/>
    </xf>
    <xf numFmtId="10" fontId="16" fillId="9" borderId="5" xfId="1" applyNumberFormat="1" applyFont="1" applyFill="1" applyBorder="1" applyAlignment="1">
      <alignment horizontal="center" vertical="center"/>
    </xf>
    <xf numFmtId="9" fontId="16" fillId="9" borderId="5" xfId="1" applyFont="1" applyFill="1" applyBorder="1" applyAlignment="1">
      <alignment horizontal="center" vertical="center"/>
    </xf>
    <xf numFmtId="0" fontId="14" fillId="12" borderId="30" xfId="0" applyFont="1" applyFill="1" applyBorder="1" applyAlignment="1">
      <alignment vertical="center" wrapText="1"/>
    </xf>
    <xf numFmtId="0" fontId="14" fillId="12" borderId="30" xfId="0" applyFont="1" applyFill="1" applyBorder="1" applyAlignment="1">
      <alignment horizontal="center" vertical="center" wrapText="1"/>
    </xf>
    <xf numFmtId="10" fontId="22" fillId="9" borderId="5" xfId="1" applyNumberFormat="1" applyFont="1" applyFill="1" applyBorder="1" applyAlignment="1">
      <alignment horizontal="center" vertical="center"/>
    </xf>
    <xf numFmtId="9" fontId="20" fillId="0" borderId="26" xfId="1" applyFont="1" applyFill="1" applyBorder="1" applyAlignment="1">
      <alignment horizontal="center" vertical="center"/>
    </xf>
    <xf numFmtId="9" fontId="14" fillId="10" borderId="5" xfId="1" applyFont="1" applyFill="1" applyBorder="1" applyAlignment="1">
      <alignment horizontal="center" vertical="center"/>
    </xf>
    <xf numFmtId="9" fontId="27" fillId="9" borderId="5" xfId="1" applyFont="1" applyFill="1" applyBorder="1" applyAlignment="1">
      <alignment horizontal="center" vertical="center"/>
    </xf>
    <xf numFmtId="3" fontId="20" fillId="0" borderId="26" xfId="2" applyNumberFormat="1" applyFont="1" applyBorder="1" applyAlignment="1">
      <alignment horizontal="center" vertical="center"/>
    </xf>
    <xf numFmtId="10" fontId="14" fillId="10" borderId="5" xfId="1" applyNumberFormat="1" applyFont="1" applyFill="1" applyBorder="1" applyAlignment="1">
      <alignment horizontal="center" vertical="center"/>
    </xf>
    <xf numFmtId="9" fontId="20" fillId="9" borderId="5" xfId="1" applyFont="1" applyFill="1" applyBorder="1" applyAlignment="1">
      <alignment horizontal="center" vertical="center"/>
    </xf>
    <xf numFmtId="3" fontId="20" fillId="9" borderId="5" xfId="0" applyNumberFormat="1" applyFont="1" applyFill="1" applyBorder="1" applyAlignment="1">
      <alignment horizontal="center" vertical="center"/>
    </xf>
    <xf numFmtId="165" fontId="16" fillId="0" borderId="32" xfId="1" applyNumberFormat="1" applyFont="1" applyFill="1" applyBorder="1" applyAlignment="1">
      <alignment horizontal="center" vertical="center"/>
    </xf>
    <xf numFmtId="166" fontId="20" fillId="9" borderId="5" xfId="0" applyNumberFormat="1" applyFont="1" applyFill="1" applyBorder="1" applyAlignment="1">
      <alignment horizontal="center" vertical="center"/>
    </xf>
    <xf numFmtId="0" fontId="20" fillId="9" borderId="5" xfId="0" applyFont="1" applyFill="1" applyBorder="1" applyAlignment="1">
      <alignment horizontal="center" vertical="center"/>
    </xf>
    <xf numFmtId="9" fontId="28" fillId="9" borderId="32" xfId="1" applyFont="1" applyFill="1" applyBorder="1" applyAlignment="1">
      <alignment horizontal="center" vertical="center"/>
    </xf>
    <xf numFmtId="166" fontId="16" fillId="9" borderId="5" xfId="1" applyNumberFormat="1" applyFont="1" applyFill="1" applyBorder="1" applyAlignment="1">
      <alignment horizontal="center" vertical="center"/>
    </xf>
    <xf numFmtId="38" fontId="17" fillId="11" borderId="44" xfId="0" applyNumberFormat="1" applyFont="1" applyFill="1" applyBorder="1" applyAlignment="1">
      <alignment horizontal="center" vertical="center"/>
    </xf>
    <xf numFmtId="0" fontId="18" fillId="11" borderId="27" xfId="0" applyFont="1" applyFill="1" applyBorder="1" applyAlignment="1">
      <alignment horizontal="center" vertical="center"/>
    </xf>
    <xf numFmtId="9" fontId="14" fillId="9" borderId="5" xfId="1" applyFont="1" applyFill="1" applyBorder="1" applyAlignment="1">
      <alignment horizontal="center" vertical="center"/>
    </xf>
    <xf numFmtId="0" fontId="24" fillId="13" borderId="31" xfId="0" applyFont="1" applyFill="1" applyBorder="1" applyAlignment="1">
      <alignment horizontal="left" vertical="center" wrapText="1"/>
    </xf>
    <xf numFmtId="0" fontId="24" fillId="13" borderId="31" xfId="0" applyFont="1" applyFill="1" applyBorder="1" applyAlignment="1">
      <alignment horizontal="center" vertical="center" wrapText="1"/>
    </xf>
    <xf numFmtId="167" fontId="14" fillId="10" borderId="5" xfId="2" applyNumberFormat="1" applyFont="1" applyFill="1" applyBorder="1" applyAlignment="1">
      <alignment horizontal="center" vertical="center"/>
    </xf>
    <xf numFmtId="2" fontId="21" fillId="9" borderId="5" xfId="1" applyNumberFormat="1" applyFont="1" applyFill="1" applyBorder="1" applyAlignment="1">
      <alignment horizontal="center" vertical="center"/>
    </xf>
    <xf numFmtId="167" fontId="16" fillId="9" borderId="32" xfId="1" applyNumberFormat="1" applyFont="1" applyFill="1" applyBorder="1" applyAlignment="1">
      <alignment horizontal="center" vertical="center"/>
    </xf>
    <xf numFmtId="167" fontId="14" fillId="10" borderId="5" xfId="1" applyNumberFormat="1" applyFont="1" applyFill="1" applyBorder="1" applyAlignment="1">
      <alignment horizontal="center" vertical="center"/>
    </xf>
    <xf numFmtId="167" fontId="20" fillId="9" borderId="5" xfId="1" applyNumberFormat="1" applyFont="1" applyFill="1" applyBorder="1" applyAlignment="1">
      <alignment horizontal="center" vertical="center"/>
    </xf>
    <xf numFmtId="2" fontId="21" fillId="9" borderId="32" xfId="1" applyNumberFormat="1" applyFont="1" applyFill="1" applyBorder="1" applyAlignment="1">
      <alignment horizontal="center" vertical="center"/>
    </xf>
    <xf numFmtId="1" fontId="16" fillId="9" borderId="5" xfId="1" applyNumberFormat="1" applyFont="1" applyFill="1" applyBorder="1" applyAlignment="1">
      <alignment horizontal="center" vertical="center"/>
    </xf>
    <xf numFmtId="2" fontId="21" fillId="9" borderId="32" xfId="2" applyNumberFormat="1" applyFont="1" applyFill="1" applyBorder="1" applyAlignment="1">
      <alignment horizontal="center" vertical="center" wrapText="1"/>
    </xf>
    <xf numFmtId="2" fontId="21" fillId="9" borderId="5" xfId="2" applyNumberFormat="1" applyFont="1" applyFill="1" applyBorder="1" applyAlignment="1">
      <alignment horizontal="center" vertical="center" wrapText="1"/>
    </xf>
    <xf numFmtId="0" fontId="21" fillId="9" borderId="5" xfId="2" applyFont="1" applyFill="1" applyBorder="1" applyAlignment="1">
      <alignment horizontal="center" vertical="center" wrapText="1"/>
    </xf>
    <xf numFmtId="9" fontId="21" fillId="9" borderId="5" xfId="1" applyFont="1" applyFill="1" applyBorder="1" applyAlignment="1">
      <alignment horizontal="center" vertical="center" wrapText="1"/>
    </xf>
    <xf numFmtId="10" fontId="21" fillId="9" borderId="5" xfId="2" applyNumberFormat="1" applyFont="1" applyFill="1" applyBorder="1" applyAlignment="1">
      <alignment horizontal="center" vertical="center" wrapText="1"/>
    </xf>
    <xf numFmtId="0" fontId="16" fillId="9" borderId="32" xfId="2" applyFont="1" applyFill="1" applyBorder="1" applyAlignment="1">
      <alignment horizontal="center" vertical="center" wrapText="1"/>
    </xf>
    <xf numFmtId="0" fontId="16" fillId="9" borderId="5" xfId="2" applyFont="1" applyFill="1" applyBorder="1" applyAlignment="1">
      <alignment horizontal="center" vertical="center" wrapText="1"/>
    </xf>
    <xf numFmtId="10" fontId="16" fillId="9" borderId="5" xfId="2" applyNumberFormat="1" applyFont="1" applyFill="1" applyBorder="1" applyAlignment="1">
      <alignment horizontal="center" vertical="center" wrapText="1"/>
    </xf>
    <xf numFmtId="9" fontId="16" fillId="9" borderId="46" xfId="1" applyFont="1" applyFill="1" applyBorder="1" applyAlignment="1">
      <alignment horizontal="center" vertical="center"/>
    </xf>
    <xf numFmtId="165" fontId="16" fillId="9" borderId="5" xfId="1" applyNumberFormat="1" applyFont="1" applyFill="1" applyBorder="1" applyAlignment="1">
      <alignment horizontal="center" vertical="center"/>
    </xf>
    <xf numFmtId="165" fontId="21" fillId="9" borderId="5" xfId="1" applyNumberFormat="1" applyFont="1" applyFill="1" applyBorder="1" applyAlignment="1">
      <alignment horizontal="center" vertical="center" wrapText="1"/>
    </xf>
    <xf numFmtId="0" fontId="9" fillId="6" borderId="6" xfId="2" applyFont="1" applyFill="1" applyBorder="1" applyAlignment="1">
      <alignment horizontal="center" vertical="center"/>
    </xf>
    <xf numFmtId="0" fontId="13" fillId="7" borderId="7" xfId="2" applyFont="1" applyFill="1" applyBorder="1" applyAlignment="1">
      <alignment horizontal="center" vertical="center"/>
    </xf>
    <xf numFmtId="0" fontId="13" fillId="7" borderId="8" xfId="2" applyFont="1" applyFill="1" applyBorder="1" applyAlignment="1">
      <alignment horizontal="center" vertical="center"/>
    </xf>
    <xf numFmtId="0" fontId="13" fillId="7" borderId="9" xfId="2" applyFont="1" applyFill="1" applyBorder="1" applyAlignment="1">
      <alignment horizontal="center" vertical="center"/>
    </xf>
    <xf numFmtId="0" fontId="13" fillId="7" borderId="10" xfId="2" applyFont="1" applyFill="1" applyBorder="1" applyAlignment="1">
      <alignment horizontal="center" vertical="center" wrapText="1"/>
    </xf>
    <xf numFmtId="0" fontId="13" fillId="7" borderId="10" xfId="2" applyFont="1" applyFill="1" applyBorder="1" applyAlignment="1">
      <alignment horizontal="center" vertical="center"/>
    </xf>
    <xf numFmtId="0" fontId="13" fillId="7" borderId="11" xfId="2" applyFont="1" applyFill="1" applyBorder="1" applyAlignment="1">
      <alignment horizontal="center" vertical="center" wrapText="1"/>
    </xf>
    <xf numFmtId="0" fontId="14" fillId="7" borderId="12" xfId="2" applyFont="1" applyFill="1" applyBorder="1" applyAlignment="1">
      <alignment horizontal="center" vertical="center"/>
    </xf>
    <xf numFmtId="0" fontId="14" fillId="7" borderId="13" xfId="2" applyFont="1" applyFill="1" applyBorder="1" applyAlignment="1">
      <alignment horizontal="center" vertical="center"/>
    </xf>
    <xf numFmtId="0" fontId="14" fillId="7" borderId="14" xfId="2" applyFont="1" applyFill="1" applyBorder="1" applyAlignment="1">
      <alignment horizontal="center" vertical="center"/>
    </xf>
    <xf numFmtId="0" fontId="14" fillId="7" borderId="15" xfId="2" applyFont="1" applyFill="1" applyBorder="1" applyAlignment="1">
      <alignment horizontal="center" vertical="center" wrapText="1"/>
    </xf>
    <xf numFmtId="0" fontId="14" fillId="7" borderId="16" xfId="2" applyFont="1" applyFill="1" applyBorder="1" applyAlignment="1">
      <alignment horizontal="center" vertical="center" wrapText="1"/>
    </xf>
    <xf numFmtId="0" fontId="14" fillId="7" borderId="17" xfId="2" applyFont="1" applyFill="1" applyBorder="1" applyAlignment="1">
      <alignment horizontal="center" vertical="center" wrapText="1"/>
    </xf>
    <xf numFmtId="0" fontId="14" fillId="7" borderId="18" xfId="2" applyFont="1" applyFill="1" applyBorder="1" applyAlignment="1">
      <alignment horizontal="center" vertical="center" wrapText="1"/>
    </xf>
    <xf numFmtId="0" fontId="14" fillId="7" borderId="14" xfId="2" applyFont="1" applyFill="1" applyBorder="1" applyAlignment="1">
      <alignment horizontal="center" vertical="center" wrapText="1"/>
    </xf>
    <xf numFmtId="0" fontId="13" fillId="7" borderId="19" xfId="2" applyFont="1" applyFill="1" applyBorder="1" applyAlignment="1">
      <alignment horizontal="center" vertical="center"/>
    </xf>
    <xf numFmtId="0" fontId="13" fillId="7" borderId="20" xfId="2" applyFont="1" applyFill="1" applyBorder="1" applyAlignment="1">
      <alignment horizontal="center" vertical="center"/>
    </xf>
    <xf numFmtId="0" fontId="13" fillId="7" borderId="21" xfId="2" applyFont="1" applyFill="1" applyBorder="1" applyAlignment="1">
      <alignment horizontal="center" vertical="center"/>
    </xf>
    <xf numFmtId="0" fontId="13" fillId="7" borderId="22" xfId="2" applyFont="1" applyFill="1" applyBorder="1" applyAlignment="1">
      <alignment horizontal="center" vertical="center"/>
    </xf>
    <xf numFmtId="0" fontId="13" fillId="7" borderId="23" xfId="2" applyFont="1" applyFill="1" applyBorder="1" applyAlignment="1">
      <alignment horizontal="center" vertical="center"/>
    </xf>
    <xf numFmtId="0" fontId="13" fillId="7" borderId="24" xfId="2" applyFont="1" applyFill="1" applyBorder="1" applyAlignment="1">
      <alignment horizontal="center" vertical="center"/>
    </xf>
    <xf numFmtId="0" fontId="14" fillId="7" borderId="27" xfId="2" applyFont="1" applyFill="1" applyBorder="1" applyAlignment="1">
      <alignment horizontal="center" vertical="center"/>
    </xf>
    <xf numFmtId="0" fontId="14" fillId="7" borderId="23" xfId="2" applyFont="1" applyFill="1" applyBorder="1" applyAlignment="1">
      <alignment horizontal="center" vertical="center" wrapText="1"/>
    </xf>
    <xf numFmtId="0" fontId="14" fillId="7" borderId="26" xfId="2" applyFont="1" applyFill="1" applyBorder="1" applyAlignment="1">
      <alignment horizontal="center" vertical="center" wrapText="1"/>
    </xf>
    <xf numFmtId="0" fontId="15" fillId="8" borderId="28" xfId="2" applyFont="1" applyFill="1" applyBorder="1" applyAlignment="1">
      <alignment horizontal="center" vertical="center" textRotation="90"/>
    </xf>
    <xf numFmtId="0" fontId="14" fillId="8" borderId="30" xfId="0" applyFont="1" applyFill="1" applyBorder="1" applyAlignment="1">
      <alignment horizontal="center" vertical="center" wrapText="1"/>
    </xf>
    <xf numFmtId="0" fontId="15" fillId="8" borderId="33" xfId="2" applyFont="1" applyFill="1" applyBorder="1" applyAlignment="1">
      <alignment horizontal="center" vertical="center" textRotation="90"/>
    </xf>
    <xf numFmtId="0" fontId="14" fillId="8" borderId="35" xfId="0" applyFont="1" applyFill="1" applyBorder="1" applyAlignment="1">
      <alignment horizontal="center" vertical="center" wrapText="1"/>
    </xf>
    <xf numFmtId="0" fontId="15" fillId="8" borderId="37" xfId="2" applyFont="1" applyFill="1" applyBorder="1" applyAlignment="1">
      <alignment horizontal="center" vertical="center" textRotation="90"/>
    </xf>
    <xf numFmtId="0" fontId="15" fillId="8" borderId="38" xfId="2" applyFont="1" applyFill="1" applyBorder="1" applyAlignment="1">
      <alignment horizontal="center" vertical="center" textRotation="90"/>
    </xf>
    <xf numFmtId="0" fontId="24" fillId="6" borderId="30" xfId="0" applyFont="1" applyFill="1" applyBorder="1" applyAlignment="1">
      <alignment horizontal="center" vertical="center" textRotation="90" wrapText="1"/>
    </xf>
    <xf numFmtId="0" fontId="24" fillId="6" borderId="30" xfId="0" applyFont="1" applyFill="1" applyBorder="1" applyAlignment="1">
      <alignment horizontal="center" vertical="center" wrapText="1"/>
    </xf>
    <xf numFmtId="0" fontId="24" fillId="6" borderId="35" xfId="0" applyFont="1" applyFill="1" applyBorder="1" applyAlignment="1">
      <alignment horizontal="center" vertical="center" textRotation="90" wrapText="1"/>
    </xf>
    <xf numFmtId="0" fontId="24" fillId="6" borderId="35" xfId="0" applyFont="1" applyFill="1" applyBorder="1" applyAlignment="1">
      <alignment horizontal="center" vertical="center" wrapText="1"/>
    </xf>
    <xf numFmtId="0" fontId="24" fillId="6" borderId="36" xfId="0" applyFont="1" applyFill="1" applyBorder="1" applyAlignment="1">
      <alignment horizontal="center" vertical="center" wrapText="1"/>
    </xf>
    <xf numFmtId="0" fontId="24" fillId="6" borderId="41" xfId="0" applyFont="1" applyFill="1" applyBorder="1" applyAlignment="1">
      <alignment horizontal="center" vertical="center" textRotation="90" wrapText="1"/>
    </xf>
    <xf numFmtId="0" fontId="26" fillId="12" borderId="42" xfId="2" applyFont="1" applyFill="1" applyBorder="1" applyAlignment="1">
      <alignment horizontal="center" vertical="center" textRotation="90"/>
    </xf>
    <xf numFmtId="0" fontId="26" fillId="12" borderId="43" xfId="2" applyFont="1" applyFill="1" applyBorder="1" applyAlignment="1">
      <alignment horizontal="center" vertical="center" textRotation="90"/>
    </xf>
    <xf numFmtId="0" fontId="14" fillId="12" borderId="36" xfId="0" applyFont="1" applyFill="1" applyBorder="1" applyAlignment="1">
      <alignment horizontal="center" vertical="center" wrapText="1"/>
    </xf>
    <xf numFmtId="0" fontId="14" fillId="12" borderId="35" xfId="0" applyFont="1" applyFill="1" applyBorder="1" applyAlignment="1">
      <alignment horizontal="center" vertical="center" wrapText="1"/>
    </xf>
    <xf numFmtId="0" fontId="26" fillId="12" borderId="45" xfId="2" applyFont="1" applyFill="1" applyBorder="1" applyAlignment="1">
      <alignment horizontal="center" vertical="center" textRotation="90"/>
    </xf>
    <xf numFmtId="0" fontId="24" fillId="13" borderId="30" xfId="0" applyFont="1" applyFill="1" applyBorder="1" applyAlignment="1">
      <alignment horizontal="center" vertical="center" textRotation="90" wrapText="1"/>
    </xf>
    <xf numFmtId="0" fontId="24" fillId="13" borderId="35" xfId="0" applyFont="1" applyFill="1" applyBorder="1" applyAlignment="1">
      <alignment horizontal="center" vertical="center" textRotation="90" wrapText="1"/>
    </xf>
    <xf numFmtId="0" fontId="24" fillId="13" borderId="30" xfId="0" applyFont="1" applyFill="1" applyBorder="1" applyAlignment="1">
      <alignment horizontal="center" vertical="center" wrapText="1"/>
    </xf>
    <xf numFmtId="0" fontId="24" fillId="13" borderId="35" xfId="0" applyFont="1" applyFill="1" applyBorder="1" applyAlignment="1">
      <alignment horizontal="center" vertical="center" wrapText="1"/>
    </xf>
    <xf numFmtId="0" fontId="24" fillId="13" borderId="36" xfId="0" applyFont="1" applyFill="1" applyBorder="1" applyAlignment="1">
      <alignment horizontal="center" vertical="center" wrapText="1"/>
    </xf>
    <xf numFmtId="0" fontId="24" fillId="13" borderId="36" xfId="0" applyFont="1" applyFill="1" applyBorder="1" applyAlignment="1">
      <alignment horizontal="center" vertical="center" textRotation="90" wrapText="1"/>
    </xf>
    <xf numFmtId="0" fontId="13" fillId="7" borderId="0" xfId="2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 wrapText="1"/>
    </xf>
    <xf numFmtId="0" fontId="14" fillId="8" borderId="0" xfId="0" applyFont="1" applyFill="1" applyAlignment="1">
      <alignment vertical="center" wrapText="1"/>
    </xf>
    <xf numFmtId="0" fontId="24" fillId="6" borderId="0" xfId="0" applyFont="1" applyFill="1" applyAlignment="1">
      <alignment horizontal="center" vertical="center" wrapText="1"/>
    </xf>
    <xf numFmtId="0" fontId="14" fillId="12" borderId="0" xfId="0" applyFont="1" applyFill="1" applyAlignment="1">
      <alignment horizontal="center" vertical="center" wrapText="1"/>
    </xf>
    <xf numFmtId="0" fontId="24" fillId="13" borderId="0" xfId="0" applyFont="1" applyFill="1" applyAlignment="1">
      <alignment horizontal="center" vertical="center" wrapText="1"/>
    </xf>
    <xf numFmtId="0" fontId="24" fillId="13" borderId="47" xfId="0" applyFont="1" applyFill="1" applyBorder="1" applyAlignment="1">
      <alignment horizontal="center" vertical="center" wrapText="1"/>
    </xf>
    <xf numFmtId="0" fontId="14" fillId="8" borderId="0" xfId="0" quotePrefix="1" applyFont="1" applyFill="1" applyAlignment="1">
      <alignment horizontal="center" vertical="center" wrapText="1"/>
    </xf>
    <xf numFmtId="0" fontId="14" fillId="8" borderId="36" xfId="0" quotePrefix="1" applyFont="1" applyFill="1" applyBorder="1" applyAlignment="1">
      <alignment horizontal="center" vertical="center" wrapText="1"/>
    </xf>
    <xf numFmtId="0" fontId="29" fillId="4" borderId="1" xfId="0" applyFont="1" applyFill="1" applyBorder="1" applyAlignment="1">
      <alignment horizontal="center" wrapText="1"/>
    </xf>
    <xf numFmtId="0" fontId="29" fillId="4" borderId="2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vertical="center" wrapText="1"/>
    </xf>
    <xf numFmtId="22" fontId="3" fillId="4" borderId="3" xfId="0" applyNumberFormat="1" applyFont="1" applyFill="1" applyBorder="1" applyAlignment="1">
      <alignment vertical="center" wrapText="1"/>
    </xf>
    <xf numFmtId="0" fontId="0" fillId="4" borderId="0" xfId="0" applyFill="1"/>
    <xf numFmtId="0" fontId="3" fillId="4" borderId="49" xfId="0" applyFont="1" applyFill="1" applyBorder="1" applyAlignment="1">
      <alignment vertical="center" wrapText="1"/>
    </xf>
    <xf numFmtId="0" fontId="3" fillId="4" borderId="48" xfId="0" applyFont="1" applyFill="1" applyBorder="1" applyAlignment="1">
      <alignment vertical="center" wrapText="1"/>
    </xf>
    <xf numFmtId="2" fontId="3" fillId="4" borderId="3" xfId="0" applyNumberFormat="1" applyFont="1" applyFill="1" applyBorder="1" applyAlignment="1">
      <alignment vertical="center" wrapText="1"/>
    </xf>
    <xf numFmtId="2" fontId="3" fillId="4" borderId="49" xfId="0" applyNumberFormat="1" applyFont="1" applyFill="1" applyBorder="1" applyAlignment="1">
      <alignment vertical="center" wrapText="1"/>
    </xf>
    <xf numFmtId="2" fontId="0" fillId="0" borderId="0" xfId="0" applyNumberFormat="1"/>
    <xf numFmtId="4" fontId="3" fillId="4" borderId="49" xfId="0" applyNumberFormat="1" applyFont="1" applyFill="1" applyBorder="1" applyAlignment="1">
      <alignment vertical="center" wrapText="1"/>
    </xf>
    <xf numFmtId="4" fontId="0" fillId="0" borderId="0" xfId="0" applyNumberFormat="1"/>
    <xf numFmtId="0" fontId="31" fillId="4" borderId="3" xfId="0" applyFont="1" applyFill="1" applyBorder="1" applyAlignment="1">
      <alignment vertical="center" wrapText="1"/>
    </xf>
    <xf numFmtId="2" fontId="31" fillId="4" borderId="3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2" fontId="7" fillId="4" borderId="3" xfId="0" applyNumberFormat="1" applyFont="1" applyFill="1" applyBorder="1" applyAlignment="1">
      <alignment vertical="center" wrapText="1"/>
    </xf>
    <xf numFmtId="0" fontId="7" fillId="4" borderId="4" xfId="0" applyFont="1" applyFill="1" applyBorder="1" applyAlignment="1">
      <alignment vertical="center" wrapText="1"/>
    </xf>
    <xf numFmtId="0" fontId="31" fillId="4" borderId="49" xfId="0" applyFont="1" applyFill="1" applyBorder="1" applyAlignment="1">
      <alignment vertical="center" wrapText="1"/>
    </xf>
    <xf numFmtId="2" fontId="31" fillId="4" borderId="49" xfId="0" applyNumberFormat="1" applyFont="1" applyFill="1" applyBorder="1" applyAlignment="1">
      <alignment vertical="center" wrapText="1"/>
    </xf>
    <xf numFmtId="0" fontId="31" fillId="4" borderId="48" xfId="0" applyFont="1" applyFill="1" applyBorder="1" applyAlignment="1">
      <alignment vertical="center" wrapText="1"/>
    </xf>
    <xf numFmtId="0" fontId="29" fillId="2" borderId="48" xfId="0" applyFont="1" applyFill="1" applyBorder="1" applyAlignment="1">
      <alignment horizontal="center" wrapText="1"/>
    </xf>
    <xf numFmtId="0" fontId="7" fillId="2" borderId="4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1" fillId="2" borderId="4" xfId="0" applyFont="1" applyFill="1" applyBorder="1" applyAlignment="1">
      <alignment vertical="center" wrapText="1"/>
    </xf>
    <xf numFmtId="0" fontId="31" fillId="2" borderId="3" xfId="0" applyFont="1" applyFill="1" applyBorder="1" applyAlignment="1">
      <alignment vertical="center" wrapText="1"/>
    </xf>
    <xf numFmtId="2" fontId="2" fillId="0" borderId="0" xfId="0" applyNumberFormat="1" applyFont="1"/>
    <xf numFmtId="2" fontId="31" fillId="4" borderId="4" xfId="0" applyNumberFormat="1" applyFont="1" applyFill="1" applyBorder="1" applyAlignment="1">
      <alignment vertical="center" wrapText="1"/>
    </xf>
    <xf numFmtId="0" fontId="29" fillId="2" borderId="1" xfId="0" applyFont="1" applyFill="1" applyBorder="1" applyAlignment="1">
      <alignment horizontal="center" wrapText="1"/>
    </xf>
    <xf numFmtId="0" fontId="32" fillId="4" borderId="3" xfId="0" applyFont="1" applyFill="1" applyBorder="1" applyAlignment="1">
      <alignment vertical="center" wrapText="1"/>
    </xf>
  </cellXfs>
  <cellStyles count="3">
    <cellStyle name="Normal" xfId="0" builtinId="0"/>
    <cellStyle name="Normal_PRINCIPAL 2003" xfId="2" xr:uid="{0B3BCBB3-9FE1-40FF-BBE4-B4730ACAED5B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laudio\Downloads\FIAD%20FINANCE%20OBJETIVE.xlsm" TargetMode="External"/><Relationship Id="rId1" Type="http://schemas.openxmlformats.org/officeDocument/2006/relationships/externalLinkPath" Target="/Users/claudio/Downloads/FIAD%20FINANCE%20OBJETIV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Ind."/>
      <sheetName val="Finan"/>
      <sheetName val="Cliente"/>
      <sheetName val="Proces"/>
      <sheetName val="Aprend."/>
      <sheetName val="Mapa"/>
      <sheetName val="IndiceIndicadores"/>
      <sheetName val="Matriz"/>
      <sheetName val="PAC01"/>
      <sheetName val="PAC03"/>
      <sheetName val="PAC04"/>
      <sheetName val="PAC05"/>
      <sheetName val="PAC06"/>
      <sheetName val="PAC08-A"/>
      <sheetName val="PAC08-B"/>
      <sheetName val="PAC08-C"/>
      <sheetName val="PAC08-D"/>
      <sheetName val="PAC08-E"/>
      <sheetName val="PAC08-F"/>
      <sheetName val="PAC08-G"/>
      <sheetName val="PAC09-A"/>
      <sheetName val="PAC09-B"/>
      <sheetName val="PAC09-C"/>
      <sheetName val="PAC10"/>
      <sheetName val="PAC11"/>
      <sheetName val="PPI02"/>
      <sheetName val="PPI04"/>
      <sheetName val="PPI06"/>
      <sheetName val="PPI07"/>
      <sheetName val="PPI09"/>
      <sheetName val="PPI10"/>
      <sheetName val="PPI11"/>
      <sheetName val="PPI11-B"/>
      <sheetName val="BDPPI11-B"/>
      <sheetName val="PPI2"/>
      <sheetName val="BDPPI2"/>
      <sheetName val="PPI31"/>
      <sheetName val="BDPPI31"/>
      <sheetName val="PPI4"/>
      <sheetName val="BDPPI4"/>
      <sheetName val="PPI5PT"/>
      <sheetName val="BDPPI5PT"/>
      <sheetName val="PPI5DTotal"/>
      <sheetName val="DBPPI5DTotal"/>
      <sheetName val="PPI5MERC"/>
      <sheetName val="BDPPI5MERC"/>
      <sheetName val="Hoja1"/>
      <sheetName val="PPI5MT"/>
      <sheetName val="BDPPI5MT"/>
      <sheetName val="PPI6"/>
      <sheetName val="BDPPI6"/>
      <sheetName val="PPI17"/>
      <sheetName val="BDPPI17"/>
      <sheetName val="PPI18"/>
      <sheetName val="BDPPI18"/>
      <sheetName val="PPI19"/>
      <sheetName val="PPI20"/>
      <sheetName val="PPI21"/>
      <sheetName val="PPI22"/>
      <sheetName val="PF01"/>
      <sheetName val="PF02"/>
      <sheetName val="PF03"/>
      <sheetName val="FP06"/>
      <sheetName val="BDFP06"/>
      <sheetName val="FP07"/>
      <sheetName val="BDFP07"/>
      <sheetName val="FP07A"/>
      <sheetName val="BDFP07A"/>
      <sheetName val="FP08"/>
      <sheetName val="BDFP08"/>
      <sheetName val="PF09"/>
      <sheetName val="PF09A"/>
      <sheetName val="BDFP09A"/>
      <sheetName val="PF09B"/>
      <sheetName val="BDFP09B"/>
      <sheetName val="PF09C"/>
      <sheetName val="BDFP09C"/>
      <sheetName val="PF10"/>
      <sheetName val="PF11"/>
      <sheetName val="PF12"/>
      <sheetName val="BDPF12"/>
      <sheetName val="PC03"/>
      <sheetName val="BDPC03"/>
      <sheetName val="FP03C"/>
      <sheetName val="BDFP03C"/>
      <sheetName val="PC03D"/>
      <sheetName val="BDPC03D"/>
      <sheetName val="PC04"/>
      <sheetName val="BDPC04"/>
      <sheetName val="PC05"/>
      <sheetName val="PC06"/>
      <sheetName val="PC0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">
          <cell r="B6" t="str">
            <v>PF01-A</v>
          </cell>
          <cell r="C6" t="str">
            <v>Indice de lucratividad (común)</v>
          </cell>
          <cell r="D6" t="str">
            <v>Crear valor para el accionista</v>
          </cell>
          <cell r="E6" t="str">
            <v>%</v>
          </cell>
          <cell r="F6" t="str">
            <v>Trimestral</v>
          </cell>
          <cell r="G6" t="str">
            <v>IL: Pt-Po + Div / Po</v>
          </cell>
          <cell r="H6"/>
          <cell r="I6" t="str">
            <v>Todas las Gerencias</v>
          </cell>
          <cell r="J6" t="str">
            <v>Alex Semino / Bernardo Rivera</v>
          </cell>
          <cell r="K6">
            <v>2008</v>
          </cell>
          <cell r="L6" t="str">
            <v>Presupuesto 2008</v>
          </cell>
          <cell r="M6">
            <v>-0.05</v>
          </cell>
          <cell r="N6" t="str">
            <v>&lt; -10%</v>
          </cell>
        </row>
        <row r="7">
          <cell r="B7" t="str">
            <v>PF01-B</v>
          </cell>
          <cell r="C7" t="str">
            <v>Indice de lucratividad (inversión)</v>
          </cell>
          <cell r="D7" t="str">
            <v>Crear valor para el accionista</v>
          </cell>
          <cell r="E7" t="str">
            <v>%</v>
          </cell>
          <cell r="F7" t="str">
            <v>Trimestral</v>
          </cell>
          <cell r="G7" t="str">
            <v>IL: Pt-Po + Div / Po</v>
          </cell>
          <cell r="H7"/>
          <cell r="I7" t="str">
            <v>Todas las Gerencias</v>
          </cell>
          <cell r="J7" t="str">
            <v>Alex Semino / Bernardo Rivera</v>
          </cell>
          <cell r="K7"/>
          <cell r="L7"/>
          <cell r="M7"/>
          <cell r="N7"/>
        </row>
        <row r="8">
          <cell r="B8" t="str">
            <v>PF02</v>
          </cell>
          <cell r="C8" t="str">
            <v>EVA</v>
          </cell>
          <cell r="D8" t="str">
            <v>Crear valor para el accionista</v>
          </cell>
          <cell r="E8" t="str">
            <v xml:space="preserve">Unid </v>
          </cell>
          <cell r="F8" t="str">
            <v>Anual</v>
          </cell>
          <cell r="G8" t="str">
            <v>NOPAT - CPPC * Capital Invertido</v>
          </cell>
          <cell r="H8"/>
          <cell r="I8" t="str">
            <v>Todas las Gerencias</v>
          </cell>
          <cell r="J8" t="str">
            <v>Alex Semino / Bernardo Rivera</v>
          </cell>
          <cell r="K8">
            <v>2008</v>
          </cell>
          <cell r="L8"/>
          <cell r="M8"/>
          <cell r="N8"/>
        </row>
        <row r="9">
          <cell r="B9" t="str">
            <v>PF03</v>
          </cell>
          <cell r="C9" t="str">
            <v>Capital de trabajo / Ventas</v>
          </cell>
          <cell r="D9" t="str">
            <v>Maximizar rentabilidad</v>
          </cell>
          <cell r="E9" t="str">
            <v xml:space="preserve">Unid </v>
          </cell>
          <cell r="F9" t="str">
            <v>Mensual</v>
          </cell>
          <cell r="G9" t="str">
            <v>((Activo Cte -  Pasivo Cte) / Ventas)*12</v>
          </cell>
          <cell r="H9"/>
          <cell r="I9" t="str">
            <v>Todas las Gerencias</v>
          </cell>
          <cell r="J9" t="str">
            <v>Alex Semino / Bernardo Rivera</v>
          </cell>
          <cell r="K9">
            <v>2008</v>
          </cell>
          <cell r="L9"/>
          <cell r="M9"/>
          <cell r="N9"/>
        </row>
        <row r="10">
          <cell r="B10" t="str">
            <v>PF06</v>
          </cell>
          <cell r="C10" t="str">
            <v>Margen operativo</v>
          </cell>
          <cell r="D10" t="str">
            <v>Maximizar rentabilidad</v>
          </cell>
          <cell r="E10" t="str">
            <v>%</v>
          </cell>
          <cell r="F10" t="str">
            <v>Mensual</v>
          </cell>
          <cell r="G10" t="str">
            <v>MO= Utilidad Operativa/ Ventas</v>
          </cell>
          <cell r="H10"/>
          <cell r="I10" t="str">
            <v>Todas las Gerencias</v>
          </cell>
          <cell r="J10" t="str">
            <v>Alex Semino / Bernardo Rivera</v>
          </cell>
          <cell r="K10">
            <v>2008</v>
          </cell>
          <cell r="L10" t="str">
            <v>Presupuesto 2008</v>
          </cell>
          <cell r="M10">
            <v>-0.03</v>
          </cell>
          <cell r="N10" t="str">
            <v>&lt; -5%</v>
          </cell>
        </row>
        <row r="11">
          <cell r="B11" t="str">
            <v>PF07</v>
          </cell>
          <cell r="C11" t="str">
            <v>Margen neto</v>
          </cell>
          <cell r="D11" t="str">
            <v>Maximizar rentabilidad</v>
          </cell>
          <cell r="E11" t="str">
            <v>%</v>
          </cell>
          <cell r="F11" t="str">
            <v>Mensual</v>
          </cell>
          <cell r="G11" t="str">
            <v>MN= Utilidad Neta/Ventas</v>
          </cell>
          <cell r="H11"/>
          <cell r="I11" t="str">
            <v>Todas las Gerencias</v>
          </cell>
          <cell r="J11" t="str">
            <v>Alex Semino / Bernardo Rivera</v>
          </cell>
          <cell r="K11">
            <v>2008</v>
          </cell>
          <cell r="L11" t="str">
            <v>Presupuesto 2008</v>
          </cell>
          <cell r="M11">
            <v>-0.03</v>
          </cell>
          <cell r="N11" t="str">
            <v>&lt; -5%</v>
          </cell>
        </row>
        <row r="12">
          <cell r="B12" t="str">
            <v>PF07A</v>
          </cell>
          <cell r="C12" t="str">
            <v>Margen Neto_Explosivo</v>
          </cell>
          <cell r="D12" t="str">
            <v>Maximizar rentabilidad</v>
          </cell>
          <cell r="E12" t="str">
            <v>%</v>
          </cell>
          <cell r="F12" t="str">
            <v>Mensual</v>
          </cell>
          <cell r="G12" t="str">
            <v>MN= Utilidad Neta/Ventas Explosivos</v>
          </cell>
          <cell r="H12"/>
          <cell r="I12" t="str">
            <v>Todas las Gerencias</v>
          </cell>
          <cell r="J12" t="str">
            <v>Alex Semino / Bernardo Rivera</v>
          </cell>
          <cell r="K12">
            <v>2008</v>
          </cell>
          <cell r="L12" t="str">
            <v>Presupuesto 2008</v>
          </cell>
          <cell r="M12">
            <v>-0.03</v>
          </cell>
          <cell r="N12" t="str">
            <v>&lt; -5%</v>
          </cell>
        </row>
        <row r="13">
          <cell r="B13" t="str">
            <v>PF08-A</v>
          </cell>
          <cell r="C13" t="str">
            <v>Cumplimiento de la proyección de ventas U$</v>
          </cell>
          <cell r="D13" t="str">
            <v>Incrementar los ingresos</v>
          </cell>
          <cell r="E13" t="str">
            <v>%</v>
          </cell>
          <cell r="F13" t="str">
            <v>Mensual</v>
          </cell>
          <cell r="G13" t="str">
            <v>CN=Ventas ejecutadas$/ Ventas pronosticadas * 100</v>
          </cell>
          <cell r="H13"/>
          <cell r="I13" t="str">
            <v>Todas las Gerencias</v>
          </cell>
          <cell r="J13" t="str">
            <v>Alex Semino / Bernardo Rivera / P. Espejo</v>
          </cell>
          <cell r="K13">
            <v>2008</v>
          </cell>
          <cell r="L13" t="str">
            <v>± 95%</v>
          </cell>
          <cell r="M13" t="str">
            <v>± 95%</v>
          </cell>
          <cell r="N13" t="str">
            <v>&lt; 85%</v>
          </cell>
        </row>
        <row r="14">
          <cell r="B14" t="str">
            <v>PF08-B</v>
          </cell>
          <cell r="C14" t="str">
            <v>Cumplimiento de la proyección de ventas TM</v>
          </cell>
          <cell r="D14" t="str">
            <v>Incrementar los ingresos</v>
          </cell>
          <cell r="E14" t="str">
            <v>%</v>
          </cell>
          <cell r="F14" t="str">
            <v>Mensual</v>
          </cell>
          <cell r="G14" t="str">
            <v>CN=Ventas ejecutadas TM/ Ventas pronosticadas * 100</v>
          </cell>
          <cell r="H14"/>
          <cell r="I14" t="str">
            <v>Todas las Gerencias</v>
          </cell>
          <cell r="J14" t="str">
            <v>Alex Semino / Bernardo Rivera / P. Espejo</v>
          </cell>
          <cell r="K14">
            <v>2008</v>
          </cell>
          <cell r="L14"/>
          <cell r="M14"/>
          <cell r="N14"/>
        </row>
        <row r="15">
          <cell r="B15" t="str">
            <v>PF09</v>
          </cell>
          <cell r="C15" t="str">
            <v>Ciclo de caja</v>
          </cell>
          <cell r="D15" t="str">
            <v>Ser eficiente en el uso de recursos financieros</v>
          </cell>
          <cell r="E15" t="str">
            <v>Días</v>
          </cell>
          <cell r="F15" t="str">
            <v>Mensual</v>
          </cell>
          <cell r="G15" t="str">
            <v>CC=Días de inventario+días CxC - Días CxP</v>
          </cell>
          <cell r="H15"/>
          <cell r="I15" t="str">
            <v>Todas las Gerencias</v>
          </cell>
          <cell r="J15" t="str">
            <v>Alex Semino / Bernardo Rivera</v>
          </cell>
          <cell r="K15">
            <v>2008</v>
          </cell>
          <cell r="L15" t="str">
            <v>Presupuesto 2008</v>
          </cell>
          <cell r="M15" t="str">
            <v>+5 días</v>
          </cell>
          <cell r="N15" t="str">
            <v>&lt; +10 días</v>
          </cell>
        </row>
        <row r="16">
          <cell r="B16" t="str">
            <v>PF09-A</v>
          </cell>
          <cell r="C16" t="str">
            <v>Periodo promedio de cobro (días)</v>
          </cell>
          <cell r="D16" t="str">
            <v>Ser eficiente en el uso de recursos financieros</v>
          </cell>
          <cell r="E16" t="str">
            <v>Días</v>
          </cell>
          <cell r="F16" t="str">
            <v>Mensual</v>
          </cell>
          <cell r="G16" t="str">
            <v>Periodo promedio de cobro (días)</v>
          </cell>
          <cell r="H16"/>
          <cell r="I16" t="str">
            <v>Todas las Gerencias</v>
          </cell>
          <cell r="J16" t="str">
            <v>Alex Semino / Bernardo Rivera</v>
          </cell>
          <cell r="K16">
            <v>2008</v>
          </cell>
          <cell r="L16"/>
          <cell r="M16"/>
          <cell r="N16"/>
        </row>
        <row r="17">
          <cell r="B17" t="str">
            <v>PF09-B</v>
          </cell>
          <cell r="C17" t="str">
            <v>Periodo promedio de pago (días)</v>
          </cell>
          <cell r="D17" t="str">
            <v>Ser eficiente en el uso de recursos financieros</v>
          </cell>
          <cell r="E17" t="str">
            <v>Días</v>
          </cell>
          <cell r="F17" t="str">
            <v>Mensual</v>
          </cell>
          <cell r="G17" t="str">
            <v>Periodo promedio de pago (días)</v>
          </cell>
          <cell r="H17"/>
          <cell r="I17" t="str">
            <v>Todas las Gerencias</v>
          </cell>
          <cell r="J17" t="str">
            <v>Alex Semino / Bernardo Rivera</v>
          </cell>
          <cell r="K17">
            <v>2008</v>
          </cell>
          <cell r="L17"/>
          <cell r="M17"/>
          <cell r="N17"/>
        </row>
        <row r="18">
          <cell r="B18" t="str">
            <v>PF09-C</v>
          </cell>
          <cell r="C18" t="str">
            <v>Periodo promedio de inventario (Días)</v>
          </cell>
          <cell r="D18" t="str">
            <v>Ser eficiente en el uso de recursos financieros</v>
          </cell>
          <cell r="E18" t="str">
            <v>Días</v>
          </cell>
          <cell r="F18" t="str">
            <v>Mensual</v>
          </cell>
          <cell r="G18" t="str">
            <v>Periodo promedio de inventario (Días)</v>
          </cell>
          <cell r="H18"/>
          <cell r="I18" t="str">
            <v>Todas las Gerencias</v>
          </cell>
          <cell r="J18" t="str">
            <v>Alex Semino / Bernardo Rivera</v>
          </cell>
          <cell r="K18">
            <v>2008</v>
          </cell>
          <cell r="L18"/>
          <cell r="M18"/>
          <cell r="N18"/>
        </row>
        <row r="19">
          <cell r="B19" t="str">
            <v>PF10</v>
          </cell>
          <cell r="C19" t="str">
            <v>Grado de endeudamiento</v>
          </cell>
          <cell r="D19" t="str">
            <v>Ser eficiente en el uso de recursos financieros</v>
          </cell>
          <cell r="E19" t="str">
            <v>Veces</v>
          </cell>
          <cell r="F19" t="str">
            <v>Mensual</v>
          </cell>
          <cell r="G19" t="str">
            <v>GE=  Pasivo total / Patrimonio</v>
          </cell>
          <cell r="H19"/>
          <cell r="I19" t="str">
            <v>Todas las Gerencias</v>
          </cell>
          <cell r="J19" t="str">
            <v>Alex Semino / Bernardo Rivera</v>
          </cell>
          <cell r="K19">
            <v>2008</v>
          </cell>
          <cell r="L19" t="str">
            <v>Presupuesto 2008</v>
          </cell>
          <cell r="M19" t="str">
            <v>± 5%</v>
          </cell>
          <cell r="N19" t="str">
            <v>&lt; ±10%</v>
          </cell>
        </row>
        <row r="20">
          <cell r="B20" t="str">
            <v>PF11-A</v>
          </cell>
          <cell r="C20" t="str">
            <v>Cobertura de servicios de deuda</v>
          </cell>
          <cell r="D20" t="str">
            <v>Ser eficiente en el uso de recursos financieros</v>
          </cell>
          <cell r="E20" t="str">
            <v>Veces</v>
          </cell>
          <cell r="F20" t="str">
            <v>Mensual</v>
          </cell>
          <cell r="G20" t="str">
            <v xml:space="preserve">CSD= EBITDA/Servicios de Deuda    </v>
          </cell>
          <cell r="H20"/>
          <cell r="I20" t="str">
            <v>Todas las Gerencias</v>
          </cell>
          <cell r="J20" t="str">
            <v>Alex Semino / Bernardo Rivera</v>
          </cell>
          <cell r="K20">
            <v>2008</v>
          </cell>
          <cell r="L20" t="str">
            <v>Presupuesto 2008</v>
          </cell>
          <cell r="M20" t="str">
            <v>' - 3 veces</v>
          </cell>
          <cell r="N20" t="str">
            <v>&lt; - 5 veces</v>
          </cell>
        </row>
        <row r="21">
          <cell r="B21" t="str">
            <v>PF11-B</v>
          </cell>
          <cell r="C21" t="str">
            <v>Cobertura de servicios de deuda (2)</v>
          </cell>
          <cell r="D21" t="str">
            <v>Ser eficiente en el uso de recursos financieros</v>
          </cell>
          <cell r="E21" t="str">
            <v>Veces</v>
          </cell>
          <cell r="F21" t="str">
            <v>Mensual</v>
          </cell>
          <cell r="G21" t="str">
            <v>Ventas en nuevos negocios vs. ventas totales</v>
          </cell>
          <cell r="H21"/>
          <cell r="I21" t="str">
            <v>Todas las Gerencias</v>
          </cell>
          <cell r="J21" t="str">
            <v>Alex Semino / Bernardo Rivera</v>
          </cell>
          <cell r="K21">
            <v>2008</v>
          </cell>
          <cell r="L21"/>
          <cell r="M21"/>
          <cell r="N21"/>
        </row>
        <row r="22">
          <cell r="B22" t="str">
            <v>PF12</v>
          </cell>
          <cell r="C22" t="str">
            <v>Deuda financiera / Ventas</v>
          </cell>
          <cell r="D22" t="str">
            <v>Ser eficiente en el uso de recursos financieros</v>
          </cell>
          <cell r="E22" t="str">
            <v>%</v>
          </cell>
          <cell r="F22" t="str">
            <v>Mensual</v>
          </cell>
          <cell r="G22" t="str">
            <v>Deuda financiera / Ventas</v>
          </cell>
          <cell r="H22"/>
          <cell r="I22" t="str">
            <v>Todas las Gerencias</v>
          </cell>
          <cell r="J22" t="str">
            <v>Alex Semino / Bernardo Rivera</v>
          </cell>
          <cell r="K22">
            <v>2008</v>
          </cell>
          <cell r="L22"/>
          <cell r="M22"/>
          <cell r="N22"/>
        </row>
        <row r="23">
          <cell r="B23" t="str">
            <v>PC03-A</v>
          </cell>
          <cell r="C23" t="str">
            <v>Venta en exportaciones vs venta total $</v>
          </cell>
          <cell r="D23" t="str">
            <v>Diversificación en nuevos negocios relacionados</v>
          </cell>
          <cell r="E23" t="str">
            <v>%</v>
          </cell>
          <cell r="F23" t="str">
            <v>Mensual</v>
          </cell>
          <cell r="G23" t="str">
            <v>Venta en exportaciones vs. ventas totales</v>
          </cell>
          <cell r="H23"/>
          <cell r="I23" t="str">
            <v>Gustavo Gómez Sánchez</v>
          </cell>
          <cell r="J23" t="str">
            <v>Praxedes Espejo</v>
          </cell>
          <cell r="K23">
            <v>2008</v>
          </cell>
          <cell r="L23"/>
          <cell r="M23"/>
          <cell r="N23"/>
        </row>
        <row r="24">
          <cell r="B24" t="str">
            <v>PC03-B</v>
          </cell>
          <cell r="C24" t="str">
            <v>Venta en exportaciones vs venta total TM</v>
          </cell>
          <cell r="D24" t="str">
            <v>Diversificación en nuevos negocios relacionados</v>
          </cell>
          <cell r="E24" t="str">
            <v>%</v>
          </cell>
          <cell r="F24" t="str">
            <v>Mensual</v>
          </cell>
          <cell r="G24" t="str">
            <v>Venta en exportaciones vs. ventas totales</v>
          </cell>
          <cell r="H24"/>
          <cell r="I24" t="str">
            <v>Gustavo Gómez Sánchez</v>
          </cell>
          <cell r="J24" t="str">
            <v>Praxedes Espejo</v>
          </cell>
          <cell r="K24">
            <v>2008</v>
          </cell>
          <cell r="L24"/>
          <cell r="M24"/>
          <cell r="N24"/>
        </row>
        <row r="25">
          <cell r="B25" t="str">
            <v>PC03-C</v>
          </cell>
          <cell r="C25" t="str">
            <v>Ventas reales &amp; proyectados en dolares</v>
          </cell>
          <cell r="D25" t="str">
            <v>Diversificación en nuevos negocios relacionados</v>
          </cell>
          <cell r="E25" t="str">
            <v>%</v>
          </cell>
          <cell r="F25" t="str">
            <v>Mensual</v>
          </cell>
          <cell r="G25" t="str">
            <v>Ventas reales &amp; proyectados en dolares</v>
          </cell>
          <cell r="H25"/>
          <cell r="I25" t="str">
            <v>Gustavo Gómez Sánchez</v>
          </cell>
          <cell r="J25" t="str">
            <v>Praxedes Espejo</v>
          </cell>
          <cell r="K25">
            <v>2008</v>
          </cell>
          <cell r="L25"/>
          <cell r="M25"/>
          <cell r="N25"/>
        </row>
        <row r="26">
          <cell r="B26" t="str">
            <v>PC03-D</v>
          </cell>
          <cell r="C26" t="str">
            <v>Cumplimiento de produccion a ventas / Distribucion</v>
          </cell>
          <cell r="D26" t="str">
            <v>Diversificación en nuevos negocios relacionados</v>
          </cell>
          <cell r="E26" t="str">
            <v>%</v>
          </cell>
          <cell r="F26" t="str">
            <v>Mensual</v>
          </cell>
          <cell r="G26" t="str">
            <v>Cumplimiento de produccion a ventas / Distribucion</v>
          </cell>
          <cell r="H26"/>
          <cell r="I26" t="str">
            <v>Gustavo Gómez Sánchez</v>
          </cell>
          <cell r="J26" t="str">
            <v>Praxedes Espejo</v>
          </cell>
          <cell r="K26">
            <v>2008</v>
          </cell>
          <cell r="L26"/>
          <cell r="M26"/>
          <cell r="N26"/>
        </row>
        <row r="27">
          <cell r="B27" t="str">
            <v>PC04-A</v>
          </cell>
          <cell r="C27" t="str">
            <v>% Participación de mercado $ (Mercado Dinamitas)</v>
          </cell>
          <cell r="D27" t="str">
            <v>Mantener liderazgo en el mercado nacional</v>
          </cell>
          <cell r="E27" t="str">
            <v>%</v>
          </cell>
          <cell r="F27" t="str">
            <v>Mensual</v>
          </cell>
          <cell r="G27" t="str">
            <v>Venta Empresa / Venta Mercado Dinamitas</v>
          </cell>
          <cell r="H27"/>
          <cell r="I27" t="str">
            <v>Gustavo Gómez Sánchez</v>
          </cell>
          <cell r="J27" t="str">
            <v>Renzo Zamudio</v>
          </cell>
          <cell r="K27">
            <v>2008</v>
          </cell>
          <cell r="L27"/>
          <cell r="M27"/>
          <cell r="N27"/>
        </row>
        <row r="28">
          <cell r="B28" t="str">
            <v>PC04-B</v>
          </cell>
          <cell r="C28" t="str">
            <v>% Participación de mercado TM (Mercado Dinamitas)</v>
          </cell>
          <cell r="D28" t="str">
            <v>Mantener liderazgo en el mercado nacional</v>
          </cell>
          <cell r="E28" t="str">
            <v>%</v>
          </cell>
          <cell r="F28" t="str">
            <v>Mensual</v>
          </cell>
          <cell r="G28" t="str">
            <v>Venta Empresa / Venta Mercado Dinamitas</v>
          </cell>
          <cell r="H28"/>
          <cell r="I28" t="str">
            <v>Gustavo Gómez Sánchez</v>
          </cell>
          <cell r="J28" t="str">
            <v>Renzo Zamudio</v>
          </cell>
          <cell r="K28">
            <v>2008</v>
          </cell>
          <cell r="L28"/>
          <cell r="M28"/>
          <cell r="N28"/>
        </row>
        <row r="29">
          <cell r="B29" t="str">
            <v>PC05</v>
          </cell>
          <cell r="C29" t="str">
            <v>Ventas en prod nuevos vs. Ventas totales</v>
          </cell>
          <cell r="D29" t="str">
            <v>Lanzar nuevos productos al mercado</v>
          </cell>
          <cell r="E29" t="str">
            <v>%</v>
          </cell>
          <cell r="F29" t="str">
            <v>Mensual</v>
          </cell>
          <cell r="G29" t="str">
            <v>Ventas en prod nuevos vs. Ventas totales</v>
          </cell>
          <cell r="H29"/>
          <cell r="I29" t="str">
            <v>Gustavo Gómez Sánchez</v>
          </cell>
          <cell r="J29" t="str">
            <v>Praxedes Espejo / Renzo Zamudio</v>
          </cell>
          <cell r="K29">
            <v>2008</v>
          </cell>
          <cell r="L29"/>
          <cell r="M29"/>
          <cell r="N29"/>
        </row>
        <row r="30">
          <cell r="B30" t="str">
            <v>PC06</v>
          </cell>
          <cell r="C30" t="str">
            <v xml:space="preserve">Ratio de reclamos </v>
          </cell>
          <cell r="D30" t="str">
            <v>Mejorar la satisfacción del cliente</v>
          </cell>
          <cell r="E30" t="str">
            <v>%</v>
          </cell>
          <cell r="F30" t="str">
            <v>Mensual</v>
          </cell>
          <cell r="G30" t="str">
            <v>RR= Nº reclamos/Nº Items vendidos*100%</v>
          </cell>
          <cell r="H30"/>
          <cell r="I30" t="str">
            <v>Gustavo Gómez Sánchez</v>
          </cell>
          <cell r="J30" t="str">
            <v xml:space="preserve">Yann Baudran / Renzo Zamudio </v>
          </cell>
          <cell r="K30">
            <v>2008</v>
          </cell>
          <cell r="L30">
            <v>0.17</v>
          </cell>
          <cell r="M30" t="str">
            <v>de 0 - 0.17</v>
          </cell>
          <cell r="N30" t="str">
            <v>&gt; 0.20</v>
          </cell>
        </row>
        <row r="31">
          <cell r="B31" t="str">
            <v>PC07</v>
          </cell>
          <cell r="C31" t="str">
            <v>Nivel de satisfacción del cliente (Resultado Total - Encuesta Satisfacción)</v>
          </cell>
          <cell r="D31" t="str">
            <v>Asegurar que el cliente perciba el valor agregado de nuestros servicios</v>
          </cell>
          <cell r="E31" t="str">
            <v>%</v>
          </cell>
          <cell r="F31" t="str">
            <v>Mensual</v>
          </cell>
          <cell r="G31" t="str">
            <v>Encuesta</v>
          </cell>
          <cell r="H31"/>
          <cell r="I31" t="str">
            <v>Gustavo Gómez Sánchez</v>
          </cell>
          <cell r="J31" t="str">
            <v xml:space="preserve">Yann Baudran / Renzo Zamudio </v>
          </cell>
          <cell r="K31">
            <v>2008</v>
          </cell>
          <cell r="L31"/>
          <cell r="M31"/>
          <cell r="N31"/>
        </row>
        <row r="32">
          <cell r="B32" t="str">
            <v>PPI02</v>
          </cell>
          <cell r="C32" t="str">
            <v>% Avance de desarrollos en nuevos productos y nuevas formulaciones</v>
          </cell>
          <cell r="D32" t="str">
            <v>Mejorar el proceso de I&amp;D</v>
          </cell>
          <cell r="E32" t="str">
            <v>%</v>
          </cell>
          <cell r="F32" t="str">
            <v>Mensual</v>
          </cell>
          <cell r="G32" t="str">
            <v>% Avances de Proyectos = Proy. Resueltos / Proy. Generados</v>
          </cell>
          <cell r="H32"/>
          <cell r="I32" t="str">
            <v>Abel Carcamo</v>
          </cell>
          <cell r="J32" t="str">
            <v>Miguel Torres</v>
          </cell>
          <cell r="K32">
            <v>2008</v>
          </cell>
          <cell r="L32"/>
          <cell r="M32"/>
          <cell r="N32"/>
        </row>
        <row r="33">
          <cell r="B33" t="str">
            <v>PPI04</v>
          </cell>
          <cell r="C33" t="str">
            <v>Nivel de satisfacción del cliente (Resultado Parcial - Encuesta Satisfacción)</v>
          </cell>
          <cell r="D33" t="str">
            <v>Asegurar que el cliente perciba el valor agregado de nuestros productos y servicios</v>
          </cell>
          <cell r="E33" t="str">
            <v>%</v>
          </cell>
          <cell r="F33" t="str">
            <v>Mensual</v>
          </cell>
          <cell r="G33" t="str">
            <v>Encuesta</v>
          </cell>
          <cell r="H33"/>
          <cell r="I33" t="str">
            <v>Gustavo Gómez Sánchez</v>
          </cell>
          <cell r="J33" t="str">
            <v xml:space="preserve">Yann Baudran / Renzo Zamudio </v>
          </cell>
          <cell r="K33">
            <v>2008</v>
          </cell>
          <cell r="L33"/>
          <cell r="M33"/>
          <cell r="N33"/>
        </row>
        <row r="34">
          <cell r="B34" t="str">
            <v>PPI06</v>
          </cell>
          <cell r="C34" t="str">
            <v>Horas de capacitación a clientes (HHR)</v>
          </cell>
          <cell r="D34" t="str">
            <v>Incrementar las HH de Capacitación, entrenamiento y asistencia técnica</v>
          </cell>
          <cell r="E34" t="str">
            <v>Horas</v>
          </cell>
          <cell r="F34" t="str">
            <v>Mensual</v>
          </cell>
          <cell r="G34" t="str">
            <v>Nº horas de capacitacón</v>
          </cell>
          <cell r="H34"/>
          <cell r="I34" t="str">
            <v>Gustavo Gómez Sánchez</v>
          </cell>
          <cell r="J34" t="str">
            <v>Yann Baudran</v>
          </cell>
          <cell r="K34">
            <v>2008</v>
          </cell>
          <cell r="L34">
            <v>65000</v>
          </cell>
          <cell r="M34">
            <v>65000</v>
          </cell>
          <cell r="N34" t="str">
            <v>&lt; 60,000</v>
          </cell>
        </row>
        <row r="35">
          <cell r="B35" t="str">
            <v>PPI07</v>
          </cell>
          <cell r="C35" t="str">
            <v>HHR en visitas para atender reclamos por problemas</v>
          </cell>
          <cell r="D35" t="str">
            <v>Incrementar las HH de Capacitación, entrenamiento y asistencia técnica</v>
          </cell>
          <cell r="E35" t="str">
            <v>%</v>
          </cell>
          <cell r="F35" t="str">
            <v>Mensual</v>
          </cell>
          <cell r="G35" t="str">
            <v>HHR Atencion de reclamos / HHR Visitas Total a cliente</v>
          </cell>
          <cell r="H35"/>
          <cell r="I35" t="str">
            <v>Gustavo Gómez Sánchez</v>
          </cell>
          <cell r="J35" t="str">
            <v>Yann Baudran</v>
          </cell>
          <cell r="K35">
            <v>2008</v>
          </cell>
          <cell r="L35"/>
          <cell r="M35"/>
          <cell r="N35"/>
        </row>
        <row r="36">
          <cell r="B36" t="str">
            <v>PPI09</v>
          </cell>
          <cell r="C36" t="str">
            <v>No. visitas para asistencia técnica</v>
          </cell>
          <cell r="D36" t="str">
            <v>Incrementar las HH de Capacitación, entrenamiento y asistencia técnica</v>
          </cell>
          <cell r="E36" t="str">
            <v>%</v>
          </cell>
          <cell r="F36" t="str">
            <v>Mensual</v>
          </cell>
          <cell r="G36" t="str">
            <v>VAT= Nº Visitas para Asistencia Técnica/Nº Visitas realizadas</v>
          </cell>
          <cell r="H36"/>
          <cell r="I36" t="str">
            <v>Gustavo Gómez Sánchez</v>
          </cell>
          <cell r="J36" t="str">
            <v>Yann Baudran</v>
          </cell>
          <cell r="K36">
            <v>2008</v>
          </cell>
          <cell r="L36">
            <v>0.9</v>
          </cell>
          <cell r="M36">
            <v>0.9</v>
          </cell>
          <cell r="N36" t="str">
            <v>&lt; 70%</v>
          </cell>
        </row>
        <row r="37">
          <cell r="B37" t="str">
            <v>PPI10</v>
          </cell>
          <cell r="C37" t="str">
            <v>Nº de cursos dictados en mina por CTVE</v>
          </cell>
          <cell r="D37" t="str">
            <v>Incrementar las HH de Capacitación, entrenamiento y asistencia técnica</v>
          </cell>
          <cell r="E37" t="str">
            <v xml:space="preserve">Cantidad </v>
          </cell>
          <cell r="F37" t="str">
            <v>Mensual</v>
          </cell>
          <cell r="G37" t="str">
            <v>Nº de cursos dictados al año</v>
          </cell>
          <cell r="H37"/>
          <cell r="I37" t="str">
            <v>Gustavo Gómez Sánchez</v>
          </cell>
          <cell r="J37" t="str">
            <v>Yann Baudran</v>
          </cell>
          <cell r="K37">
            <v>2008</v>
          </cell>
          <cell r="L37">
            <v>1.3</v>
          </cell>
          <cell r="M37">
            <v>1.3</v>
          </cell>
          <cell r="N37" t="str">
            <v>&gt; 100</v>
          </cell>
        </row>
        <row r="38">
          <cell r="B38" t="str">
            <v>PPI11</v>
          </cell>
          <cell r="C38" t="str">
            <v>% pedidos perfectos (óptimos)</v>
          </cell>
          <cell r="D38" t="str">
            <v>Optimizar el proceso de entrega y distribución</v>
          </cell>
          <cell r="E38" t="str">
            <v>%</v>
          </cell>
          <cell r="F38" t="str">
            <v>Mensual</v>
          </cell>
          <cell r="G38" t="str">
            <v>PP=Nº Pedidos entregados a tiempo y completos/Nº Pedidos entregados*100</v>
          </cell>
          <cell r="H38"/>
          <cell r="I38" t="str">
            <v>Mario Del Aguila</v>
          </cell>
          <cell r="J38" t="str">
            <v>Juan Carlos Huaman</v>
          </cell>
          <cell r="K38">
            <v>2008</v>
          </cell>
          <cell r="L38">
            <v>0.9</v>
          </cell>
          <cell r="M38">
            <v>0.9</v>
          </cell>
          <cell r="N38" t="str">
            <v>&lt; 85%</v>
          </cell>
        </row>
        <row r="39">
          <cell r="B39" t="str">
            <v>PPI11-B</v>
          </cell>
          <cell r="C39" t="str">
            <v>Ordenes Perfectas</v>
          </cell>
          <cell r="D39" t="str">
            <v>Optimizar el proceso de entrega y distribución</v>
          </cell>
          <cell r="E39" t="str">
            <v>%</v>
          </cell>
          <cell r="F39" t="str">
            <v>Mensual</v>
          </cell>
          <cell r="G39" t="str">
            <v>Ordenes Perfectas</v>
          </cell>
          <cell r="H39"/>
          <cell r="I39" t="str">
            <v>Gustavo Gómez Sánchez</v>
          </cell>
          <cell r="J39" t="str">
            <v>Praxedes Espejo</v>
          </cell>
          <cell r="K39">
            <v>2008</v>
          </cell>
          <cell r="L39"/>
          <cell r="M39"/>
          <cell r="N39"/>
        </row>
        <row r="40">
          <cell r="B40" t="str">
            <v>PPI2-A</v>
          </cell>
          <cell r="C40" t="str">
            <v>Porcentaje de productos defectuosos (% reproceso )</v>
          </cell>
          <cell r="D40" t="str">
            <v>Reducir defectos</v>
          </cell>
          <cell r="E40" t="str">
            <v>%</v>
          </cell>
          <cell r="F40" t="str">
            <v>Mensual</v>
          </cell>
          <cell r="G40" t="str">
            <v>% Reproceso= Producto reproceso/Producto total * 100%</v>
          </cell>
          <cell r="H40"/>
          <cell r="I40" t="str">
            <v>Miguel Torres</v>
          </cell>
          <cell r="J40" t="str">
            <v>Miguel Torres</v>
          </cell>
          <cell r="K40">
            <v>2008</v>
          </cell>
          <cell r="L40">
            <v>1</v>
          </cell>
          <cell r="M40" t="str">
            <v>de 0 a 1</v>
          </cell>
          <cell r="N40" t="str">
            <v>más de 1.2</v>
          </cell>
        </row>
        <row r="41">
          <cell r="B41" t="str">
            <v>PPI2-B</v>
          </cell>
          <cell r="C41" t="str">
            <v>Porcentaje de productos defectuosos   (% de defectuoso)</v>
          </cell>
          <cell r="D41" t="str">
            <v>Reducir defectos</v>
          </cell>
          <cell r="E41" t="str">
            <v>%</v>
          </cell>
          <cell r="F41" t="str">
            <v>Mensual</v>
          </cell>
          <cell r="G41" t="str">
            <v>% Desecho= Producto defectos/Producto total * 100%</v>
          </cell>
          <cell r="H41"/>
          <cell r="I41" t="str">
            <v>Miguel Torres</v>
          </cell>
          <cell r="J41" t="str">
            <v>Miguel Torres</v>
          </cell>
          <cell r="K41"/>
          <cell r="L41"/>
          <cell r="M41"/>
          <cell r="N41"/>
        </row>
        <row r="42">
          <cell r="B42" t="str">
            <v>PPI31</v>
          </cell>
          <cell r="C42" t="str">
            <v>Productividad de la mano de obra</v>
          </cell>
          <cell r="D42" t="str">
            <v>Ser eficiente en el uso de los recursos</v>
          </cell>
          <cell r="E42" t="str">
            <v>kg/hr-h</v>
          </cell>
          <cell r="F42" t="str">
            <v>Mensual</v>
          </cell>
          <cell r="G42" t="str">
            <v>Productividad MO= KgPT/H-H</v>
          </cell>
          <cell r="H42"/>
          <cell r="I42" t="str">
            <v>Miguel Torres</v>
          </cell>
          <cell r="J42" t="str">
            <v>Miguel Torres</v>
          </cell>
          <cell r="K42">
            <v>2008</v>
          </cell>
          <cell r="L42">
            <v>55</v>
          </cell>
          <cell r="M42">
            <v>-5</v>
          </cell>
          <cell r="N42" t="str">
            <v>&lt; -10</v>
          </cell>
        </row>
        <row r="43">
          <cell r="B43" t="str">
            <v>PPI4</v>
          </cell>
          <cell r="C43" t="str">
            <v>Eficiencia de materiales (por linea)</v>
          </cell>
          <cell r="D43" t="str">
            <v>Ser eficiente en el uso de los recursos</v>
          </cell>
          <cell r="E43" t="str">
            <v>%</v>
          </cell>
          <cell r="F43" t="str">
            <v>Mensual</v>
          </cell>
          <cell r="G43" t="str">
            <v>EM= PT/MP * 100%</v>
          </cell>
          <cell r="H43"/>
          <cell r="I43" t="str">
            <v>Miguel Torres</v>
          </cell>
          <cell r="J43" t="str">
            <v>Miguel Torres</v>
          </cell>
          <cell r="K43">
            <v>2008</v>
          </cell>
          <cell r="L43">
            <v>0.98499999999999999</v>
          </cell>
          <cell r="M43">
            <v>-2E-3</v>
          </cell>
          <cell r="N43" t="str">
            <v>&lt; a -0.5%</v>
          </cell>
        </row>
        <row r="44">
          <cell r="B44" t="str">
            <v>PP15MP</v>
          </cell>
          <cell r="C44" t="str">
            <v>Cobertura de inventarios MP</v>
          </cell>
          <cell r="D44" t="str">
            <v>Ser eficiente en el uso de los recursos</v>
          </cell>
          <cell r="E44" t="str">
            <v>Meses</v>
          </cell>
          <cell r="F44" t="str">
            <v>Mensual</v>
          </cell>
          <cell r="G44" t="str">
            <v>Valor de Stock Medio  /  Valor Total de Consumo Producción</v>
          </cell>
          <cell r="H44"/>
          <cell r="I44" t="str">
            <v>Francisco Vásquez</v>
          </cell>
          <cell r="J44" t="str">
            <v>Carlos Bardales</v>
          </cell>
          <cell r="K44">
            <v>2008</v>
          </cell>
          <cell r="L44"/>
          <cell r="M44"/>
          <cell r="N44"/>
        </row>
        <row r="45">
          <cell r="B45" t="str">
            <v>PPI5ME</v>
          </cell>
          <cell r="C45" t="str">
            <v>Cobertura de inventarios MERCADERIA</v>
          </cell>
          <cell r="D45" t="str">
            <v>Ser eficiente en el uso de los recursos</v>
          </cell>
          <cell r="E45" t="str">
            <v>Meses</v>
          </cell>
          <cell r="F45" t="str">
            <v>Mensual</v>
          </cell>
          <cell r="G45" t="str">
            <v>Valor de Stock Medio  /  Valor Total de Venta</v>
          </cell>
          <cell r="H45"/>
          <cell r="I45" t="str">
            <v>Francisco Vásquez</v>
          </cell>
          <cell r="J45" t="str">
            <v>Carlos Bardales</v>
          </cell>
          <cell r="K45">
            <v>2008</v>
          </cell>
          <cell r="L45"/>
          <cell r="M45"/>
          <cell r="N45"/>
        </row>
        <row r="46">
          <cell r="B46" t="str">
            <v>PPI5PT</v>
          </cell>
          <cell r="C46" t="str">
            <v>Cobertura de Inventarios de productos  Terminados</v>
          </cell>
          <cell r="D46" t="str">
            <v>Ser eficiente en el uso de los recursos</v>
          </cell>
          <cell r="E46" t="str">
            <v>Meses</v>
          </cell>
          <cell r="F46" t="str">
            <v>Mensual</v>
          </cell>
          <cell r="G46" t="str">
            <v>Inventario  Final  /  Promedio de Ventas</v>
          </cell>
          <cell r="H46"/>
          <cell r="I46" t="str">
            <v>Francisco Vásquez</v>
          </cell>
          <cell r="J46" t="str">
            <v>Carlos Bardales</v>
          </cell>
          <cell r="K46">
            <v>2008</v>
          </cell>
          <cell r="L46"/>
          <cell r="M46"/>
          <cell r="N46"/>
        </row>
        <row r="47">
          <cell r="B47" t="str">
            <v>PPI15-D</v>
          </cell>
          <cell r="C47" t="str">
            <v>% del total de Stock con baja Rotación de inventarios</v>
          </cell>
          <cell r="D47" t="str">
            <v>Ser eficiente en el uso de los recursos</v>
          </cell>
          <cell r="E47" t="str">
            <v>%</v>
          </cell>
          <cell r="F47" t="str">
            <v>Mensual</v>
          </cell>
          <cell r="G47" t="str">
            <v xml:space="preserve">Stock bajo rotacion / Stock Total </v>
          </cell>
          <cell r="H47"/>
          <cell r="I47" t="str">
            <v>Francisco Vásquez</v>
          </cell>
          <cell r="J47" t="str">
            <v>Carlos Bardales</v>
          </cell>
          <cell r="K47">
            <v>2008</v>
          </cell>
          <cell r="L47"/>
          <cell r="M47"/>
          <cell r="N47"/>
        </row>
        <row r="48">
          <cell r="B48" t="str">
            <v>PPI6</v>
          </cell>
          <cell r="C48" t="str">
            <v>% uso de capacidad instalada</v>
          </cell>
          <cell r="D48" t="str">
            <v>Ser eficiente en el uso de los recursos</v>
          </cell>
          <cell r="E48" t="str">
            <v>%</v>
          </cell>
          <cell r="F48" t="str">
            <v>Mensual</v>
          </cell>
          <cell r="G48" t="str">
            <v>UCI= Toneladas fabricadas/ Toneladas nominales</v>
          </cell>
          <cell r="H48"/>
          <cell r="I48" t="str">
            <v>Miguel Torres</v>
          </cell>
          <cell r="J48" t="str">
            <v>Miguel Torres</v>
          </cell>
          <cell r="K48">
            <v>2008</v>
          </cell>
          <cell r="L48">
            <v>70</v>
          </cell>
          <cell r="M48">
            <v>-2</v>
          </cell>
          <cell r="N48" t="str">
            <v>&lt; -5</v>
          </cell>
        </row>
        <row r="49">
          <cell r="B49" t="str">
            <v>PPI17</v>
          </cell>
          <cell r="C49" t="str">
            <v>Parada de Máquina                                       (% de Tiempo Pérdido)</v>
          </cell>
          <cell r="D49" t="str">
            <v>Ser eficiente en el uso de los recursos</v>
          </cell>
          <cell r="E49" t="str">
            <v>%</v>
          </cell>
          <cell r="F49" t="str">
            <v>Mensual</v>
          </cell>
          <cell r="G49" t="str">
            <v>Parada de Máquina                                       (% de Tiempo Pérdido)</v>
          </cell>
          <cell r="H49"/>
          <cell r="I49" t="str">
            <v>Miguel Torres</v>
          </cell>
          <cell r="J49" t="str">
            <v>Miguel Torres</v>
          </cell>
          <cell r="K49">
            <v>2008</v>
          </cell>
          <cell r="L49"/>
          <cell r="M49"/>
          <cell r="N49"/>
        </row>
        <row r="50">
          <cell r="B50" t="str">
            <v>PPI18</v>
          </cell>
          <cell r="C50" t="str">
            <v>% Cumplimientos de ventas / Producción</v>
          </cell>
          <cell r="D50" t="str">
            <v>Ser eficiente en el uso de los recursos</v>
          </cell>
          <cell r="E50" t="str">
            <v>%</v>
          </cell>
          <cell r="F50" t="str">
            <v>Mensual</v>
          </cell>
          <cell r="G50" t="str">
            <v>% Cumplimientos ventas / Produccion</v>
          </cell>
          <cell r="H50"/>
          <cell r="I50" t="str">
            <v>Miguel Torres</v>
          </cell>
          <cell r="J50" t="str">
            <v>Miguel Torres</v>
          </cell>
          <cell r="K50">
            <v>2008</v>
          </cell>
          <cell r="L50"/>
          <cell r="M50"/>
          <cell r="N50"/>
        </row>
        <row r="51">
          <cell r="B51" t="str">
            <v>PPI19</v>
          </cell>
          <cell r="C51" t="str">
            <v>Cumplimiento del Plan Anual de Inversiones</v>
          </cell>
          <cell r="D51" t="str">
            <v>Mantener tecnología competitiva</v>
          </cell>
          <cell r="E51" t="str">
            <v>%</v>
          </cell>
          <cell r="F51" t="str">
            <v>Anual</v>
          </cell>
          <cell r="G51" t="str">
            <v>CP= Inversión Ejecutada / Inversión Planificada * 100</v>
          </cell>
          <cell r="H51"/>
          <cell r="I51" t="str">
            <v>Michael Montoya</v>
          </cell>
          <cell r="J51" t="str">
            <v xml:space="preserve">Robert Ampuero </v>
          </cell>
          <cell r="K51">
            <v>2008</v>
          </cell>
          <cell r="L51">
            <v>0.75</v>
          </cell>
          <cell r="M51">
            <v>0.75</v>
          </cell>
          <cell r="N51">
            <v>0.5</v>
          </cell>
        </row>
        <row r="52">
          <cell r="B52" t="str">
            <v>PPI20</v>
          </cell>
          <cell r="C52" t="str">
            <v>Nivel mensual de servicio a producción</v>
          </cell>
          <cell r="D52" t="str">
            <v>Optimizar el abastecimiento de insumos críticos</v>
          </cell>
          <cell r="E52" t="str">
            <v>%</v>
          </cell>
          <cell r="F52" t="str">
            <v>Mensual</v>
          </cell>
          <cell r="G52" t="str">
            <v>Insumos cubiertos / Insumos Totales</v>
          </cell>
          <cell r="H52"/>
          <cell r="I52" t="str">
            <v>Francisco Vásquez</v>
          </cell>
          <cell r="J52" t="str">
            <v>Carlos Bardales</v>
          </cell>
          <cell r="K52">
            <v>2008</v>
          </cell>
          <cell r="L52"/>
          <cell r="M52"/>
          <cell r="N52"/>
        </row>
        <row r="53">
          <cell r="B53" t="str">
            <v>PPI21</v>
          </cell>
          <cell r="C53" t="str">
            <v>No. de quiebres de inventario</v>
          </cell>
          <cell r="D53" t="str">
            <v>Optimizar el abastecimiento de insumos críticos</v>
          </cell>
          <cell r="E53" t="str">
            <v>Unid</v>
          </cell>
          <cell r="F53" t="str">
            <v>Mensual</v>
          </cell>
          <cell r="G53" t="str">
            <v>Veces que stock del material fue igual a cero</v>
          </cell>
          <cell r="H53"/>
          <cell r="I53" t="str">
            <v>Francisco Vásquez</v>
          </cell>
          <cell r="J53" t="str">
            <v>Carlos Bardales</v>
          </cell>
          <cell r="K53">
            <v>2008</v>
          </cell>
          <cell r="L53" t="str">
            <v>SAP</v>
          </cell>
          <cell r="M53"/>
          <cell r="N53"/>
        </row>
        <row r="54">
          <cell r="B54" t="str">
            <v>PPI22-1</v>
          </cell>
          <cell r="C54" t="str">
            <v>Indice de gravedad</v>
          </cell>
          <cell r="D54" t="str">
            <v>Ser una empresa segura</v>
          </cell>
          <cell r="E54" t="str">
            <v>Escala</v>
          </cell>
          <cell r="F54" t="str">
            <v>Mensual</v>
          </cell>
          <cell r="G54" t="str">
            <v>IG = N. de Acc * 1000000 / Numero de Horas Totales</v>
          </cell>
          <cell r="H54"/>
          <cell r="I54" t="str">
            <v>Michael Montoya</v>
          </cell>
          <cell r="J54" t="str">
            <v>Harold Alvarez</v>
          </cell>
          <cell r="K54">
            <v>2008</v>
          </cell>
          <cell r="L54"/>
          <cell r="M54"/>
          <cell r="N54"/>
        </row>
        <row r="55">
          <cell r="B55" t="str">
            <v>PPI22-2</v>
          </cell>
          <cell r="C55" t="str">
            <v>Numero de Accidentes</v>
          </cell>
          <cell r="D55" t="str">
            <v>Ser una empresa segura</v>
          </cell>
          <cell r="E55" t="str">
            <v>Escala</v>
          </cell>
          <cell r="F55" t="str">
            <v>Mensual</v>
          </cell>
          <cell r="G55" t="str">
            <v>Accidentes</v>
          </cell>
          <cell r="H55"/>
          <cell r="I55" t="str">
            <v>Michael Montoya</v>
          </cell>
          <cell r="J55" t="str">
            <v>Harold Alvarez</v>
          </cell>
          <cell r="K55">
            <v>2008</v>
          </cell>
          <cell r="L55"/>
          <cell r="M55"/>
          <cell r="N55"/>
        </row>
        <row r="56">
          <cell r="B56" t="str">
            <v>PPI22-3</v>
          </cell>
          <cell r="C56" t="str">
            <v>Indice de frecuencia</v>
          </cell>
          <cell r="D56" t="str">
            <v>Ser una empresa segura</v>
          </cell>
          <cell r="E56" t="str">
            <v>Escala</v>
          </cell>
          <cell r="F56" t="str">
            <v>Mensual</v>
          </cell>
          <cell r="G56" t="str">
            <v>IF = Dias Perdidos * 1000000 / Numero de Horas Totales</v>
          </cell>
          <cell r="H56"/>
          <cell r="I56" t="str">
            <v>Michael Montoya</v>
          </cell>
          <cell r="J56" t="str">
            <v>Harold Alvarez</v>
          </cell>
          <cell r="K56">
            <v>2008</v>
          </cell>
          <cell r="L56"/>
          <cell r="M56"/>
          <cell r="N56"/>
        </row>
        <row r="57">
          <cell r="B57" t="str">
            <v>PAC01</v>
          </cell>
          <cell r="C57" t="str">
            <v>Utilidad Operativa / Nro  personas</v>
          </cell>
          <cell r="D57" t="str">
            <v>Contar con personal con alto rendimiento</v>
          </cell>
          <cell r="E57" t="str">
            <v>Unid</v>
          </cell>
          <cell r="F57" t="str">
            <v>Mensual</v>
          </cell>
          <cell r="G57" t="str">
            <v>Utilidad Operativa  / Nr personas</v>
          </cell>
          <cell r="H57"/>
          <cell r="I57" t="str">
            <v>Ernesto Nuñez Del Prado</v>
          </cell>
          <cell r="J57" t="str">
            <v>Raúl Nuñez</v>
          </cell>
          <cell r="K57">
            <v>2008</v>
          </cell>
          <cell r="L57"/>
          <cell r="M57"/>
          <cell r="N57"/>
        </row>
        <row r="58">
          <cell r="B58" t="str">
            <v>PCA03</v>
          </cell>
          <cell r="C58" t="str">
            <v>Total Personal a fin de Periodo</v>
          </cell>
          <cell r="D58" t="str">
            <v>Mejorar el clima laboral</v>
          </cell>
          <cell r="E58" t="str">
            <v>Unid</v>
          </cell>
          <cell r="F58" t="str">
            <v>Mensual</v>
          </cell>
          <cell r="G58" t="str">
            <v>TPP = Personas en planillas al fin del periodo</v>
          </cell>
          <cell r="H58"/>
          <cell r="I58" t="str">
            <v>Ernesto Nuñez Del Prado</v>
          </cell>
          <cell r="J58" t="str">
            <v>Raúl Nuñez</v>
          </cell>
          <cell r="K58">
            <v>2008</v>
          </cell>
          <cell r="L58">
            <v>7.0000000000000007E-2</v>
          </cell>
          <cell r="M58">
            <v>0.08</v>
          </cell>
          <cell r="N58" t="str">
            <v>&gt; 9%</v>
          </cell>
        </row>
        <row r="59">
          <cell r="B59" t="str">
            <v>PCA04</v>
          </cell>
          <cell r="C59" t="str">
            <v>Respaldo Estratégico</v>
          </cell>
          <cell r="D59" t="str">
            <v>Desarrollar TI para la gestión</v>
          </cell>
          <cell r="E59" t="str">
            <v>%</v>
          </cell>
          <cell r="F59" t="str">
            <v>Mensual</v>
          </cell>
          <cell r="G59" t="str">
            <v>(Hr utilizadas en proyectos estratégicos) / S (Hr disponibles) x 100</v>
          </cell>
          <cell r="H59"/>
          <cell r="I59" t="str">
            <v>Carlos Paredes</v>
          </cell>
          <cell r="J59" t="str">
            <v>Carlos Paredes</v>
          </cell>
          <cell r="K59">
            <v>2008</v>
          </cell>
          <cell r="L59">
            <v>0.99729999999999996</v>
          </cell>
          <cell r="M59">
            <v>0.99729999999999996</v>
          </cell>
          <cell r="N59" t="str">
            <v>&lt; 99.25%</v>
          </cell>
        </row>
        <row r="60">
          <cell r="B60" t="str">
            <v>PCA05</v>
          </cell>
          <cell r="C60" t="str">
            <v>Nivel de Servicio TI</v>
          </cell>
          <cell r="D60" t="str">
            <v>Desarrollar TI para la gestión</v>
          </cell>
          <cell r="E60" t="str">
            <v>%</v>
          </cell>
          <cell r="F60" t="str">
            <v>Mensual</v>
          </cell>
          <cell r="G60" t="str">
            <v>S(Peso  x  % nivel de servicio)</v>
          </cell>
          <cell r="H60"/>
          <cell r="I60" t="str">
            <v>Carlos Paredes</v>
          </cell>
          <cell r="J60" t="str">
            <v>Carlos Paredes</v>
          </cell>
          <cell r="K60">
            <v>2008</v>
          </cell>
          <cell r="L60">
            <v>3</v>
          </cell>
          <cell r="M60" t="str">
            <v xml:space="preserve">&gt; 3 </v>
          </cell>
          <cell r="N60" t="str">
            <v>&lt; 3</v>
          </cell>
        </row>
        <row r="61">
          <cell r="B61" t="str">
            <v>PCA06</v>
          </cell>
          <cell r="C61" t="str">
            <v>Seguridad de la Información</v>
          </cell>
          <cell r="D61" t="str">
            <v>Desarrollar TI para la gestión</v>
          </cell>
          <cell r="E61" t="str">
            <v>%</v>
          </cell>
          <cell r="F61" t="str">
            <v>Mensual</v>
          </cell>
          <cell r="G61" t="str">
            <v>%Integridad x %Confidencialidad x %Disponibilidad</v>
          </cell>
          <cell r="H61"/>
          <cell r="I61" t="str">
            <v>Carlos Paredes</v>
          </cell>
          <cell r="J61" t="str">
            <v>Carlos Paredes</v>
          </cell>
          <cell r="K61">
            <v>2008</v>
          </cell>
          <cell r="L61">
            <v>0.85</v>
          </cell>
          <cell r="M61" t="str">
            <v>&gt; 80%</v>
          </cell>
          <cell r="N61" t="str">
            <v>&lt; 75%</v>
          </cell>
        </row>
        <row r="62">
          <cell r="B62" t="str">
            <v>PCA08-A</v>
          </cell>
          <cell r="C62" t="str">
            <v>Calidad de Contratacion</v>
          </cell>
          <cell r="D62" t="str">
            <v>Seleccionar personal con alto rendimiento</v>
          </cell>
          <cell r="E62" t="str">
            <v>%</v>
          </cell>
          <cell r="F62" t="str">
            <v>Mensual</v>
          </cell>
          <cell r="G62" t="str">
            <v>CC = Personal con 1 año de antiguedad - retiros voluntarios - ceces / Personal con 1 año de antiguedad - retiros voluntarios</v>
          </cell>
          <cell r="H62"/>
          <cell r="I62" t="str">
            <v>Ernesto Nuñez Del Prado</v>
          </cell>
          <cell r="J62" t="str">
            <v>Raúl Nuñez</v>
          </cell>
          <cell r="K62">
            <v>2008</v>
          </cell>
          <cell r="L62">
            <v>0.9</v>
          </cell>
          <cell r="M62">
            <v>0.85</v>
          </cell>
          <cell r="N62" t="str">
            <v>&lt; 80%</v>
          </cell>
        </row>
        <row r="63">
          <cell r="B63" t="str">
            <v>PCA08-B</v>
          </cell>
          <cell r="C63" t="str">
            <v>Tiempo para cubrir una Posición</v>
          </cell>
          <cell r="D63" t="str">
            <v>Seleccionar personal con alto rendimiento</v>
          </cell>
          <cell r="E63" t="str">
            <v>Unid</v>
          </cell>
          <cell r="F63" t="str">
            <v>Mensual</v>
          </cell>
          <cell r="G63" t="str">
            <v>TCP = Tiempo  total en contratar / Ingresos</v>
          </cell>
          <cell r="H63"/>
          <cell r="I63" t="str">
            <v>Ernesto Nuñez Del Prado</v>
          </cell>
          <cell r="J63" t="str">
            <v>Raúl Nuñez</v>
          </cell>
          <cell r="K63">
            <v>2008</v>
          </cell>
          <cell r="L63">
            <v>0.9</v>
          </cell>
          <cell r="M63">
            <v>0.85</v>
          </cell>
          <cell r="N63" t="str">
            <v>&lt; 80%</v>
          </cell>
        </row>
        <row r="64">
          <cell r="B64" t="str">
            <v>PCA08-C</v>
          </cell>
          <cell r="C64" t="str">
            <v>% de Personal con Objetivos Aprobados</v>
          </cell>
          <cell r="D64" t="str">
            <v>Contar con personal con alto rendimiento</v>
          </cell>
          <cell r="E64" t="str">
            <v>%</v>
          </cell>
          <cell r="F64" t="str">
            <v>Mensual</v>
          </cell>
          <cell r="G64" t="str">
            <v>POA = o Personas con objetivos aprobados / Personas con acceso a GEDEX x 100</v>
          </cell>
          <cell r="H64"/>
          <cell r="I64" t="str">
            <v>Ernesto Nuñez Del Prado</v>
          </cell>
          <cell r="J64" t="str">
            <v>Raúl Nuñez</v>
          </cell>
          <cell r="K64">
            <v>2008</v>
          </cell>
          <cell r="L64">
            <v>0.9</v>
          </cell>
          <cell r="M64">
            <v>0.85</v>
          </cell>
          <cell r="N64" t="str">
            <v>&lt; 80%</v>
          </cell>
        </row>
        <row r="65">
          <cell r="B65" t="str">
            <v>PCA08-D</v>
          </cell>
          <cell r="C65" t="str">
            <v>% de Personal Evaluados con evaluación Firmada</v>
          </cell>
          <cell r="D65" t="str">
            <v>Contar con personal con alto rendimiento</v>
          </cell>
          <cell r="E65" t="str">
            <v>%</v>
          </cell>
          <cell r="F65" t="str">
            <v>Mensual</v>
          </cell>
          <cell r="G65" t="str">
            <v>PEEF = Personas evaluadas con evaluación firmada / Personas con objetivos aprobados x 100</v>
          </cell>
          <cell r="H65"/>
          <cell r="I65" t="str">
            <v>Ernesto Nuñez Del Prado</v>
          </cell>
          <cell r="J65" t="str">
            <v>Raúl Nuñez</v>
          </cell>
          <cell r="K65">
            <v>2008</v>
          </cell>
          <cell r="L65">
            <v>0.9</v>
          </cell>
          <cell r="M65">
            <v>0.85</v>
          </cell>
          <cell r="N65" t="str">
            <v>&lt; 80%</v>
          </cell>
        </row>
        <row r="66">
          <cell r="B66" t="str">
            <v>PCA08-E</v>
          </cell>
          <cell r="C66" t="str">
            <v>Número de Asesorías realizadas por personas</v>
          </cell>
          <cell r="D66" t="str">
            <v>Contar con personal con alto rendimiento</v>
          </cell>
          <cell r="E66" t="str">
            <v>%</v>
          </cell>
          <cell r="F66" t="str">
            <v>Mensual</v>
          </cell>
          <cell r="G66" t="str">
            <v>ARP =  Asesorías realizadas / Personas con objetivos aprobados</v>
          </cell>
          <cell r="H66"/>
          <cell r="I66" t="str">
            <v>Ernesto Nuñez Del Prado</v>
          </cell>
          <cell r="J66" t="str">
            <v>Raúl Nuñez</v>
          </cell>
          <cell r="K66">
            <v>2008</v>
          </cell>
          <cell r="L66">
            <v>0.9</v>
          </cell>
          <cell r="M66">
            <v>0.85</v>
          </cell>
          <cell r="N66" t="str">
            <v>&lt; 80%</v>
          </cell>
        </row>
        <row r="67">
          <cell r="B67" t="str">
            <v>PCA08-F</v>
          </cell>
          <cell r="C67" t="str">
            <v>% Puestos cubiertos internamente</v>
          </cell>
          <cell r="D67" t="str">
            <v>Contar con personal con alto rendimiento</v>
          </cell>
          <cell r="E67" t="str">
            <v>%</v>
          </cell>
          <cell r="F67" t="str">
            <v>Mensual</v>
          </cell>
          <cell r="G67" t="str">
            <v>PCI =  Puestos cubiertos internamente / Solicitudes x 100</v>
          </cell>
          <cell r="H67"/>
          <cell r="I67" t="str">
            <v>Ernesto Nuñez Del Prado</v>
          </cell>
          <cell r="J67" t="str">
            <v>Raúl Nuñez</v>
          </cell>
          <cell r="K67">
            <v>2008</v>
          </cell>
          <cell r="L67"/>
          <cell r="M67"/>
          <cell r="N67"/>
        </row>
        <row r="68">
          <cell r="B68" t="str">
            <v>PCA08-G</v>
          </cell>
          <cell r="C68" t="str">
            <v>Número de horas de capacitación al personal</v>
          </cell>
          <cell r="D68" t="str">
            <v>Contar con personal con alto rendimiento</v>
          </cell>
          <cell r="E68" t="str">
            <v>Unid</v>
          </cell>
          <cell r="F68" t="str">
            <v>Mensual</v>
          </cell>
          <cell r="G68" t="str">
            <v>Horas de capacitación por persona</v>
          </cell>
          <cell r="H68"/>
          <cell r="I68" t="str">
            <v>Ernesto Nuñez Del Prado</v>
          </cell>
          <cell r="J68" t="str">
            <v>Raúl Nuñez</v>
          </cell>
          <cell r="K68">
            <v>2008</v>
          </cell>
          <cell r="L68"/>
          <cell r="M68"/>
          <cell r="N68"/>
        </row>
        <row r="69">
          <cell r="B69" t="str">
            <v>PCA09-A</v>
          </cell>
          <cell r="C69" t="str">
            <v>Indice de Rotacion Total</v>
          </cell>
          <cell r="D69" t="str">
            <v>Mejorar el clima laboral</v>
          </cell>
          <cell r="E69" t="str">
            <v>%</v>
          </cell>
          <cell r="F69" t="str">
            <v>Mensual</v>
          </cell>
          <cell r="G69" t="str">
            <v>IRT =  Renuncias voluntarias + ceces / Personal total</v>
          </cell>
          <cell r="H69"/>
          <cell r="I69" t="str">
            <v>Ernesto Nuñez Del Prado</v>
          </cell>
          <cell r="J69" t="str">
            <v>Raúl Nuñez</v>
          </cell>
          <cell r="K69">
            <v>2008</v>
          </cell>
          <cell r="L69">
            <v>0.9</v>
          </cell>
          <cell r="M69">
            <v>0.85</v>
          </cell>
          <cell r="N69" t="str">
            <v>&lt; 80%</v>
          </cell>
        </row>
        <row r="70">
          <cell r="B70" t="str">
            <v>PCA09-B</v>
          </cell>
          <cell r="C70" t="str">
            <v>Indice de Rotacion Voluntaria</v>
          </cell>
          <cell r="D70" t="str">
            <v>Mejorar el clima laboral</v>
          </cell>
          <cell r="E70" t="str">
            <v>%</v>
          </cell>
          <cell r="F70" t="str">
            <v>Mensual</v>
          </cell>
          <cell r="G70" t="str">
            <v>IRV =  Renuncias voluntarias / Personal Total</v>
          </cell>
          <cell r="H70"/>
          <cell r="I70" t="str">
            <v>Ernesto Nuñez Del Prado</v>
          </cell>
          <cell r="J70" t="str">
            <v>Raúl Nuñez</v>
          </cell>
          <cell r="K70">
            <v>2008</v>
          </cell>
          <cell r="L70">
            <v>0.9</v>
          </cell>
          <cell r="M70">
            <v>0.85</v>
          </cell>
          <cell r="N70" t="str">
            <v>&lt; 80%</v>
          </cell>
        </row>
        <row r="71">
          <cell r="B71" t="str">
            <v>PCA09-C</v>
          </cell>
          <cell r="C71" t="str">
            <v>Dias de Vacaciones Vencidas</v>
          </cell>
          <cell r="D71" t="str">
            <v>Mejorar el clima laboral</v>
          </cell>
          <cell r="E71" t="str">
            <v>Unid</v>
          </cell>
          <cell r="F71" t="str">
            <v>Mensual</v>
          </cell>
          <cell r="G71" t="str">
            <v>DVV =  Días de vacaciones vencidas acumuladas a la fecha</v>
          </cell>
          <cell r="H71"/>
          <cell r="I71" t="str">
            <v>Ernesto Nuñez Del Prado</v>
          </cell>
          <cell r="J71" t="str">
            <v>Raúl Nuñez</v>
          </cell>
          <cell r="K71">
            <v>2008</v>
          </cell>
          <cell r="L71">
            <v>0.9</v>
          </cell>
          <cell r="M71">
            <v>0.85</v>
          </cell>
          <cell r="N71" t="str">
            <v>&lt; 80%</v>
          </cell>
        </row>
        <row r="72">
          <cell r="B72" t="str">
            <v>PCA09-D</v>
          </cell>
          <cell r="C72" t="str">
            <v>Personas con Vacaciones Vencidas</v>
          </cell>
          <cell r="D72" t="str">
            <v>Mejorar el clima laboral</v>
          </cell>
          <cell r="E72" t="str">
            <v>Unid</v>
          </cell>
          <cell r="F72" t="str">
            <v>Mensual</v>
          </cell>
          <cell r="G72" t="str">
            <v>PVV = Personas con vacaciones vencidas a la fecha</v>
          </cell>
          <cell r="H72"/>
          <cell r="I72" t="str">
            <v>Ernesto Nuñez Del Prado</v>
          </cell>
          <cell r="J72" t="str">
            <v>Raúl Nuñez</v>
          </cell>
          <cell r="K72"/>
          <cell r="L72"/>
          <cell r="M72"/>
          <cell r="N72"/>
        </row>
        <row r="73">
          <cell r="B73" t="str">
            <v>PCA09-E</v>
          </cell>
          <cell r="C73" t="str">
            <v>Vacaciones Vencidas</v>
          </cell>
          <cell r="D73" t="str">
            <v>Mejorar el clima laboral</v>
          </cell>
          <cell r="E73" t="str">
            <v>Unid</v>
          </cell>
          <cell r="F73" t="str">
            <v>Mensual</v>
          </cell>
          <cell r="G73" t="str">
            <v>VV =Dias de vacaciones vencidas / Personas con vacaciones vencidas a la fecha</v>
          </cell>
          <cell r="H73"/>
          <cell r="I73" t="str">
            <v>Ernesto Nuñez Del Prado</v>
          </cell>
          <cell r="J73" t="str">
            <v>Raúl Nuñez</v>
          </cell>
          <cell r="K73"/>
          <cell r="L73"/>
          <cell r="M73"/>
          <cell r="N73"/>
        </row>
        <row r="74">
          <cell r="B74" t="str">
            <v>PCA10</v>
          </cell>
          <cell r="C74" t="str">
            <v>Autoevaluación modelo Malcom Baldridge</v>
          </cell>
          <cell r="D74" t="str">
            <v>Ser una empresa responsable con el medio ambiente</v>
          </cell>
          <cell r="E74" t="str">
            <v>Puntos</v>
          </cell>
          <cell r="F74" t="str">
            <v>Semanal</v>
          </cell>
          <cell r="G74" t="str">
            <v>Autocalificación obtenida sobre 1000 puntos</v>
          </cell>
          <cell r="H74"/>
          <cell r="I74" t="str">
            <v>Michael Montoya</v>
          </cell>
          <cell r="J74" t="str">
            <v>Omar Flores</v>
          </cell>
          <cell r="K74">
            <v>2008</v>
          </cell>
          <cell r="L74">
            <v>0</v>
          </cell>
          <cell r="M74">
            <v>-10</v>
          </cell>
          <cell r="N74">
            <v>-20</v>
          </cell>
        </row>
        <row r="75">
          <cell r="B75" t="str">
            <v>PCA11</v>
          </cell>
          <cell r="C75" t="str">
            <v>Cumplimiento de metas ambientales</v>
          </cell>
          <cell r="D75" t="str">
            <v>Ser una empresa responsable con el medio ambiente</v>
          </cell>
          <cell r="E75" t="str">
            <v>%</v>
          </cell>
          <cell r="F75" t="str">
            <v>Mensual</v>
          </cell>
          <cell r="G75" t="str">
            <v xml:space="preserve">CMA= % del cumplimiento de las metas ambientales
</v>
          </cell>
          <cell r="H75"/>
          <cell r="I75" t="str">
            <v>Michael Montoya</v>
          </cell>
          <cell r="J75" t="str">
            <v>Omar Flores</v>
          </cell>
          <cell r="K75">
            <v>2008</v>
          </cell>
          <cell r="L75">
            <v>1</v>
          </cell>
          <cell r="M75">
            <v>-10</v>
          </cell>
          <cell r="N75">
            <v>-20</v>
          </cell>
        </row>
      </sheetData>
      <sheetData sheetId="8"/>
      <sheetData sheetId="9">
        <row r="9">
          <cell r="D9"/>
          <cell r="E9" t="str">
            <v>Mesual</v>
          </cell>
          <cell r="F9"/>
          <cell r="G9"/>
          <cell r="H9"/>
          <cell r="I9"/>
          <cell r="J9"/>
          <cell r="K9" t="str">
            <v>Acumulado</v>
          </cell>
          <cell r="L9"/>
          <cell r="M9"/>
          <cell r="N9"/>
          <cell r="O9"/>
          <cell r="P9"/>
          <cell r="V9" t="str">
            <v>Mes</v>
          </cell>
          <cell r="W9"/>
          <cell r="X9"/>
          <cell r="Y9"/>
          <cell r="Z9"/>
          <cell r="AA9"/>
          <cell r="AB9"/>
          <cell r="AC9"/>
          <cell r="AD9"/>
          <cell r="AE9"/>
          <cell r="AF9" t="str">
            <v>Mes</v>
          </cell>
          <cell r="AG9"/>
          <cell r="AH9"/>
          <cell r="AI9"/>
          <cell r="AJ9"/>
          <cell r="AK9"/>
          <cell r="AL9"/>
          <cell r="AM9"/>
          <cell r="AN9"/>
          <cell r="AO9"/>
        </row>
        <row r="10">
          <cell r="D10" t="str">
            <v>Fecha</v>
          </cell>
          <cell r="E10" t="str">
            <v>Estimado</v>
          </cell>
          <cell r="F10" t="str">
            <v>Performance</v>
          </cell>
          <cell r="G10"/>
          <cell r="H10"/>
          <cell r="I10" t="str">
            <v>Limites</v>
          </cell>
          <cell r="J10"/>
          <cell r="K10" t="str">
            <v>Estimado</v>
          </cell>
          <cell r="L10" t="str">
            <v>Performance</v>
          </cell>
          <cell r="M10"/>
          <cell r="N10"/>
          <cell r="O10" t="str">
            <v>Limites</v>
          </cell>
          <cell r="P10"/>
          <cell r="Q10"/>
          <cell r="R10"/>
          <cell r="S10"/>
          <cell r="T10"/>
          <cell r="U10"/>
          <cell r="V10"/>
          <cell r="W10" t="str">
            <v>Valores</v>
          </cell>
          <cell r="X10"/>
          <cell r="Y10" t="str">
            <v>Var 1.</v>
          </cell>
          <cell r="Z10"/>
          <cell r="AA10" t="str">
            <v>Proyectado</v>
          </cell>
          <cell r="AB10" t="str">
            <v>Anual</v>
          </cell>
          <cell r="AC10" t="str">
            <v>Var 2.</v>
          </cell>
          <cell r="AD10"/>
          <cell r="AE10" t="str">
            <v>% Avance 
del Año</v>
          </cell>
          <cell r="AF10"/>
          <cell r="AG10" t="str">
            <v>Valores</v>
          </cell>
          <cell r="AH10"/>
          <cell r="AI10" t="str">
            <v>Var 1.</v>
          </cell>
          <cell r="AJ10"/>
          <cell r="AK10" t="str">
            <v>Proyectado</v>
          </cell>
          <cell r="AL10" t="str">
            <v>Anual</v>
          </cell>
          <cell r="AM10" t="str">
            <v>Var 2.</v>
          </cell>
          <cell r="AN10"/>
          <cell r="AO10" t="str">
            <v>% Avance 
del Año</v>
          </cell>
        </row>
        <row r="11">
          <cell r="D11"/>
          <cell r="E11"/>
          <cell r="F11"/>
          <cell r="G11"/>
          <cell r="H11"/>
          <cell r="I11" t="str">
            <v>Sup</v>
          </cell>
          <cell r="J11" t="str">
            <v>Inf</v>
          </cell>
          <cell r="K11"/>
          <cell r="L11"/>
          <cell r="M11"/>
          <cell r="N11"/>
          <cell r="O11" t="str">
            <v>Sup</v>
          </cell>
          <cell r="P11" t="str">
            <v>Inf</v>
          </cell>
          <cell r="Q11"/>
          <cell r="R11"/>
          <cell r="S11"/>
          <cell r="T11"/>
          <cell r="U11"/>
          <cell r="V11" t="str">
            <v>Fecha</v>
          </cell>
          <cell r="W11" t="str">
            <v>Anteriores</v>
          </cell>
          <cell r="X11" t="str">
            <v>Real</v>
          </cell>
          <cell r="Y11" t="str">
            <v>Unidades</v>
          </cell>
          <cell r="Z11" t="str">
            <v>%</v>
          </cell>
          <cell r="AA11"/>
          <cell r="AB11" t="str">
            <v>Proyectado</v>
          </cell>
          <cell r="AC11" t="str">
            <v>Unidades</v>
          </cell>
          <cell r="AD11" t="str">
            <v>%</v>
          </cell>
          <cell r="AE11"/>
          <cell r="AF11" t="str">
            <v>Fecha</v>
          </cell>
          <cell r="AG11" t="str">
            <v>Anteriores</v>
          </cell>
          <cell r="AH11" t="str">
            <v>Real</v>
          </cell>
          <cell r="AI11" t="str">
            <v>Unidades</v>
          </cell>
          <cell r="AJ11" t="str">
            <v>%</v>
          </cell>
          <cell r="AK11"/>
          <cell r="AL11" t="str">
            <v>Proyectado</v>
          </cell>
          <cell r="AM11" t="str">
            <v>Unidades</v>
          </cell>
          <cell r="AN11" t="str">
            <v>%</v>
          </cell>
          <cell r="AO11"/>
        </row>
        <row r="12">
          <cell r="D12">
            <v>39083</v>
          </cell>
          <cell r="E12">
            <v>6372.4073116089621</v>
          </cell>
          <cell r="F12" t="str">
            <v>c</v>
          </cell>
          <cell r="G12" t="str">
            <v>c</v>
          </cell>
          <cell r="H12" t="str">
            <v>g</v>
          </cell>
          <cell r="I12">
            <v>9000</v>
          </cell>
          <cell r="J12">
            <v>7000</v>
          </cell>
          <cell r="K12">
            <v>6372.4073116089621</v>
          </cell>
          <cell r="L12" t="str">
            <v>c</v>
          </cell>
          <cell r="M12" t="str">
            <v>c</v>
          </cell>
          <cell r="N12" t="str">
            <v>g</v>
          </cell>
          <cell r="O12">
            <v>9000</v>
          </cell>
          <cell r="P12">
            <v>7000</v>
          </cell>
          <cell r="Q12"/>
          <cell r="R12"/>
          <cell r="S12"/>
          <cell r="T12"/>
          <cell r="U12"/>
          <cell r="V12">
            <v>39083</v>
          </cell>
          <cell r="W12"/>
          <cell r="X12">
            <v>6372.4073116089621</v>
          </cell>
          <cell r="Y12">
            <v>6372.4073116089621</v>
          </cell>
          <cell r="Z12"/>
          <cell r="AA12"/>
          <cell r="AB12">
            <v>0</v>
          </cell>
          <cell r="AC12" t="str">
            <v/>
          </cell>
          <cell r="AD12" t="str">
            <v/>
          </cell>
          <cell r="AE12" t="str">
            <v/>
          </cell>
          <cell r="AF12">
            <v>39083</v>
          </cell>
          <cell r="AG12"/>
          <cell r="AH12"/>
          <cell r="AI12" t="str">
            <v/>
          </cell>
          <cell r="AJ12"/>
          <cell r="AK12"/>
          <cell r="AL12">
            <v>0</v>
          </cell>
          <cell r="AM12" t="str">
            <v/>
          </cell>
          <cell r="AN12" t="str">
            <v/>
          </cell>
          <cell r="AO12" t="str">
            <v/>
          </cell>
        </row>
        <row r="13">
          <cell r="D13">
            <v>39114</v>
          </cell>
          <cell r="E13">
            <v>6408.7120622568091</v>
          </cell>
          <cell r="F13" t="str">
            <v>c</v>
          </cell>
          <cell r="G13" t="str">
            <v>c</v>
          </cell>
          <cell r="H13" t="str">
            <v>g</v>
          </cell>
          <cell r="I13">
            <v>9000</v>
          </cell>
          <cell r="J13">
            <v>7000</v>
          </cell>
          <cell r="K13">
            <v>6390.9751144278607</v>
          </cell>
          <cell r="L13" t="str">
            <v>c</v>
          </cell>
          <cell r="M13" t="str">
            <v>c</v>
          </cell>
          <cell r="N13" t="str">
            <v>g</v>
          </cell>
          <cell r="O13">
            <v>9000</v>
          </cell>
          <cell r="P13">
            <v>7000</v>
          </cell>
          <cell r="Q13"/>
          <cell r="R13"/>
          <cell r="S13"/>
          <cell r="T13"/>
          <cell r="U13"/>
          <cell r="V13">
            <v>39114</v>
          </cell>
          <cell r="W13"/>
          <cell r="X13">
            <v>6408.7120622568091</v>
          </cell>
          <cell r="Y13">
            <v>6408.7120622568091</v>
          </cell>
          <cell r="Z13"/>
          <cell r="AA13"/>
          <cell r="AB13">
            <v>0</v>
          </cell>
          <cell r="AC13" t="str">
            <v/>
          </cell>
          <cell r="AD13" t="str">
            <v/>
          </cell>
          <cell r="AE13" t="str">
            <v/>
          </cell>
          <cell r="AF13">
            <v>39114</v>
          </cell>
          <cell r="AG13"/>
          <cell r="AH13"/>
          <cell r="AI13" t="str">
            <v/>
          </cell>
          <cell r="AJ13"/>
          <cell r="AK13"/>
          <cell r="AL13">
            <v>0</v>
          </cell>
          <cell r="AM13" t="str">
            <v/>
          </cell>
          <cell r="AN13" t="str">
            <v/>
          </cell>
          <cell r="AO13" t="str">
            <v/>
          </cell>
        </row>
        <row r="14">
          <cell r="D14">
            <v>39142</v>
          </cell>
          <cell r="E14">
            <v>8750.6854423076911</v>
          </cell>
          <cell r="F14" t="str">
            <v>c</v>
          </cell>
          <cell r="G14" t="str">
            <v>g</v>
          </cell>
          <cell r="H14" t="str">
            <v>c</v>
          </cell>
          <cell r="I14">
            <v>9000</v>
          </cell>
          <cell r="J14">
            <v>7000</v>
          </cell>
          <cell r="K14">
            <v>7195.597652459016</v>
          </cell>
          <cell r="L14" t="str">
            <v>c</v>
          </cell>
          <cell r="M14" t="str">
            <v>g</v>
          </cell>
          <cell r="N14" t="str">
            <v>c</v>
          </cell>
          <cell r="O14">
            <v>9000</v>
          </cell>
          <cell r="P14">
            <v>7000</v>
          </cell>
          <cell r="Q14"/>
          <cell r="R14"/>
          <cell r="S14"/>
          <cell r="T14"/>
          <cell r="U14"/>
          <cell r="V14">
            <v>39142</v>
          </cell>
          <cell r="W14"/>
          <cell r="X14">
            <v>8750.6854423076911</v>
          </cell>
          <cell r="Y14">
            <v>8750.6854423076911</v>
          </cell>
          <cell r="Z14"/>
          <cell r="AA14"/>
          <cell r="AB14">
            <v>0</v>
          </cell>
          <cell r="AC14" t="str">
            <v/>
          </cell>
          <cell r="AD14" t="str">
            <v/>
          </cell>
          <cell r="AE14" t="str">
            <v/>
          </cell>
          <cell r="AF14">
            <v>39142</v>
          </cell>
          <cell r="AG14"/>
          <cell r="AH14"/>
          <cell r="AI14" t="str">
            <v/>
          </cell>
          <cell r="AJ14"/>
          <cell r="AK14"/>
          <cell r="AL14">
            <v>0</v>
          </cell>
          <cell r="AM14" t="str">
            <v/>
          </cell>
          <cell r="AN14" t="str">
            <v/>
          </cell>
          <cell r="AO14" t="str">
            <v/>
          </cell>
        </row>
        <row r="15">
          <cell r="D15">
            <v>39173</v>
          </cell>
          <cell r="E15">
            <v>6425.6094339622641</v>
          </cell>
          <cell r="F15" t="str">
            <v>c</v>
          </cell>
          <cell r="G15" t="str">
            <v>c</v>
          </cell>
          <cell r="H15" t="str">
            <v>g</v>
          </cell>
          <cell r="I15">
            <v>9000</v>
          </cell>
          <cell r="J15">
            <v>7000</v>
          </cell>
          <cell r="K15">
            <v>6997.0118832116787</v>
          </cell>
          <cell r="L15" t="str">
            <v>c</v>
          </cell>
          <cell r="M15" t="str">
            <v>c</v>
          </cell>
          <cell r="N15" t="str">
            <v>g</v>
          </cell>
          <cell r="O15">
            <v>9000</v>
          </cell>
          <cell r="P15">
            <v>7000</v>
          </cell>
          <cell r="Q15"/>
          <cell r="R15"/>
          <cell r="S15"/>
          <cell r="T15"/>
          <cell r="U15"/>
          <cell r="V15">
            <v>39173</v>
          </cell>
          <cell r="W15"/>
          <cell r="X15">
            <v>6425.6094339622641</v>
          </cell>
          <cell r="Y15">
            <v>6425.6094339622641</v>
          </cell>
          <cell r="Z15"/>
          <cell r="AA15"/>
          <cell r="AB15">
            <v>0</v>
          </cell>
          <cell r="AC15" t="str">
            <v/>
          </cell>
          <cell r="AD15" t="str">
            <v/>
          </cell>
          <cell r="AE15" t="str">
            <v/>
          </cell>
          <cell r="AF15">
            <v>39173</v>
          </cell>
          <cell r="AG15"/>
          <cell r="AH15"/>
          <cell r="AI15" t="str">
            <v/>
          </cell>
          <cell r="AJ15"/>
          <cell r="AK15"/>
          <cell r="AL15">
            <v>0</v>
          </cell>
          <cell r="AM15" t="str">
            <v/>
          </cell>
          <cell r="AN15" t="str">
            <v/>
          </cell>
          <cell r="AO15" t="str">
            <v/>
          </cell>
        </row>
        <row r="16">
          <cell r="D16">
            <v>39203</v>
          </cell>
          <cell r="E16">
            <v>7671.7612781954886</v>
          </cell>
          <cell r="F16" t="str">
            <v>c</v>
          </cell>
          <cell r="G16" t="str">
            <v>g</v>
          </cell>
          <cell r="H16" t="str">
            <v>c</v>
          </cell>
          <cell r="I16">
            <v>9000</v>
          </cell>
          <cell r="J16">
            <v>7000</v>
          </cell>
          <cell r="K16">
            <v>7135.7697796675693</v>
          </cell>
          <cell r="L16" t="str">
            <v>c</v>
          </cell>
          <cell r="M16" t="str">
            <v>g</v>
          </cell>
          <cell r="N16" t="str">
            <v>c</v>
          </cell>
          <cell r="O16">
            <v>9000</v>
          </cell>
          <cell r="P16">
            <v>7000</v>
          </cell>
          <cell r="Q16"/>
          <cell r="R16"/>
          <cell r="S16"/>
          <cell r="T16"/>
          <cell r="U16"/>
          <cell r="V16">
            <v>39203</v>
          </cell>
          <cell r="W16"/>
          <cell r="X16">
            <v>7671.7612781954886</v>
          </cell>
          <cell r="Y16">
            <v>7671.7612781954886</v>
          </cell>
          <cell r="Z16"/>
          <cell r="AA16"/>
          <cell r="AB16">
            <v>0</v>
          </cell>
          <cell r="AC16" t="str">
            <v/>
          </cell>
          <cell r="AD16" t="str">
            <v/>
          </cell>
          <cell r="AE16" t="str">
            <v/>
          </cell>
          <cell r="AF16">
            <v>39203</v>
          </cell>
          <cell r="AG16"/>
          <cell r="AH16"/>
          <cell r="AI16" t="str">
            <v/>
          </cell>
          <cell r="AJ16"/>
          <cell r="AK16"/>
          <cell r="AL16">
            <v>0</v>
          </cell>
          <cell r="AM16" t="str">
            <v/>
          </cell>
          <cell r="AN16" t="str">
            <v/>
          </cell>
          <cell r="AO16" t="str">
            <v/>
          </cell>
        </row>
        <row r="17">
          <cell r="D17">
            <v>39234</v>
          </cell>
          <cell r="E17">
            <v>7901.2146690518784</v>
          </cell>
          <cell r="F17" t="str">
            <v>c</v>
          </cell>
          <cell r="G17" t="str">
            <v>g</v>
          </cell>
          <cell r="H17" t="str">
            <v>c</v>
          </cell>
          <cell r="I17">
            <v>9000</v>
          </cell>
          <cell r="J17">
            <v>7000</v>
          </cell>
          <cell r="K17">
            <v>7271.778582326765</v>
          </cell>
          <cell r="L17" t="str">
            <v>c</v>
          </cell>
          <cell r="M17" t="str">
            <v>g</v>
          </cell>
          <cell r="N17" t="str">
            <v>c</v>
          </cell>
          <cell r="O17">
            <v>9000</v>
          </cell>
          <cell r="P17">
            <v>7000</v>
          </cell>
          <cell r="Q17"/>
          <cell r="R17"/>
          <cell r="S17"/>
          <cell r="T17"/>
          <cell r="U17"/>
          <cell r="V17">
            <v>39234</v>
          </cell>
          <cell r="W17"/>
          <cell r="X17">
            <v>7901.2146690518784</v>
          </cell>
          <cell r="Y17">
            <v>7901.2146690518784</v>
          </cell>
          <cell r="Z17"/>
          <cell r="AA17"/>
          <cell r="AB17">
            <v>0</v>
          </cell>
          <cell r="AC17" t="str">
            <v/>
          </cell>
          <cell r="AD17" t="str">
            <v/>
          </cell>
          <cell r="AE17" t="str">
            <v/>
          </cell>
          <cell r="AF17">
            <v>39234</v>
          </cell>
          <cell r="AG17"/>
          <cell r="AH17"/>
          <cell r="AI17" t="str">
            <v/>
          </cell>
          <cell r="AJ17"/>
          <cell r="AK17"/>
          <cell r="AL17">
            <v>0</v>
          </cell>
          <cell r="AM17" t="str">
            <v/>
          </cell>
          <cell r="AN17" t="str">
            <v/>
          </cell>
          <cell r="AO17" t="str">
            <v/>
          </cell>
        </row>
        <row r="18">
          <cell r="D18">
            <v>39264</v>
          </cell>
          <cell r="E18">
            <v>8822.127779660992</v>
          </cell>
          <cell r="F18" t="str">
            <v>c</v>
          </cell>
          <cell r="G18" t="str">
            <v>g</v>
          </cell>
          <cell r="H18" t="str">
            <v>c</v>
          </cell>
          <cell r="I18">
            <v>9000</v>
          </cell>
          <cell r="J18">
            <v>7000</v>
          </cell>
          <cell r="K18">
            <v>7516.6142425053504</v>
          </cell>
          <cell r="L18" t="str">
            <v>c</v>
          </cell>
          <cell r="M18" t="str">
            <v>g</v>
          </cell>
          <cell r="N18" t="str">
            <v>c</v>
          </cell>
          <cell r="O18">
            <v>9000</v>
          </cell>
          <cell r="P18">
            <v>7000</v>
          </cell>
          <cell r="Q18"/>
          <cell r="R18"/>
          <cell r="S18"/>
          <cell r="T18"/>
          <cell r="U18"/>
          <cell r="V18">
            <v>39264</v>
          </cell>
          <cell r="W18"/>
          <cell r="X18">
            <v>8822.127779660992</v>
          </cell>
          <cell r="Y18">
            <v>8822.127779660992</v>
          </cell>
          <cell r="Z18"/>
          <cell r="AA18"/>
          <cell r="AB18">
            <v>0</v>
          </cell>
          <cell r="AC18" t="str">
            <v/>
          </cell>
          <cell r="AD18" t="str">
            <v/>
          </cell>
          <cell r="AE18" t="str">
            <v/>
          </cell>
          <cell r="AF18">
            <v>39264</v>
          </cell>
          <cell r="AG18"/>
          <cell r="AH18"/>
          <cell r="AI18" t="str">
            <v/>
          </cell>
          <cell r="AJ18"/>
          <cell r="AK18"/>
          <cell r="AL18">
            <v>0</v>
          </cell>
          <cell r="AM18" t="str">
            <v/>
          </cell>
          <cell r="AN18" t="str">
            <v/>
          </cell>
          <cell r="AO18" t="str">
            <v/>
          </cell>
        </row>
        <row r="19">
          <cell r="D19">
            <v>39295</v>
          </cell>
          <cell r="E19">
            <v>6137.5614684459069</v>
          </cell>
          <cell r="F19" t="str">
            <v>c</v>
          </cell>
          <cell r="G19" t="str">
            <v>c</v>
          </cell>
          <cell r="H19" t="str">
            <v>g</v>
          </cell>
          <cell r="I19">
            <v>9000</v>
          </cell>
          <cell r="J19">
            <v>7000</v>
          </cell>
          <cell r="K19">
            <v>7337.9671450270062</v>
          </cell>
          <cell r="L19" t="str">
            <v>c</v>
          </cell>
          <cell r="M19" t="str">
            <v>g</v>
          </cell>
          <cell r="N19" t="str">
            <v>c</v>
          </cell>
          <cell r="O19">
            <v>9000</v>
          </cell>
          <cell r="P19">
            <v>7000</v>
          </cell>
          <cell r="Q19"/>
          <cell r="R19"/>
          <cell r="S19"/>
          <cell r="T19"/>
          <cell r="U19"/>
          <cell r="V19">
            <v>39295</v>
          </cell>
          <cell r="W19"/>
          <cell r="X19">
            <v>6137.5614684459069</v>
          </cell>
          <cell r="Y19">
            <v>6137.5614684459069</v>
          </cell>
          <cell r="Z19"/>
          <cell r="AA19"/>
          <cell r="AB19">
            <v>0</v>
          </cell>
          <cell r="AC19" t="str">
            <v/>
          </cell>
          <cell r="AD19" t="str">
            <v/>
          </cell>
          <cell r="AE19" t="str">
            <v/>
          </cell>
          <cell r="AF19">
            <v>39295</v>
          </cell>
          <cell r="AG19"/>
          <cell r="AH19">
            <v>7337.9671450270062</v>
          </cell>
          <cell r="AI19">
            <v>7337.9671450270062</v>
          </cell>
          <cell r="AJ19" t="str">
            <v/>
          </cell>
          <cell r="AK19"/>
          <cell r="AL19">
            <v>0</v>
          </cell>
          <cell r="AM19" t="str">
            <v/>
          </cell>
          <cell r="AN19" t="str">
            <v/>
          </cell>
          <cell r="AO19" t="str">
            <v/>
          </cell>
        </row>
        <row r="20">
          <cell r="D20">
            <v>39326</v>
          </cell>
          <cell r="E20">
            <v>6729.2333386809332</v>
          </cell>
          <cell r="F20" t="str">
            <v>c</v>
          </cell>
          <cell r="G20" t="str">
            <v>c</v>
          </cell>
          <cell r="H20" t="str">
            <v>g</v>
          </cell>
          <cell r="I20">
            <v>9000</v>
          </cell>
          <cell r="J20">
            <v>7000</v>
          </cell>
          <cell r="K20">
            <v>7267.5983699682492</v>
          </cell>
          <cell r="L20" t="str">
            <v>c</v>
          </cell>
          <cell r="M20" t="str">
            <v>g</v>
          </cell>
          <cell r="N20" t="str">
            <v>c</v>
          </cell>
          <cell r="O20">
            <v>9000</v>
          </cell>
          <cell r="P20">
            <v>7000</v>
          </cell>
          <cell r="Q20"/>
          <cell r="R20"/>
          <cell r="S20"/>
          <cell r="T20"/>
          <cell r="U20"/>
          <cell r="V20">
            <v>39326</v>
          </cell>
          <cell r="W20"/>
          <cell r="X20">
            <v>6729.2333386809332</v>
          </cell>
          <cell r="Y20">
            <v>6729.2333386809332</v>
          </cell>
          <cell r="Z20"/>
          <cell r="AA20"/>
          <cell r="AB20">
            <v>0</v>
          </cell>
          <cell r="AC20" t="str">
            <v/>
          </cell>
          <cell r="AD20" t="str">
            <v/>
          </cell>
          <cell r="AE20" t="str">
            <v/>
          </cell>
          <cell r="AF20">
            <v>39326</v>
          </cell>
          <cell r="AG20"/>
          <cell r="AH20">
            <v>7267.5983699682492</v>
          </cell>
          <cell r="AI20">
            <v>7267.5983699682492</v>
          </cell>
          <cell r="AJ20" t="str">
            <v/>
          </cell>
          <cell r="AK20"/>
          <cell r="AL20">
            <v>0</v>
          </cell>
          <cell r="AM20" t="str">
            <v/>
          </cell>
          <cell r="AN20" t="str">
            <v/>
          </cell>
          <cell r="AO20" t="str">
            <v/>
          </cell>
        </row>
        <row r="21">
          <cell r="D21">
            <v>39356</v>
          </cell>
          <cell r="E21">
            <v>7002.5701423487544</v>
          </cell>
          <cell r="F21" t="str">
            <v>c</v>
          </cell>
          <cell r="G21" t="str">
            <v>g</v>
          </cell>
          <cell r="H21" t="str">
            <v>c</v>
          </cell>
          <cell r="I21">
            <v>9000</v>
          </cell>
          <cell r="J21">
            <v>7000</v>
          </cell>
          <cell r="K21">
            <v>7240.0922085791162</v>
          </cell>
          <cell r="L21" t="str">
            <v>c</v>
          </cell>
          <cell r="M21" t="str">
            <v>g</v>
          </cell>
          <cell r="N21" t="str">
            <v>c</v>
          </cell>
          <cell r="O21">
            <v>9000</v>
          </cell>
          <cell r="P21">
            <v>7000</v>
          </cell>
          <cell r="Q21"/>
          <cell r="R21"/>
          <cell r="S21"/>
          <cell r="T21"/>
          <cell r="U21"/>
          <cell r="V21">
            <v>39356</v>
          </cell>
          <cell r="W21"/>
          <cell r="X21">
            <v>7002.5701423487544</v>
          </cell>
          <cell r="Y21">
            <v>7002.5701423487544</v>
          </cell>
          <cell r="Z21"/>
          <cell r="AA21"/>
          <cell r="AB21">
            <v>0</v>
          </cell>
          <cell r="AC21" t="str">
            <v/>
          </cell>
          <cell r="AD21" t="str">
            <v/>
          </cell>
          <cell r="AE21" t="str">
            <v/>
          </cell>
          <cell r="AF21">
            <v>39356</v>
          </cell>
          <cell r="AG21"/>
          <cell r="AH21">
            <v>7240.0922085791162</v>
          </cell>
          <cell r="AI21">
            <v>7240.0922085791162</v>
          </cell>
          <cell r="AJ21" t="str">
            <v/>
          </cell>
          <cell r="AK21"/>
          <cell r="AL21">
            <v>0</v>
          </cell>
          <cell r="AM21" t="str">
            <v/>
          </cell>
          <cell r="AN21" t="str">
            <v/>
          </cell>
          <cell r="AO21" t="str">
            <v/>
          </cell>
        </row>
        <row r="22">
          <cell r="D22">
            <v>39387</v>
          </cell>
          <cell r="E22">
            <v>6970.4964285714286</v>
          </cell>
          <cell r="F22" t="str">
            <v>c</v>
          </cell>
          <cell r="G22" t="str">
            <v>c</v>
          </cell>
          <cell r="H22" t="str">
            <v>g</v>
          </cell>
          <cell r="I22">
            <v>9000</v>
          </cell>
          <cell r="J22">
            <v>7000</v>
          </cell>
          <cell r="K22">
            <v>7214.8246543022451</v>
          </cell>
          <cell r="L22" t="str">
            <v>c</v>
          </cell>
          <cell r="M22" t="str">
            <v>g</v>
          </cell>
          <cell r="N22" t="str">
            <v>c</v>
          </cell>
          <cell r="O22">
            <v>9000</v>
          </cell>
          <cell r="P22">
            <v>7000</v>
          </cell>
          <cell r="Q22"/>
          <cell r="R22"/>
          <cell r="S22"/>
          <cell r="T22"/>
          <cell r="U22"/>
          <cell r="V22">
            <v>39387</v>
          </cell>
          <cell r="W22"/>
          <cell r="X22">
            <v>6970.4964285714286</v>
          </cell>
          <cell r="Y22">
            <v>6970.4964285714286</v>
          </cell>
          <cell r="Z22"/>
          <cell r="AA22"/>
          <cell r="AB22">
            <v>0</v>
          </cell>
          <cell r="AC22" t="str">
            <v/>
          </cell>
          <cell r="AD22" t="str">
            <v/>
          </cell>
          <cell r="AE22" t="str">
            <v/>
          </cell>
          <cell r="AF22">
            <v>39387</v>
          </cell>
          <cell r="AG22"/>
          <cell r="AH22">
            <v>7214.8246543022451</v>
          </cell>
          <cell r="AI22">
            <v>7214.8246543022451</v>
          </cell>
          <cell r="AJ22" t="str">
            <v/>
          </cell>
          <cell r="AK22"/>
          <cell r="AL22">
            <v>0</v>
          </cell>
          <cell r="AM22" t="str">
            <v/>
          </cell>
          <cell r="AN22" t="str">
            <v/>
          </cell>
          <cell r="AO22" t="str">
            <v/>
          </cell>
        </row>
        <row r="23">
          <cell r="D23">
            <v>39417</v>
          </cell>
          <cell r="E23">
            <v>10308.51248667851</v>
          </cell>
          <cell r="F23" t="str">
            <v>g</v>
          </cell>
          <cell r="G23" t="str">
            <v>c</v>
          </cell>
          <cell r="H23" t="str">
            <v>c</v>
          </cell>
          <cell r="I23">
            <v>9000</v>
          </cell>
          <cell r="J23">
            <v>7000</v>
          </cell>
          <cell r="K23">
            <v>7481.2281797883015</v>
          </cell>
          <cell r="L23" t="str">
            <v>c</v>
          </cell>
          <cell r="M23" t="str">
            <v>g</v>
          </cell>
          <cell r="N23" t="str">
            <v>c</v>
          </cell>
          <cell r="O23">
            <v>9000</v>
          </cell>
          <cell r="P23">
            <v>7000</v>
          </cell>
          <cell r="Q23"/>
          <cell r="R23"/>
          <cell r="S23"/>
          <cell r="T23"/>
          <cell r="U23"/>
          <cell r="V23">
            <v>39417</v>
          </cell>
          <cell r="W23"/>
          <cell r="X23">
            <v>10308.51248667851</v>
          </cell>
          <cell r="Y23">
            <v>10308.51248667851</v>
          </cell>
          <cell r="Z23"/>
          <cell r="AA23"/>
          <cell r="AB23">
            <v>0</v>
          </cell>
          <cell r="AC23" t="str">
            <v/>
          </cell>
          <cell r="AD23" t="str">
            <v/>
          </cell>
          <cell r="AE23" t="str">
            <v/>
          </cell>
          <cell r="AF23">
            <v>39417</v>
          </cell>
          <cell r="AG23"/>
          <cell r="AH23">
            <v>7481.2281797883015</v>
          </cell>
          <cell r="AI23">
            <v>7481.2281797883015</v>
          </cell>
          <cell r="AJ23" t="str">
            <v/>
          </cell>
          <cell r="AK23"/>
          <cell r="AL23">
            <v>0</v>
          </cell>
          <cell r="AM23" t="str">
            <v/>
          </cell>
          <cell r="AN23" t="str">
            <v/>
          </cell>
          <cell r="AO23" t="str">
            <v/>
          </cell>
        </row>
        <row r="24">
          <cell r="D24">
            <v>39448</v>
          </cell>
          <cell r="E24">
            <v>4563.9045996592849</v>
          </cell>
          <cell r="F24" t="str">
            <v>c</v>
          </cell>
          <cell r="G24" t="str">
            <v>c</v>
          </cell>
          <cell r="H24" t="str">
            <v>g</v>
          </cell>
          <cell r="I24">
            <v>8895</v>
          </cell>
          <cell r="J24">
            <v>7278</v>
          </cell>
          <cell r="K24">
            <v>4563.9045996592849</v>
          </cell>
          <cell r="L24" t="str">
            <v>c</v>
          </cell>
          <cell r="M24" t="str">
            <v>c</v>
          </cell>
          <cell r="N24" t="str">
            <v>g</v>
          </cell>
          <cell r="O24">
            <v>8895</v>
          </cell>
          <cell r="P24">
            <v>7278</v>
          </cell>
          <cell r="Q24"/>
          <cell r="R24"/>
          <cell r="S24"/>
          <cell r="T24"/>
          <cell r="U24"/>
          <cell r="V24">
            <v>39448</v>
          </cell>
          <cell r="W24">
            <v>6372.4073116089621</v>
          </cell>
          <cell r="X24">
            <v>4563.9045996592849</v>
          </cell>
          <cell r="Y24">
            <v>-1808.5027119496772</v>
          </cell>
          <cell r="Z24">
            <v>-0.28380212116306958</v>
          </cell>
          <cell r="AA24"/>
          <cell r="AB24">
            <v>0</v>
          </cell>
          <cell r="AC24" t="str">
            <v/>
          </cell>
          <cell r="AD24" t="str">
            <v/>
          </cell>
          <cell r="AE24" t="str">
            <v/>
          </cell>
          <cell r="AF24">
            <v>39448</v>
          </cell>
          <cell r="AG24"/>
          <cell r="AH24">
            <v>4563.9045996592849</v>
          </cell>
          <cell r="AI24">
            <v>4563.9045996592849</v>
          </cell>
          <cell r="AJ24" t="str">
            <v/>
          </cell>
          <cell r="AK24"/>
          <cell r="AL24">
            <v>0</v>
          </cell>
          <cell r="AM24" t="str">
            <v/>
          </cell>
          <cell r="AN24" t="str">
            <v/>
          </cell>
          <cell r="AO24" t="str">
            <v/>
          </cell>
        </row>
        <row r="25">
          <cell r="D25">
            <v>39479</v>
          </cell>
          <cell r="E25">
            <v>4707.7263513513517</v>
          </cell>
          <cell r="F25" t="str">
            <v>c</v>
          </cell>
          <cell r="G25" t="str">
            <v>c</v>
          </cell>
          <cell r="H25" t="str">
            <v>g</v>
          </cell>
          <cell r="I25">
            <v>8895</v>
          </cell>
          <cell r="J25">
            <v>7278</v>
          </cell>
          <cell r="K25">
            <v>4636.1204410517385</v>
          </cell>
          <cell r="L25" t="str">
            <v>c</v>
          </cell>
          <cell r="M25" t="str">
            <v>c</v>
          </cell>
          <cell r="N25" t="str">
            <v>g</v>
          </cell>
          <cell r="O25">
            <v>8895</v>
          </cell>
          <cell r="P25">
            <v>7278</v>
          </cell>
          <cell r="Q25"/>
          <cell r="R25"/>
          <cell r="S25"/>
          <cell r="T25"/>
          <cell r="U25"/>
          <cell r="V25">
            <v>39479</v>
          </cell>
          <cell r="W25">
            <v>6408.7120622568091</v>
          </cell>
          <cell r="X25">
            <v>4707.7263513513517</v>
          </cell>
          <cell r="Y25">
            <v>-1700.9857109054574</v>
          </cell>
          <cell r="Z25">
            <v>-0.26541771488270927</v>
          </cell>
          <cell r="AA25"/>
          <cell r="AB25">
            <v>0</v>
          </cell>
          <cell r="AC25" t="str">
            <v/>
          </cell>
          <cell r="AD25" t="str">
            <v/>
          </cell>
          <cell r="AE25" t="str">
            <v/>
          </cell>
          <cell r="AF25">
            <v>39479</v>
          </cell>
          <cell r="AG25"/>
          <cell r="AH25">
            <v>4636.1204410517385</v>
          </cell>
          <cell r="AI25">
            <v>4636.1204410517385</v>
          </cell>
          <cell r="AJ25" t="str">
            <v/>
          </cell>
          <cell r="AK25"/>
          <cell r="AL25">
            <v>0</v>
          </cell>
          <cell r="AM25" t="str">
            <v/>
          </cell>
          <cell r="AN25" t="str">
            <v/>
          </cell>
          <cell r="AO25" t="str">
            <v/>
          </cell>
        </row>
        <row r="26">
          <cell r="D26">
            <v>39508</v>
          </cell>
          <cell r="E26">
            <v>4669.3933333333334</v>
          </cell>
          <cell r="F26" t="str">
            <v>c</v>
          </cell>
          <cell r="G26" t="str">
            <v>c</v>
          </cell>
          <cell r="H26" t="str">
            <v>g</v>
          </cell>
          <cell r="I26">
            <v>8895</v>
          </cell>
          <cell r="J26">
            <v>7278</v>
          </cell>
          <cell r="K26">
            <v>4647.3423271500842</v>
          </cell>
          <cell r="L26" t="str">
            <v>c</v>
          </cell>
          <cell r="M26" t="str">
            <v>c</v>
          </cell>
          <cell r="N26" t="str">
            <v>g</v>
          </cell>
          <cell r="O26">
            <v>8895</v>
          </cell>
          <cell r="P26">
            <v>7278</v>
          </cell>
          <cell r="Q26"/>
          <cell r="R26"/>
          <cell r="S26"/>
          <cell r="T26"/>
          <cell r="U26"/>
          <cell r="V26">
            <v>39508</v>
          </cell>
          <cell r="W26">
            <v>8750.6854423076911</v>
          </cell>
          <cell r="X26">
            <v>4669.3933333333334</v>
          </cell>
          <cell r="Y26">
            <v>-4081.2921089743577</v>
          </cell>
          <cell r="Z26">
            <v>-0.46639684809628557</v>
          </cell>
          <cell r="AA26"/>
          <cell r="AB26">
            <v>0</v>
          </cell>
          <cell r="AC26" t="str">
            <v/>
          </cell>
          <cell r="AD26" t="str">
            <v/>
          </cell>
          <cell r="AE26" t="str">
            <v/>
          </cell>
          <cell r="AF26">
            <v>39508</v>
          </cell>
          <cell r="AG26"/>
          <cell r="AH26">
            <v>4647.3423271500842</v>
          </cell>
          <cell r="AI26">
            <v>4647.3423271500842</v>
          </cell>
          <cell r="AJ26" t="str">
            <v/>
          </cell>
          <cell r="AK26"/>
          <cell r="AL26">
            <v>0</v>
          </cell>
          <cell r="AM26" t="str">
            <v/>
          </cell>
          <cell r="AN26" t="str">
            <v/>
          </cell>
          <cell r="AO26" t="str">
            <v/>
          </cell>
        </row>
        <row r="27">
          <cell r="D27">
            <v>39539</v>
          </cell>
          <cell r="E27">
            <v>5569.6</v>
          </cell>
          <cell r="F27" t="str">
            <v>c</v>
          </cell>
          <cell r="G27" t="str">
            <v>c</v>
          </cell>
          <cell r="H27" t="str">
            <v>g</v>
          </cell>
          <cell r="I27">
            <v>8895</v>
          </cell>
          <cell r="J27">
            <v>7278</v>
          </cell>
          <cell r="K27">
            <v>4881.3884228187917</v>
          </cell>
          <cell r="L27" t="str">
            <v>c</v>
          </cell>
          <cell r="M27" t="str">
            <v>c</v>
          </cell>
          <cell r="N27" t="str">
            <v>g</v>
          </cell>
          <cell r="O27">
            <v>8895</v>
          </cell>
          <cell r="P27">
            <v>7278</v>
          </cell>
          <cell r="Q27"/>
          <cell r="R27"/>
          <cell r="S27"/>
          <cell r="T27"/>
          <cell r="U27"/>
          <cell r="V27">
            <v>39539</v>
          </cell>
          <cell r="W27">
            <v>6425.6094339622641</v>
          </cell>
          <cell r="X27">
            <v>5569.6</v>
          </cell>
          <cell r="Y27">
            <v>-856.00943396226376</v>
          </cell>
          <cell r="Z27">
            <v>-0.13321840406885999</v>
          </cell>
          <cell r="AA27"/>
          <cell r="AB27">
            <v>0</v>
          </cell>
          <cell r="AC27" t="str">
            <v/>
          </cell>
          <cell r="AD27" t="str">
            <v/>
          </cell>
          <cell r="AE27" t="str">
            <v/>
          </cell>
          <cell r="AF27">
            <v>39539</v>
          </cell>
          <cell r="AG27"/>
          <cell r="AH27">
            <v>4881.3884228187917</v>
          </cell>
          <cell r="AI27">
            <v>4881.3884228187917</v>
          </cell>
          <cell r="AJ27" t="str">
            <v/>
          </cell>
          <cell r="AK27"/>
          <cell r="AL27">
            <v>0</v>
          </cell>
          <cell r="AM27" t="str">
            <v/>
          </cell>
          <cell r="AN27" t="str">
            <v/>
          </cell>
          <cell r="AO27" t="str">
            <v/>
          </cell>
        </row>
        <row r="28">
          <cell r="D28">
            <v>39569</v>
          </cell>
          <cell r="E28">
            <v>6425.7168874172185</v>
          </cell>
          <cell r="F28" t="str">
            <v>c</v>
          </cell>
          <cell r="G28" t="str">
            <v>c</v>
          </cell>
          <cell r="H28" t="str">
            <v>g</v>
          </cell>
          <cell r="I28">
            <v>8895</v>
          </cell>
          <cell r="J28">
            <v>7278</v>
          </cell>
          <cell r="K28">
            <v>5193.5619143239628</v>
          </cell>
          <cell r="L28" t="str">
            <v>c</v>
          </cell>
          <cell r="M28" t="str">
            <v>c</v>
          </cell>
          <cell r="N28" t="str">
            <v>g</v>
          </cell>
          <cell r="O28">
            <v>8895</v>
          </cell>
          <cell r="P28">
            <v>7278</v>
          </cell>
          <cell r="Q28"/>
          <cell r="R28"/>
          <cell r="S28"/>
          <cell r="T28"/>
          <cell r="U28"/>
          <cell r="V28">
            <v>39569</v>
          </cell>
          <cell r="W28">
            <v>7671.7612781954886</v>
          </cell>
          <cell r="X28">
            <v>6425.7168874172185</v>
          </cell>
          <cell r="Y28">
            <v>-1246.0443907782701</v>
          </cell>
          <cell r="Z28">
            <v>-0.16241959904562597</v>
          </cell>
          <cell r="AA28"/>
          <cell r="AB28">
            <v>0</v>
          </cell>
          <cell r="AC28" t="str">
            <v/>
          </cell>
          <cell r="AD28" t="str">
            <v/>
          </cell>
          <cell r="AE28" t="str">
            <v/>
          </cell>
          <cell r="AF28">
            <v>39569</v>
          </cell>
          <cell r="AG28"/>
          <cell r="AH28">
            <v>5193.5619143239628</v>
          </cell>
          <cell r="AI28">
            <v>5193.5619143239628</v>
          </cell>
          <cell r="AJ28" t="str">
            <v/>
          </cell>
          <cell r="AK28"/>
          <cell r="AL28">
            <v>0</v>
          </cell>
          <cell r="AM28" t="str">
            <v/>
          </cell>
          <cell r="AN28" t="str">
            <v/>
          </cell>
          <cell r="AO28" t="str">
            <v/>
          </cell>
        </row>
        <row r="29">
          <cell r="D29">
            <v>39600</v>
          </cell>
          <cell r="E29">
            <v>7429.9190231788079</v>
          </cell>
          <cell r="F29" t="str">
            <v>c</v>
          </cell>
          <cell r="G29" t="str">
            <v>g</v>
          </cell>
          <cell r="H29" t="str">
            <v>c</v>
          </cell>
          <cell r="I29">
            <v>8895</v>
          </cell>
          <cell r="J29">
            <v>7278</v>
          </cell>
          <cell r="K29">
            <v>5569.608599665924</v>
          </cell>
          <cell r="L29" t="str">
            <v>c</v>
          </cell>
          <cell r="M29" t="str">
            <v>c</v>
          </cell>
          <cell r="N29" t="str">
            <v>g</v>
          </cell>
          <cell r="O29">
            <v>8895</v>
          </cell>
          <cell r="P29">
            <v>7278</v>
          </cell>
          <cell r="Q29"/>
          <cell r="R29"/>
          <cell r="S29"/>
          <cell r="T29"/>
          <cell r="U29"/>
          <cell r="V29">
            <v>39600</v>
          </cell>
          <cell r="W29">
            <v>7901.2146690518784</v>
          </cell>
          <cell r="X29">
            <v>7429.9190231788079</v>
          </cell>
          <cell r="Y29">
            <v>-471.2956458730705</v>
          </cell>
          <cell r="Z29">
            <v>-5.9648505402476903E-2</v>
          </cell>
          <cell r="AA29"/>
          <cell r="AB29">
            <v>0</v>
          </cell>
          <cell r="AC29" t="str">
            <v/>
          </cell>
          <cell r="AD29" t="str">
            <v/>
          </cell>
          <cell r="AE29" t="str">
            <v/>
          </cell>
          <cell r="AF29">
            <v>39600</v>
          </cell>
          <cell r="AG29"/>
          <cell r="AH29">
            <v>5569.608599665924</v>
          </cell>
          <cell r="AI29">
            <v>5569.608599665924</v>
          </cell>
          <cell r="AJ29" t="str">
            <v/>
          </cell>
          <cell r="AK29"/>
          <cell r="AL29">
            <v>0</v>
          </cell>
          <cell r="AM29" t="str">
            <v/>
          </cell>
          <cell r="AN29" t="str">
            <v/>
          </cell>
          <cell r="AO29" t="str">
            <v/>
          </cell>
        </row>
        <row r="30">
          <cell r="D30">
            <v>39630</v>
          </cell>
          <cell r="E30">
            <v>9715.2330082644603</v>
          </cell>
          <cell r="F30" t="str">
            <v>g</v>
          </cell>
          <cell r="G30" t="str">
            <v>c</v>
          </cell>
          <cell r="H30" t="str">
            <v>c</v>
          </cell>
          <cell r="I30">
            <v>8895</v>
          </cell>
          <cell r="J30">
            <v>7278</v>
          </cell>
          <cell r="K30">
            <v>6167.2027781748866</v>
          </cell>
          <cell r="L30" t="str">
            <v>c</v>
          </cell>
          <cell r="M30" t="str">
            <v>c</v>
          </cell>
          <cell r="N30" t="str">
            <v>g</v>
          </cell>
          <cell r="O30">
            <v>8895</v>
          </cell>
          <cell r="P30">
            <v>7278</v>
          </cell>
          <cell r="Q30"/>
          <cell r="R30"/>
          <cell r="S30"/>
          <cell r="T30"/>
          <cell r="U30"/>
          <cell r="V30">
            <v>39630</v>
          </cell>
          <cell r="W30">
            <v>8822.127779660992</v>
          </cell>
          <cell r="X30">
            <v>9715.2330082644603</v>
          </cell>
          <cell r="Y30">
            <v>893.10522860346828</v>
          </cell>
          <cell r="Z30">
            <v>0.10123467386886875</v>
          </cell>
          <cell r="AA30"/>
          <cell r="AB30">
            <v>0</v>
          </cell>
          <cell r="AC30" t="str">
            <v/>
          </cell>
          <cell r="AD30" t="str">
            <v/>
          </cell>
          <cell r="AE30" t="str">
            <v/>
          </cell>
          <cell r="AF30">
            <v>39630</v>
          </cell>
          <cell r="AG30"/>
          <cell r="AH30">
            <v>6167.2027781748866</v>
          </cell>
          <cell r="AI30">
            <v>6167.2027781748866</v>
          </cell>
          <cell r="AJ30" t="str">
            <v/>
          </cell>
          <cell r="AK30"/>
          <cell r="AL30">
            <v>0</v>
          </cell>
          <cell r="AM30" t="str">
            <v/>
          </cell>
          <cell r="AN30" t="str">
            <v/>
          </cell>
          <cell r="AO30" t="str">
            <v/>
          </cell>
        </row>
        <row r="31">
          <cell r="D31">
            <v>39661</v>
          </cell>
          <cell r="E31">
            <v>9026.1997719869723</v>
          </cell>
          <cell r="F31" t="str">
            <v>g</v>
          </cell>
          <cell r="G31" t="str">
            <v>c</v>
          </cell>
          <cell r="H31" t="str">
            <v>c</v>
          </cell>
          <cell r="I31">
            <v>8895</v>
          </cell>
          <cell r="J31">
            <v>7278</v>
          </cell>
          <cell r="K31">
            <v>6532.079966742881</v>
          </cell>
          <cell r="L31" t="str">
            <v>c</v>
          </cell>
          <cell r="M31" t="str">
            <v>c</v>
          </cell>
          <cell r="N31" t="str">
            <v>g</v>
          </cell>
          <cell r="O31">
            <v>8895</v>
          </cell>
          <cell r="P31">
            <v>7278</v>
          </cell>
          <cell r="Q31"/>
          <cell r="R31"/>
          <cell r="S31"/>
          <cell r="T31"/>
          <cell r="U31"/>
          <cell r="V31">
            <v>39661</v>
          </cell>
          <cell r="W31">
            <v>6137.5614684459069</v>
          </cell>
          <cell r="X31">
            <v>9026.1997719869723</v>
          </cell>
          <cell r="Y31">
            <v>2888.6383035410654</v>
          </cell>
          <cell r="Z31">
            <v>0.47064918508628772</v>
          </cell>
          <cell r="AA31"/>
          <cell r="AB31">
            <v>0</v>
          </cell>
          <cell r="AC31" t="str">
            <v/>
          </cell>
          <cell r="AD31" t="str">
            <v/>
          </cell>
          <cell r="AE31" t="str">
            <v/>
          </cell>
          <cell r="AF31">
            <v>39661</v>
          </cell>
          <cell r="AG31">
            <v>7337.9671450270062</v>
          </cell>
          <cell r="AH31">
            <v>6532.079966742881</v>
          </cell>
          <cell r="AI31">
            <v>-805.88717828412518</v>
          </cell>
          <cell r="AJ31">
            <v>-0.10982430996986414</v>
          </cell>
          <cell r="AK31"/>
          <cell r="AL31">
            <v>0</v>
          </cell>
          <cell r="AM31" t="str">
            <v/>
          </cell>
          <cell r="AN31" t="str">
            <v/>
          </cell>
          <cell r="AO31" t="str">
            <v/>
          </cell>
        </row>
        <row r="32">
          <cell r="D32">
            <v>39692</v>
          </cell>
          <cell r="E32">
            <v>12022.836023102314</v>
          </cell>
          <cell r="F32" t="str">
            <v>g</v>
          </cell>
          <cell r="G32" t="str">
            <v>c</v>
          </cell>
          <cell r="H32" t="str">
            <v>c</v>
          </cell>
          <cell r="I32">
            <v>8895</v>
          </cell>
          <cell r="J32">
            <v>7278</v>
          </cell>
          <cell r="K32">
            <v>7146.3310596271003</v>
          </cell>
          <cell r="L32" t="str">
            <v>c</v>
          </cell>
          <cell r="M32" t="str">
            <v>c</v>
          </cell>
          <cell r="N32" t="str">
            <v>g</v>
          </cell>
          <cell r="O32">
            <v>8895</v>
          </cell>
          <cell r="P32">
            <v>7278</v>
          </cell>
          <cell r="Q32"/>
          <cell r="R32"/>
          <cell r="S32"/>
          <cell r="T32"/>
          <cell r="U32"/>
          <cell r="V32">
            <v>39692</v>
          </cell>
          <cell r="W32">
            <v>6729.2333386809332</v>
          </cell>
          <cell r="X32"/>
          <cell r="Y32" t="str">
            <v/>
          </cell>
          <cell r="Z32" t="str">
            <v/>
          </cell>
          <cell r="AA32"/>
          <cell r="AB32">
            <v>0</v>
          </cell>
          <cell r="AC32" t="str">
            <v/>
          </cell>
          <cell r="AD32" t="str">
            <v/>
          </cell>
          <cell r="AE32" t="str">
            <v/>
          </cell>
          <cell r="AF32">
            <v>39692</v>
          </cell>
          <cell r="AG32">
            <v>7267.5983699682492</v>
          </cell>
          <cell r="AH32">
            <v>7146.3310596271003</v>
          </cell>
          <cell r="AI32"/>
          <cell r="AJ32">
            <v>-1.6686022557638736E-2</v>
          </cell>
          <cell r="AK32"/>
          <cell r="AL32">
            <v>0</v>
          </cell>
          <cell r="AM32" t="str">
            <v/>
          </cell>
          <cell r="AN32" t="str">
            <v/>
          </cell>
          <cell r="AO32" t="str">
            <v/>
          </cell>
        </row>
        <row r="33">
          <cell r="D33">
            <v>39722</v>
          </cell>
          <cell r="E33">
            <v>9891.1414902280158</v>
          </cell>
          <cell r="F33" t="str">
            <v>g</v>
          </cell>
          <cell r="G33" t="str">
            <v>c</v>
          </cell>
          <cell r="H33" t="str">
            <v>c</v>
          </cell>
          <cell r="I33">
            <v>8895</v>
          </cell>
          <cell r="J33">
            <v>7278</v>
          </cell>
          <cell r="K33">
            <v>7425.7728776322338</v>
          </cell>
          <cell r="L33" t="str">
            <v>c</v>
          </cell>
          <cell r="M33" t="str">
            <v>g</v>
          </cell>
          <cell r="N33" t="str">
            <v>c</v>
          </cell>
          <cell r="O33">
            <v>8895</v>
          </cell>
          <cell r="P33">
            <v>7278</v>
          </cell>
          <cell r="Q33"/>
          <cell r="R33"/>
          <cell r="S33"/>
          <cell r="T33"/>
          <cell r="U33"/>
          <cell r="V33">
            <v>39722</v>
          </cell>
          <cell r="W33">
            <v>7002.5701423487544</v>
          </cell>
          <cell r="X33"/>
          <cell r="Y33" t="str">
            <v/>
          </cell>
          <cell r="Z33" t="str">
            <v/>
          </cell>
          <cell r="AA33"/>
          <cell r="AB33">
            <v>0</v>
          </cell>
          <cell r="AC33" t="str">
            <v/>
          </cell>
          <cell r="AD33" t="str">
            <v/>
          </cell>
          <cell r="AE33" t="str">
            <v/>
          </cell>
          <cell r="AF33">
            <v>39722</v>
          </cell>
          <cell r="AG33">
            <v>7240.0922085791162</v>
          </cell>
          <cell r="AH33">
            <v>7425.7728776322338</v>
          </cell>
          <cell r="AI33"/>
          <cell r="AJ33">
            <v>2.5646174620966189E-2</v>
          </cell>
          <cell r="AK33"/>
          <cell r="AL33">
            <v>0</v>
          </cell>
          <cell r="AM33" t="str">
            <v/>
          </cell>
          <cell r="AN33" t="str">
            <v/>
          </cell>
          <cell r="AO33" t="str">
            <v/>
          </cell>
        </row>
        <row r="34">
          <cell r="D34">
            <v>39753</v>
          </cell>
          <cell r="E34">
            <v>4532.2799674796752</v>
          </cell>
          <cell r="F34" t="str">
            <v>c</v>
          </cell>
          <cell r="G34" t="str">
            <v>c</v>
          </cell>
          <cell r="H34" t="str">
            <v>g</v>
          </cell>
          <cell r="I34">
            <v>8895</v>
          </cell>
          <cell r="J34">
            <v>7278</v>
          </cell>
          <cell r="K34">
            <v>7158.0181169124289</v>
          </cell>
          <cell r="L34" t="str">
            <v>c</v>
          </cell>
          <cell r="M34" t="str">
            <v>c</v>
          </cell>
          <cell r="N34" t="str">
            <v>g</v>
          </cell>
          <cell r="O34">
            <v>8895</v>
          </cell>
          <cell r="P34">
            <v>7278</v>
          </cell>
          <cell r="Q34"/>
          <cell r="R34"/>
          <cell r="S34"/>
          <cell r="T34"/>
          <cell r="U34"/>
          <cell r="V34">
            <v>39753</v>
          </cell>
          <cell r="W34">
            <v>6970.4964285714286</v>
          </cell>
          <cell r="X34"/>
          <cell r="Y34" t="str">
            <v/>
          </cell>
          <cell r="Z34" t="str">
            <v/>
          </cell>
          <cell r="AA34"/>
          <cell r="AB34">
            <v>0</v>
          </cell>
          <cell r="AC34" t="str">
            <v/>
          </cell>
          <cell r="AD34" t="str">
            <v/>
          </cell>
          <cell r="AE34" t="str">
            <v/>
          </cell>
          <cell r="AF34">
            <v>39753</v>
          </cell>
          <cell r="AG34">
            <v>7214.8246543022451</v>
          </cell>
          <cell r="AH34">
            <v>7158.0181169124289</v>
          </cell>
          <cell r="AI34"/>
          <cell r="AJ34">
            <v>-7.8735853068780948E-3</v>
          </cell>
          <cell r="AK34"/>
          <cell r="AL34">
            <v>0</v>
          </cell>
          <cell r="AM34" t="str">
            <v/>
          </cell>
          <cell r="AN34" t="str">
            <v/>
          </cell>
          <cell r="AO34" t="str">
            <v/>
          </cell>
        </row>
        <row r="35">
          <cell r="D35">
            <v>39783</v>
          </cell>
          <cell r="E35">
            <v>6085.9217903930139</v>
          </cell>
          <cell r="F35" t="str">
            <v>c</v>
          </cell>
          <cell r="G35" t="str">
            <v>c</v>
          </cell>
          <cell r="H35" t="str">
            <v>g</v>
          </cell>
          <cell r="I35">
            <v>8895</v>
          </cell>
          <cell r="J35">
            <v>7278</v>
          </cell>
          <cell r="K35">
            <v>7088.8992940596845</v>
          </cell>
          <cell r="L35" t="str">
            <v>c</v>
          </cell>
          <cell r="M35" t="str">
            <v>c</v>
          </cell>
          <cell r="N35" t="str">
            <v>g</v>
          </cell>
          <cell r="O35">
            <v>8895</v>
          </cell>
          <cell r="P35">
            <v>7278</v>
          </cell>
          <cell r="Q35"/>
          <cell r="R35"/>
          <cell r="S35"/>
          <cell r="T35"/>
          <cell r="U35"/>
          <cell r="V35">
            <v>39783</v>
          </cell>
          <cell r="W35">
            <v>10308.51248667851</v>
          </cell>
          <cell r="X35"/>
          <cell r="Y35" t="str">
            <v/>
          </cell>
          <cell r="Z35" t="str">
            <v/>
          </cell>
          <cell r="AA35"/>
          <cell r="AB35">
            <v>0</v>
          </cell>
          <cell r="AC35" t="str">
            <v/>
          </cell>
          <cell r="AD35" t="str">
            <v/>
          </cell>
          <cell r="AE35" t="str">
            <v/>
          </cell>
          <cell r="AF35">
            <v>39783</v>
          </cell>
          <cell r="AG35">
            <v>7481.2281797883015</v>
          </cell>
          <cell r="AH35">
            <v>7088.8992940596845</v>
          </cell>
          <cell r="AI35"/>
          <cell r="AJ35">
            <v>-5.2441775107001098E-2</v>
          </cell>
          <cell r="AK35"/>
          <cell r="AL35">
            <v>0</v>
          </cell>
          <cell r="AM35" t="str">
            <v/>
          </cell>
          <cell r="AN35" t="str">
            <v/>
          </cell>
          <cell r="AO35" t="str">
            <v/>
          </cell>
        </row>
        <row r="36">
          <cell r="D36">
            <v>39814</v>
          </cell>
          <cell r="E36" t="str">
            <v/>
          </cell>
          <cell r="F36" t="str">
            <v/>
          </cell>
          <cell r="G36" t="str">
            <v/>
          </cell>
          <cell r="H36" t="str">
            <v/>
          </cell>
          <cell r="I36"/>
          <cell r="J36"/>
          <cell r="K36" t="str">
            <v/>
          </cell>
          <cell r="L36" t="str">
            <v/>
          </cell>
          <cell r="M36" t="str">
            <v/>
          </cell>
          <cell r="N36" t="str">
            <v/>
          </cell>
          <cell r="O36"/>
          <cell r="P36"/>
          <cell r="Q36"/>
          <cell r="R36"/>
          <cell r="S36"/>
          <cell r="T36"/>
          <cell r="U36"/>
          <cell r="V36">
            <v>39814</v>
          </cell>
          <cell r="W36">
            <v>4563.9045996592849</v>
          </cell>
          <cell r="X36"/>
          <cell r="Y36" t="str">
            <v/>
          </cell>
          <cell r="Z36" t="str">
            <v/>
          </cell>
          <cell r="AA36"/>
          <cell r="AB36">
            <v>0</v>
          </cell>
          <cell r="AC36" t="str">
            <v/>
          </cell>
          <cell r="AD36" t="str">
            <v/>
          </cell>
          <cell r="AE36" t="str">
            <v/>
          </cell>
          <cell r="AF36">
            <v>39814</v>
          </cell>
          <cell r="AG36">
            <v>4563.9045996592849</v>
          </cell>
          <cell r="AH36" t="str">
            <v/>
          </cell>
          <cell r="AI36"/>
          <cell r="AJ36" t="str">
            <v/>
          </cell>
          <cell r="AK36"/>
          <cell r="AL36">
            <v>0</v>
          </cell>
          <cell r="AM36" t="str">
            <v/>
          </cell>
          <cell r="AN36" t="str">
            <v/>
          </cell>
          <cell r="AO36" t="str">
            <v/>
          </cell>
        </row>
        <row r="37">
          <cell r="D37">
            <v>39845</v>
          </cell>
          <cell r="E37" t="str">
            <v/>
          </cell>
          <cell r="F37" t="str">
            <v/>
          </cell>
          <cell r="G37" t="str">
            <v/>
          </cell>
          <cell r="H37" t="str">
            <v/>
          </cell>
          <cell r="I37"/>
          <cell r="J37"/>
          <cell r="K37" t="str">
            <v/>
          </cell>
          <cell r="L37" t="str">
            <v/>
          </cell>
          <cell r="M37" t="str">
            <v/>
          </cell>
          <cell r="N37" t="str">
            <v/>
          </cell>
          <cell r="O37"/>
          <cell r="P37"/>
          <cell r="Q37"/>
          <cell r="R37"/>
          <cell r="S37"/>
          <cell r="T37"/>
          <cell r="U37"/>
          <cell r="V37">
            <v>39845</v>
          </cell>
          <cell r="W37">
            <v>4707.7263513513517</v>
          </cell>
          <cell r="X37"/>
          <cell r="Y37" t="str">
            <v/>
          </cell>
          <cell r="Z37" t="str">
            <v/>
          </cell>
          <cell r="AA37"/>
          <cell r="AB37">
            <v>0</v>
          </cell>
          <cell r="AC37" t="str">
            <v/>
          </cell>
          <cell r="AD37" t="str">
            <v/>
          </cell>
          <cell r="AE37" t="str">
            <v/>
          </cell>
          <cell r="AF37">
            <v>39845</v>
          </cell>
          <cell r="AG37">
            <v>4636.1204410517385</v>
          </cell>
          <cell r="AH37" t="str">
            <v/>
          </cell>
          <cell r="AI37"/>
          <cell r="AJ37" t="str">
            <v/>
          </cell>
          <cell r="AK37"/>
          <cell r="AL37">
            <v>0</v>
          </cell>
          <cell r="AM37" t="str">
            <v/>
          </cell>
          <cell r="AN37" t="str">
            <v/>
          </cell>
          <cell r="AO37" t="str">
            <v/>
          </cell>
        </row>
        <row r="38">
          <cell r="D38">
            <v>39873</v>
          </cell>
          <cell r="E38" t="str">
            <v/>
          </cell>
          <cell r="F38" t="str">
            <v/>
          </cell>
          <cell r="G38" t="str">
            <v/>
          </cell>
          <cell r="H38" t="str">
            <v/>
          </cell>
          <cell r="I38"/>
          <cell r="J38"/>
          <cell r="K38" t="str">
            <v/>
          </cell>
          <cell r="L38" t="str">
            <v/>
          </cell>
          <cell r="M38" t="str">
            <v/>
          </cell>
          <cell r="N38" t="str">
            <v/>
          </cell>
          <cell r="O38"/>
          <cell r="P38"/>
          <cell r="Q38"/>
          <cell r="R38"/>
          <cell r="S38"/>
          <cell r="T38"/>
          <cell r="U38"/>
          <cell r="V38">
            <v>39873</v>
          </cell>
          <cell r="W38">
            <v>4669.3933333333334</v>
          </cell>
          <cell r="X38"/>
          <cell r="Y38" t="str">
            <v/>
          </cell>
          <cell r="Z38" t="str">
            <v/>
          </cell>
          <cell r="AA38"/>
          <cell r="AB38">
            <v>0</v>
          </cell>
          <cell r="AC38" t="str">
            <v/>
          </cell>
          <cell r="AD38" t="str">
            <v/>
          </cell>
          <cell r="AE38" t="str">
            <v/>
          </cell>
          <cell r="AF38">
            <v>39873</v>
          </cell>
          <cell r="AG38">
            <v>4647.3423271500842</v>
          </cell>
          <cell r="AH38" t="str">
            <v/>
          </cell>
          <cell r="AI38"/>
          <cell r="AJ38" t="str">
            <v/>
          </cell>
          <cell r="AK38"/>
          <cell r="AL38">
            <v>0</v>
          </cell>
          <cell r="AM38" t="str">
            <v/>
          </cell>
          <cell r="AN38" t="str">
            <v/>
          </cell>
          <cell r="AO38" t="str">
            <v/>
          </cell>
        </row>
        <row r="39">
          <cell r="D39">
            <v>39904</v>
          </cell>
          <cell r="E39" t="str">
            <v/>
          </cell>
          <cell r="F39" t="str">
            <v/>
          </cell>
          <cell r="G39" t="str">
            <v/>
          </cell>
          <cell r="H39" t="str">
            <v/>
          </cell>
          <cell r="I39"/>
          <cell r="J39"/>
          <cell r="K39" t="str">
            <v/>
          </cell>
          <cell r="L39" t="str">
            <v/>
          </cell>
          <cell r="M39" t="str">
            <v/>
          </cell>
          <cell r="N39" t="str">
            <v/>
          </cell>
          <cell r="O39"/>
          <cell r="P39"/>
          <cell r="V39">
            <v>39904</v>
          </cell>
          <cell r="W39">
            <v>5569.6</v>
          </cell>
          <cell r="X39"/>
          <cell r="Y39" t="str">
            <v/>
          </cell>
          <cell r="Z39" t="str">
            <v/>
          </cell>
          <cell r="AA39"/>
          <cell r="AB39">
            <v>0</v>
          </cell>
          <cell r="AC39" t="str">
            <v/>
          </cell>
          <cell r="AD39" t="str">
            <v/>
          </cell>
          <cell r="AE39" t="str">
            <v/>
          </cell>
          <cell r="AF39">
            <v>39904</v>
          </cell>
          <cell r="AG39">
            <v>4881.3884228187917</v>
          </cell>
          <cell r="AH39" t="str">
            <v/>
          </cell>
          <cell r="AI39"/>
          <cell r="AJ39" t="str">
            <v/>
          </cell>
          <cell r="AK39"/>
          <cell r="AL39">
            <v>0</v>
          </cell>
          <cell r="AM39" t="str">
            <v/>
          </cell>
          <cell r="AN39" t="str">
            <v/>
          </cell>
          <cell r="AO39" t="str">
            <v/>
          </cell>
        </row>
        <row r="40">
          <cell r="D40">
            <v>39934</v>
          </cell>
          <cell r="E40" t="str">
            <v/>
          </cell>
          <cell r="F40" t="str">
            <v/>
          </cell>
          <cell r="G40" t="str">
            <v/>
          </cell>
          <cell r="H40" t="str">
            <v/>
          </cell>
          <cell r="I40"/>
          <cell r="J40"/>
          <cell r="K40" t="str">
            <v/>
          </cell>
          <cell r="L40" t="str">
            <v/>
          </cell>
          <cell r="M40" t="str">
            <v/>
          </cell>
          <cell r="N40" t="str">
            <v/>
          </cell>
          <cell r="O40"/>
          <cell r="P40"/>
          <cell r="V40">
            <v>39934</v>
          </cell>
          <cell r="W40"/>
          <cell r="X40"/>
          <cell r="Y40" t="str">
            <v/>
          </cell>
          <cell r="Z40" t="str">
            <v/>
          </cell>
          <cell r="AA40"/>
          <cell r="AB40">
            <v>0</v>
          </cell>
          <cell r="AC40" t="str">
            <v/>
          </cell>
          <cell r="AD40" t="str">
            <v/>
          </cell>
          <cell r="AE40" t="str">
            <v/>
          </cell>
          <cell r="AF40">
            <v>39934</v>
          </cell>
          <cell r="AG40"/>
          <cell r="AH40" t="str">
            <v/>
          </cell>
          <cell r="AI40"/>
          <cell r="AJ40" t="str">
            <v/>
          </cell>
          <cell r="AK40"/>
          <cell r="AL40">
            <v>0</v>
          </cell>
          <cell r="AM40" t="str">
            <v/>
          </cell>
          <cell r="AN40" t="str">
            <v/>
          </cell>
          <cell r="AO40" t="str">
            <v/>
          </cell>
        </row>
        <row r="41">
          <cell r="D41">
            <v>39965</v>
          </cell>
          <cell r="E41" t="str">
            <v/>
          </cell>
          <cell r="F41" t="str">
            <v/>
          </cell>
          <cell r="G41" t="str">
            <v/>
          </cell>
          <cell r="H41" t="str">
            <v/>
          </cell>
          <cell r="I41"/>
          <cell r="J41"/>
          <cell r="K41" t="str">
            <v/>
          </cell>
          <cell r="L41" t="str">
            <v/>
          </cell>
          <cell r="M41" t="str">
            <v/>
          </cell>
          <cell r="N41" t="str">
            <v/>
          </cell>
          <cell r="O41"/>
          <cell r="P41"/>
          <cell r="V41">
            <v>39965</v>
          </cell>
          <cell r="W41"/>
          <cell r="X41"/>
          <cell r="Y41" t="str">
            <v/>
          </cell>
          <cell r="Z41" t="str">
            <v/>
          </cell>
          <cell r="AA41"/>
          <cell r="AB41">
            <v>0</v>
          </cell>
          <cell r="AC41" t="str">
            <v/>
          </cell>
          <cell r="AD41" t="str">
            <v/>
          </cell>
          <cell r="AE41" t="str">
            <v/>
          </cell>
          <cell r="AF41">
            <v>39965</v>
          </cell>
          <cell r="AG41"/>
          <cell r="AH41" t="str">
            <v/>
          </cell>
          <cell r="AI41"/>
          <cell r="AJ41" t="str">
            <v/>
          </cell>
          <cell r="AK41"/>
          <cell r="AL41">
            <v>0</v>
          </cell>
          <cell r="AM41" t="str">
            <v/>
          </cell>
          <cell r="AN41" t="str">
            <v/>
          </cell>
          <cell r="AO41" t="str">
            <v/>
          </cell>
        </row>
        <row r="42">
          <cell r="D42">
            <v>39995</v>
          </cell>
          <cell r="E42" t="str">
            <v/>
          </cell>
          <cell r="F42" t="str">
            <v/>
          </cell>
          <cell r="G42" t="str">
            <v/>
          </cell>
          <cell r="H42" t="str">
            <v/>
          </cell>
          <cell r="I42"/>
          <cell r="J42"/>
          <cell r="K42" t="str">
            <v/>
          </cell>
          <cell r="L42" t="str">
            <v/>
          </cell>
          <cell r="M42" t="str">
            <v/>
          </cell>
          <cell r="N42" t="str">
            <v/>
          </cell>
          <cell r="O42"/>
          <cell r="P42"/>
          <cell r="V42">
            <v>39995</v>
          </cell>
          <cell r="W42"/>
          <cell r="X42"/>
          <cell r="Y42" t="str">
            <v/>
          </cell>
          <cell r="Z42" t="str">
            <v/>
          </cell>
          <cell r="AA42"/>
          <cell r="AB42">
            <v>0</v>
          </cell>
          <cell r="AC42" t="str">
            <v/>
          </cell>
          <cell r="AD42" t="str">
            <v/>
          </cell>
          <cell r="AE42" t="str">
            <v/>
          </cell>
          <cell r="AF42">
            <v>39995</v>
          </cell>
          <cell r="AG42"/>
          <cell r="AH42" t="str">
            <v/>
          </cell>
          <cell r="AI42"/>
          <cell r="AJ42" t="str">
            <v/>
          </cell>
          <cell r="AK42"/>
          <cell r="AL42">
            <v>0</v>
          </cell>
          <cell r="AM42" t="str">
            <v/>
          </cell>
          <cell r="AN42" t="str">
            <v/>
          </cell>
          <cell r="AO42" t="str">
            <v/>
          </cell>
        </row>
        <row r="43">
          <cell r="D43">
            <v>40026</v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/>
          <cell r="J43"/>
          <cell r="K43" t="str">
            <v/>
          </cell>
          <cell r="L43" t="str">
            <v/>
          </cell>
          <cell r="M43" t="str">
            <v/>
          </cell>
          <cell r="N43" t="str">
            <v/>
          </cell>
          <cell r="O43"/>
          <cell r="P43"/>
          <cell r="V43">
            <v>40026</v>
          </cell>
          <cell r="W43"/>
          <cell r="X43"/>
          <cell r="Y43" t="str">
            <v/>
          </cell>
          <cell r="Z43" t="str">
            <v/>
          </cell>
          <cell r="AA43"/>
          <cell r="AB43">
            <v>0</v>
          </cell>
          <cell r="AC43" t="str">
            <v/>
          </cell>
          <cell r="AD43" t="str">
            <v/>
          </cell>
          <cell r="AE43" t="str">
            <v/>
          </cell>
          <cell r="AF43">
            <v>40026</v>
          </cell>
          <cell r="AG43"/>
          <cell r="AH43" t="str">
            <v/>
          </cell>
          <cell r="AI43"/>
          <cell r="AJ43" t="str">
            <v/>
          </cell>
          <cell r="AK43"/>
          <cell r="AL43">
            <v>0</v>
          </cell>
          <cell r="AM43" t="str">
            <v/>
          </cell>
          <cell r="AN43" t="str">
            <v/>
          </cell>
          <cell r="AO43" t="str">
            <v/>
          </cell>
        </row>
        <row r="44">
          <cell r="D44">
            <v>40057</v>
          </cell>
          <cell r="E44" t="str">
            <v/>
          </cell>
          <cell r="F44" t="str">
            <v/>
          </cell>
          <cell r="G44" t="str">
            <v/>
          </cell>
          <cell r="H44" t="str">
            <v/>
          </cell>
          <cell r="I44"/>
          <cell r="J44"/>
          <cell r="K44" t="str">
            <v/>
          </cell>
          <cell r="L44" t="str">
            <v/>
          </cell>
          <cell r="M44" t="str">
            <v/>
          </cell>
          <cell r="N44" t="str">
            <v/>
          </cell>
          <cell r="O44"/>
          <cell r="P44"/>
          <cell r="V44">
            <v>40057</v>
          </cell>
          <cell r="W44"/>
          <cell r="X44"/>
          <cell r="Y44" t="str">
            <v/>
          </cell>
          <cell r="Z44" t="str">
            <v/>
          </cell>
          <cell r="AA44"/>
          <cell r="AB44">
            <v>0</v>
          </cell>
          <cell r="AC44" t="str">
            <v/>
          </cell>
          <cell r="AD44" t="str">
            <v/>
          </cell>
          <cell r="AE44" t="str">
            <v/>
          </cell>
          <cell r="AF44">
            <v>40057</v>
          </cell>
          <cell r="AG44"/>
          <cell r="AH44" t="str">
            <v/>
          </cell>
          <cell r="AI44"/>
          <cell r="AJ44" t="str">
            <v/>
          </cell>
          <cell r="AK44"/>
          <cell r="AL44">
            <v>0</v>
          </cell>
          <cell r="AM44" t="str">
            <v/>
          </cell>
          <cell r="AN44" t="str">
            <v/>
          </cell>
          <cell r="AO44" t="str">
            <v/>
          </cell>
        </row>
      </sheetData>
      <sheetData sheetId="10">
        <row r="9">
          <cell r="D9"/>
          <cell r="E9" t="str">
            <v>Mesual</v>
          </cell>
          <cell r="F9"/>
          <cell r="G9"/>
          <cell r="H9"/>
          <cell r="I9"/>
          <cell r="J9"/>
          <cell r="K9" t="str">
            <v>Acumulado</v>
          </cell>
          <cell r="L9"/>
          <cell r="M9"/>
          <cell r="N9"/>
          <cell r="O9"/>
          <cell r="P9"/>
          <cell r="V9" t="str">
            <v>Mes</v>
          </cell>
          <cell r="W9"/>
          <cell r="X9"/>
          <cell r="Y9"/>
          <cell r="Z9"/>
          <cell r="AA9"/>
          <cell r="AB9"/>
          <cell r="AC9"/>
          <cell r="AD9"/>
          <cell r="AE9"/>
          <cell r="AF9" t="str">
            <v>Mes</v>
          </cell>
          <cell r="AG9"/>
          <cell r="AH9"/>
          <cell r="AI9"/>
          <cell r="AJ9"/>
        </row>
        <row r="10">
          <cell r="D10" t="str">
            <v>Fecha</v>
          </cell>
          <cell r="E10" t="str">
            <v>Estimado</v>
          </cell>
          <cell r="F10" t="str">
            <v>Performance</v>
          </cell>
          <cell r="G10"/>
          <cell r="H10"/>
          <cell r="I10" t="str">
            <v>Limites</v>
          </cell>
          <cell r="J10"/>
          <cell r="K10" t="str">
            <v>Estimado</v>
          </cell>
          <cell r="L10" t="str">
            <v>Performance</v>
          </cell>
          <cell r="M10"/>
          <cell r="N10"/>
          <cell r="O10" t="str">
            <v>Limites</v>
          </cell>
          <cell r="P10"/>
          <cell r="Q10"/>
          <cell r="R10"/>
          <cell r="S10"/>
          <cell r="T10"/>
          <cell r="U10"/>
          <cell r="V10"/>
          <cell r="W10" t="str">
            <v>Valores</v>
          </cell>
          <cell r="X10"/>
          <cell r="Y10" t="str">
            <v>Var 1.</v>
          </cell>
          <cell r="Z10"/>
          <cell r="AA10" t="str">
            <v>Proyectado</v>
          </cell>
          <cell r="AB10" t="str">
            <v>Anual</v>
          </cell>
          <cell r="AC10" t="str">
            <v>Var 2.</v>
          </cell>
          <cell r="AD10"/>
          <cell r="AE10" t="str">
            <v>% Avance 
del Año</v>
          </cell>
          <cell r="AF10"/>
          <cell r="AG10" t="str">
            <v>Valores</v>
          </cell>
          <cell r="AH10"/>
          <cell r="AI10" t="str">
            <v>Var 1.</v>
          </cell>
          <cell r="AJ10"/>
        </row>
        <row r="11">
          <cell r="D11"/>
          <cell r="E11"/>
          <cell r="F11"/>
          <cell r="G11"/>
          <cell r="H11"/>
          <cell r="I11" t="str">
            <v>Sup</v>
          </cell>
          <cell r="J11" t="str">
            <v>Inf</v>
          </cell>
          <cell r="K11"/>
          <cell r="L11"/>
          <cell r="M11"/>
          <cell r="N11"/>
          <cell r="O11" t="str">
            <v>Sup</v>
          </cell>
          <cell r="P11" t="str">
            <v>Inf</v>
          </cell>
          <cell r="Q11"/>
          <cell r="R11"/>
          <cell r="S11"/>
          <cell r="T11"/>
          <cell r="U11"/>
          <cell r="V11" t="str">
            <v>Fecha</v>
          </cell>
          <cell r="W11" t="str">
            <v>Anteriores</v>
          </cell>
          <cell r="X11" t="str">
            <v>Real</v>
          </cell>
          <cell r="Y11" t="str">
            <v>Unidades</v>
          </cell>
          <cell r="Z11" t="str">
            <v>%</v>
          </cell>
          <cell r="AA11"/>
          <cell r="AB11" t="str">
            <v>Proyectado</v>
          </cell>
          <cell r="AC11" t="str">
            <v>Unidades</v>
          </cell>
          <cell r="AD11" t="str">
            <v>%</v>
          </cell>
          <cell r="AE11"/>
          <cell r="AF11" t="str">
            <v>Fecha</v>
          </cell>
          <cell r="AG11" t="str">
            <v>Anteriores</v>
          </cell>
          <cell r="AH11" t="str">
            <v>Real</v>
          </cell>
          <cell r="AI11" t="str">
            <v>Unidades</v>
          </cell>
          <cell r="AJ11" t="str">
            <v>%</v>
          </cell>
        </row>
        <row r="12">
          <cell r="D12">
            <v>39083</v>
          </cell>
          <cell r="E12">
            <v>491</v>
          </cell>
          <cell r="F12" t="str">
            <v>g</v>
          </cell>
          <cell r="G12" t="str">
            <v>c</v>
          </cell>
          <cell r="H12" t="str">
            <v>c</v>
          </cell>
          <cell r="I12">
            <v>600</v>
          </cell>
          <cell r="J12">
            <v>550</v>
          </cell>
          <cell r="K12"/>
          <cell r="L12" t="str">
            <v/>
          </cell>
          <cell r="M12" t="str">
            <v/>
          </cell>
          <cell r="N12" t="str">
            <v/>
          </cell>
          <cell r="O12"/>
          <cell r="P12"/>
          <cell r="Q12"/>
          <cell r="R12"/>
          <cell r="S12"/>
          <cell r="T12"/>
          <cell r="U12"/>
          <cell r="V12">
            <v>39083</v>
          </cell>
          <cell r="W12"/>
          <cell r="X12">
            <v>491</v>
          </cell>
          <cell r="Y12">
            <v>491</v>
          </cell>
          <cell r="Z12"/>
          <cell r="AA12"/>
          <cell r="AB12">
            <v>0</v>
          </cell>
          <cell r="AC12" t="str">
            <v/>
          </cell>
          <cell r="AD12" t="str">
            <v/>
          </cell>
          <cell r="AE12" t="str">
            <v/>
          </cell>
          <cell r="AF12">
            <v>39083</v>
          </cell>
          <cell r="AG12"/>
          <cell r="AH12"/>
          <cell r="AI12" t="str">
            <v/>
          </cell>
          <cell r="AJ12"/>
        </row>
        <row r="13">
          <cell r="D13">
            <v>39114</v>
          </cell>
          <cell r="E13">
            <v>514</v>
          </cell>
          <cell r="F13" t="str">
            <v>g</v>
          </cell>
          <cell r="G13" t="str">
            <v>c</v>
          </cell>
          <cell r="H13" t="str">
            <v>c</v>
          </cell>
          <cell r="I13">
            <v>600</v>
          </cell>
          <cell r="J13">
            <v>550</v>
          </cell>
          <cell r="K13"/>
          <cell r="L13" t="str">
            <v/>
          </cell>
          <cell r="M13" t="str">
            <v/>
          </cell>
          <cell r="N13" t="str">
            <v/>
          </cell>
          <cell r="O13"/>
          <cell r="P13"/>
          <cell r="Q13"/>
          <cell r="R13"/>
          <cell r="S13"/>
          <cell r="T13"/>
          <cell r="U13"/>
          <cell r="V13">
            <v>39114</v>
          </cell>
          <cell r="W13"/>
          <cell r="X13">
            <v>514</v>
          </cell>
          <cell r="Y13">
            <v>514</v>
          </cell>
          <cell r="Z13"/>
          <cell r="AA13"/>
          <cell r="AB13">
            <v>0</v>
          </cell>
          <cell r="AC13" t="str">
            <v/>
          </cell>
          <cell r="AD13" t="str">
            <v/>
          </cell>
          <cell r="AE13" t="str">
            <v/>
          </cell>
          <cell r="AF13">
            <v>39114</v>
          </cell>
          <cell r="AG13"/>
          <cell r="AH13"/>
          <cell r="AI13" t="str">
            <v/>
          </cell>
          <cell r="AJ13"/>
        </row>
        <row r="14">
          <cell r="D14">
            <v>39142</v>
          </cell>
          <cell r="E14">
            <v>520</v>
          </cell>
          <cell r="F14" t="str">
            <v>g</v>
          </cell>
          <cell r="G14" t="str">
            <v>c</v>
          </cell>
          <cell r="H14" t="str">
            <v>c</v>
          </cell>
          <cell r="I14">
            <v>600</v>
          </cell>
          <cell r="J14">
            <v>550</v>
          </cell>
          <cell r="K14"/>
          <cell r="L14" t="str">
            <v/>
          </cell>
          <cell r="M14" t="str">
            <v/>
          </cell>
          <cell r="N14" t="str">
            <v/>
          </cell>
          <cell r="O14"/>
          <cell r="P14"/>
          <cell r="Q14"/>
          <cell r="R14"/>
          <cell r="S14"/>
          <cell r="T14"/>
          <cell r="U14"/>
          <cell r="V14">
            <v>39142</v>
          </cell>
          <cell r="W14"/>
          <cell r="X14">
            <v>520</v>
          </cell>
          <cell r="Y14">
            <v>520</v>
          </cell>
          <cell r="Z14"/>
          <cell r="AA14"/>
          <cell r="AB14">
            <v>0</v>
          </cell>
          <cell r="AC14" t="str">
            <v/>
          </cell>
          <cell r="AD14" t="str">
            <v/>
          </cell>
          <cell r="AE14" t="str">
            <v/>
          </cell>
          <cell r="AF14">
            <v>39142</v>
          </cell>
          <cell r="AG14"/>
          <cell r="AH14"/>
          <cell r="AI14" t="str">
            <v/>
          </cell>
          <cell r="AJ14"/>
        </row>
        <row r="15">
          <cell r="D15">
            <v>39173</v>
          </cell>
          <cell r="E15">
            <v>530</v>
          </cell>
          <cell r="F15" t="str">
            <v>g</v>
          </cell>
          <cell r="G15" t="str">
            <v>c</v>
          </cell>
          <cell r="H15" t="str">
            <v>c</v>
          </cell>
          <cell r="I15">
            <v>600</v>
          </cell>
          <cell r="J15">
            <v>550</v>
          </cell>
          <cell r="K15"/>
          <cell r="L15" t="str">
            <v/>
          </cell>
          <cell r="M15" t="str">
            <v/>
          </cell>
          <cell r="N15" t="str">
            <v/>
          </cell>
          <cell r="O15"/>
          <cell r="P15"/>
          <cell r="Q15"/>
          <cell r="R15"/>
          <cell r="S15"/>
          <cell r="T15"/>
          <cell r="U15"/>
          <cell r="V15">
            <v>39173</v>
          </cell>
          <cell r="W15"/>
          <cell r="X15">
            <v>530</v>
          </cell>
          <cell r="Y15">
            <v>530</v>
          </cell>
          <cell r="Z15"/>
          <cell r="AA15"/>
          <cell r="AB15">
            <v>0</v>
          </cell>
          <cell r="AC15" t="str">
            <v/>
          </cell>
          <cell r="AD15" t="str">
            <v/>
          </cell>
          <cell r="AE15" t="str">
            <v/>
          </cell>
          <cell r="AF15">
            <v>39173</v>
          </cell>
          <cell r="AG15"/>
          <cell r="AH15"/>
          <cell r="AI15" t="str">
            <v/>
          </cell>
          <cell r="AJ15"/>
        </row>
        <row r="16">
          <cell r="D16">
            <v>39203</v>
          </cell>
          <cell r="E16">
            <v>532</v>
          </cell>
          <cell r="F16" t="str">
            <v>g</v>
          </cell>
          <cell r="G16" t="str">
            <v>c</v>
          </cell>
          <cell r="H16" t="str">
            <v>c</v>
          </cell>
          <cell r="I16">
            <v>600</v>
          </cell>
          <cell r="J16">
            <v>550</v>
          </cell>
          <cell r="K16"/>
          <cell r="L16" t="str">
            <v/>
          </cell>
          <cell r="M16" t="str">
            <v/>
          </cell>
          <cell r="N16" t="str">
            <v/>
          </cell>
          <cell r="O16"/>
          <cell r="P16"/>
          <cell r="Q16"/>
          <cell r="R16"/>
          <cell r="S16"/>
          <cell r="T16"/>
          <cell r="U16"/>
          <cell r="V16">
            <v>39203</v>
          </cell>
          <cell r="W16"/>
          <cell r="X16">
            <v>532</v>
          </cell>
          <cell r="Y16">
            <v>532</v>
          </cell>
          <cell r="Z16"/>
          <cell r="AA16"/>
          <cell r="AB16">
            <v>0</v>
          </cell>
          <cell r="AC16" t="str">
            <v/>
          </cell>
          <cell r="AD16" t="str">
            <v/>
          </cell>
          <cell r="AE16" t="str">
            <v/>
          </cell>
          <cell r="AF16">
            <v>39203</v>
          </cell>
          <cell r="AG16"/>
          <cell r="AH16"/>
          <cell r="AI16" t="str">
            <v/>
          </cell>
          <cell r="AJ16"/>
        </row>
        <row r="17">
          <cell r="D17">
            <v>39234</v>
          </cell>
          <cell r="E17">
            <v>559</v>
          </cell>
          <cell r="F17" t="str">
            <v>c</v>
          </cell>
          <cell r="G17" t="str">
            <v>g</v>
          </cell>
          <cell r="H17" t="str">
            <v>c</v>
          </cell>
          <cell r="I17">
            <v>600</v>
          </cell>
          <cell r="J17">
            <v>550</v>
          </cell>
          <cell r="K17"/>
          <cell r="L17" t="str">
            <v/>
          </cell>
          <cell r="M17" t="str">
            <v/>
          </cell>
          <cell r="N17" t="str">
            <v/>
          </cell>
          <cell r="O17"/>
          <cell r="P17"/>
          <cell r="Q17"/>
          <cell r="R17"/>
          <cell r="S17"/>
          <cell r="T17"/>
          <cell r="U17"/>
          <cell r="V17">
            <v>39234</v>
          </cell>
          <cell r="W17"/>
          <cell r="X17">
            <v>559</v>
          </cell>
          <cell r="Y17">
            <v>559</v>
          </cell>
          <cell r="Z17"/>
          <cell r="AA17"/>
          <cell r="AB17">
            <v>0</v>
          </cell>
          <cell r="AC17" t="str">
            <v/>
          </cell>
          <cell r="AD17" t="str">
            <v/>
          </cell>
          <cell r="AE17" t="str">
            <v/>
          </cell>
          <cell r="AF17">
            <v>39234</v>
          </cell>
          <cell r="AG17"/>
          <cell r="AH17"/>
          <cell r="AI17" t="str">
            <v/>
          </cell>
          <cell r="AJ17"/>
        </row>
        <row r="18">
          <cell r="D18">
            <v>39264</v>
          </cell>
          <cell r="E18">
            <v>590</v>
          </cell>
          <cell r="F18" t="str">
            <v>c</v>
          </cell>
          <cell r="G18" t="str">
            <v>g</v>
          </cell>
          <cell r="H18" t="str">
            <v>c</v>
          </cell>
          <cell r="I18">
            <v>600</v>
          </cell>
          <cell r="J18">
            <v>550</v>
          </cell>
          <cell r="K18"/>
          <cell r="L18" t="str">
            <v/>
          </cell>
          <cell r="M18" t="str">
            <v/>
          </cell>
          <cell r="N18" t="str">
            <v/>
          </cell>
          <cell r="O18"/>
          <cell r="P18"/>
          <cell r="Q18"/>
          <cell r="R18"/>
          <cell r="S18"/>
          <cell r="T18"/>
          <cell r="U18"/>
          <cell r="V18">
            <v>39264</v>
          </cell>
          <cell r="W18"/>
          <cell r="X18">
            <v>590</v>
          </cell>
          <cell r="Y18">
            <v>590</v>
          </cell>
          <cell r="Z18"/>
          <cell r="AA18"/>
          <cell r="AB18">
            <v>0</v>
          </cell>
          <cell r="AC18" t="str">
            <v/>
          </cell>
          <cell r="AD18" t="str">
            <v/>
          </cell>
          <cell r="AE18" t="str">
            <v/>
          </cell>
          <cell r="AF18">
            <v>39264</v>
          </cell>
          <cell r="AG18"/>
          <cell r="AH18"/>
          <cell r="AI18" t="str">
            <v/>
          </cell>
          <cell r="AJ18"/>
        </row>
        <row r="19">
          <cell r="D19">
            <v>39295</v>
          </cell>
          <cell r="E19">
            <v>556</v>
          </cell>
          <cell r="F19" t="str">
            <v>c</v>
          </cell>
          <cell r="G19" t="str">
            <v>g</v>
          </cell>
          <cell r="H19" t="str">
            <v>c</v>
          </cell>
          <cell r="I19">
            <v>600</v>
          </cell>
          <cell r="J19">
            <v>550</v>
          </cell>
          <cell r="K19"/>
          <cell r="L19" t="str">
            <v/>
          </cell>
          <cell r="M19" t="str">
            <v/>
          </cell>
          <cell r="N19" t="str">
            <v/>
          </cell>
          <cell r="O19"/>
          <cell r="P19"/>
          <cell r="Q19"/>
          <cell r="R19"/>
          <cell r="S19"/>
          <cell r="T19"/>
          <cell r="U19"/>
          <cell r="V19">
            <v>39295</v>
          </cell>
          <cell r="W19"/>
          <cell r="X19">
            <v>556</v>
          </cell>
          <cell r="Y19">
            <v>556</v>
          </cell>
          <cell r="Z19"/>
          <cell r="AA19"/>
          <cell r="AB19">
            <v>0</v>
          </cell>
          <cell r="AC19" t="str">
            <v/>
          </cell>
          <cell r="AD19" t="str">
            <v/>
          </cell>
          <cell r="AE19" t="str">
            <v/>
          </cell>
          <cell r="AF19">
            <v>39295</v>
          </cell>
          <cell r="AG19"/>
          <cell r="AH19" t="str">
            <v/>
          </cell>
          <cell r="AI19" t="str">
            <v/>
          </cell>
          <cell r="AJ19" t="str">
            <v/>
          </cell>
        </row>
        <row r="20">
          <cell r="D20">
            <v>39326</v>
          </cell>
          <cell r="E20">
            <v>561</v>
          </cell>
          <cell r="F20" t="str">
            <v>c</v>
          </cell>
          <cell r="G20" t="str">
            <v>g</v>
          </cell>
          <cell r="H20" t="str">
            <v>c</v>
          </cell>
          <cell r="I20">
            <v>600</v>
          </cell>
          <cell r="J20">
            <v>550</v>
          </cell>
          <cell r="K20"/>
          <cell r="L20" t="str">
            <v/>
          </cell>
          <cell r="M20" t="str">
            <v/>
          </cell>
          <cell r="N20" t="str">
            <v/>
          </cell>
          <cell r="O20"/>
          <cell r="P20"/>
          <cell r="Q20"/>
          <cell r="R20"/>
          <cell r="S20"/>
          <cell r="T20"/>
          <cell r="U20"/>
          <cell r="V20">
            <v>39326</v>
          </cell>
          <cell r="W20"/>
          <cell r="X20">
            <v>561</v>
          </cell>
          <cell r="Y20">
            <v>561</v>
          </cell>
          <cell r="Z20"/>
          <cell r="AA20"/>
          <cell r="AB20">
            <v>0</v>
          </cell>
          <cell r="AC20" t="str">
            <v/>
          </cell>
          <cell r="AD20" t="str">
            <v/>
          </cell>
          <cell r="AE20" t="str">
            <v/>
          </cell>
          <cell r="AF20">
            <v>39326</v>
          </cell>
          <cell r="AG20"/>
          <cell r="AH20" t="str">
            <v/>
          </cell>
          <cell r="AI20" t="str">
            <v/>
          </cell>
          <cell r="AJ20" t="str">
            <v/>
          </cell>
        </row>
        <row r="21">
          <cell r="D21">
            <v>39356</v>
          </cell>
          <cell r="E21">
            <v>562</v>
          </cell>
          <cell r="F21" t="str">
            <v>c</v>
          </cell>
          <cell r="G21" t="str">
            <v>g</v>
          </cell>
          <cell r="H21" t="str">
            <v>c</v>
          </cell>
          <cell r="I21">
            <v>600</v>
          </cell>
          <cell r="J21">
            <v>550</v>
          </cell>
          <cell r="K21"/>
          <cell r="L21" t="str">
            <v/>
          </cell>
          <cell r="M21" t="str">
            <v/>
          </cell>
          <cell r="N21" t="str">
            <v/>
          </cell>
          <cell r="O21"/>
          <cell r="P21"/>
          <cell r="Q21"/>
          <cell r="R21"/>
          <cell r="S21"/>
          <cell r="T21"/>
          <cell r="U21"/>
          <cell r="V21">
            <v>39356</v>
          </cell>
          <cell r="W21"/>
          <cell r="X21">
            <v>562</v>
          </cell>
          <cell r="Y21">
            <v>562</v>
          </cell>
          <cell r="Z21"/>
          <cell r="AA21"/>
          <cell r="AB21">
            <v>0</v>
          </cell>
          <cell r="AC21" t="str">
            <v/>
          </cell>
          <cell r="AD21" t="str">
            <v/>
          </cell>
          <cell r="AE21" t="str">
            <v/>
          </cell>
          <cell r="AF21">
            <v>39356</v>
          </cell>
          <cell r="AG21"/>
          <cell r="AH21" t="str">
            <v/>
          </cell>
          <cell r="AI21" t="str">
            <v/>
          </cell>
          <cell r="AJ21" t="str">
            <v/>
          </cell>
        </row>
        <row r="22">
          <cell r="D22">
            <v>39387</v>
          </cell>
          <cell r="E22">
            <v>560</v>
          </cell>
          <cell r="F22" t="str">
            <v>c</v>
          </cell>
          <cell r="G22" t="str">
            <v>g</v>
          </cell>
          <cell r="H22" t="str">
            <v>c</v>
          </cell>
          <cell r="I22">
            <v>600</v>
          </cell>
          <cell r="J22">
            <v>550</v>
          </cell>
          <cell r="K22"/>
          <cell r="L22" t="str">
            <v/>
          </cell>
          <cell r="M22" t="str">
            <v/>
          </cell>
          <cell r="N22" t="str">
            <v/>
          </cell>
          <cell r="O22"/>
          <cell r="P22"/>
          <cell r="Q22"/>
          <cell r="R22"/>
          <cell r="S22"/>
          <cell r="T22"/>
          <cell r="U22"/>
          <cell r="V22">
            <v>39387</v>
          </cell>
          <cell r="W22"/>
          <cell r="X22">
            <v>560</v>
          </cell>
          <cell r="Y22">
            <v>560</v>
          </cell>
          <cell r="Z22"/>
          <cell r="AA22"/>
          <cell r="AB22">
            <v>0</v>
          </cell>
          <cell r="AC22" t="str">
            <v/>
          </cell>
          <cell r="AD22" t="str">
            <v/>
          </cell>
          <cell r="AE22" t="str">
            <v/>
          </cell>
          <cell r="AF22">
            <v>39387</v>
          </cell>
          <cell r="AG22"/>
          <cell r="AH22" t="str">
            <v/>
          </cell>
          <cell r="AI22" t="str">
            <v/>
          </cell>
          <cell r="AJ22" t="str">
            <v/>
          </cell>
        </row>
        <row r="23">
          <cell r="D23">
            <v>39417</v>
          </cell>
          <cell r="E23">
            <v>563</v>
          </cell>
          <cell r="F23" t="str">
            <v>c</v>
          </cell>
          <cell r="G23" t="str">
            <v>g</v>
          </cell>
          <cell r="H23" t="str">
            <v>c</v>
          </cell>
          <cell r="I23">
            <v>600</v>
          </cell>
          <cell r="J23">
            <v>550</v>
          </cell>
          <cell r="K23"/>
          <cell r="L23" t="str">
            <v/>
          </cell>
          <cell r="M23" t="str">
            <v/>
          </cell>
          <cell r="N23" t="str">
            <v/>
          </cell>
          <cell r="O23"/>
          <cell r="P23"/>
          <cell r="Q23"/>
          <cell r="R23"/>
          <cell r="S23"/>
          <cell r="T23"/>
          <cell r="U23"/>
          <cell r="V23">
            <v>39417</v>
          </cell>
          <cell r="W23"/>
          <cell r="X23">
            <v>563</v>
          </cell>
          <cell r="Y23">
            <v>563</v>
          </cell>
          <cell r="Z23"/>
          <cell r="AA23"/>
          <cell r="AB23">
            <v>0</v>
          </cell>
          <cell r="AC23" t="str">
            <v/>
          </cell>
          <cell r="AD23" t="str">
            <v/>
          </cell>
          <cell r="AE23" t="str">
            <v/>
          </cell>
          <cell r="AF23">
            <v>39417</v>
          </cell>
          <cell r="AG23"/>
          <cell r="AH23" t="str">
            <v/>
          </cell>
          <cell r="AI23" t="str">
            <v/>
          </cell>
          <cell r="AJ23" t="str">
            <v/>
          </cell>
        </row>
        <row r="24">
          <cell r="D24">
            <v>39448</v>
          </cell>
          <cell r="E24">
            <v>587</v>
          </cell>
          <cell r="F24" t="str">
            <v>c</v>
          </cell>
          <cell r="G24" t="str">
            <v>g</v>
          </cell>
          <cell r="H24" t="str">
            <v>c</v>
          </cell>
          <cell r="I24">
            <v>600</v>
          </cell>
          <cell r="J24">
            <v>550</v>
          </cell>
          <cell r="K24"/>
          <cell r="L24" t="str">
            <v/>
          </cell>
          <cell r="M24" t="str">
            <v/>
          </cell>
          <cell r="N24" t="str">
            <v/>
          </cell>
          <cell r="O24"/>
          <cell r="P24"/>
          <cell r="Q24"/>
          <cell r="R24"/>
          <cell r="S24"/>
          <cell r="T24"/>
          <cell r="U24"/>
          <cell r="V24">
            <v>39448</v>
          </cell>
          <cell r="W24">
            <v>491</v>
          </cell>
          <cell r="X24">
            <v>587</v>
          </cell>
          <cell r="Y24">
            <v>96</v>
          </cell>
          <cell r="Z24">
            <v>0.1955193482688391</v>
          </cell>
          <cell r="AA24"/>
          <cell r="AB24">
            <v>0</v>
          </cell>
          <cell r="AC24" t="str">
            <v/>
          </cell>
          <cell r="AD24" t="str">
            <v/>
          </cell>
          <cell r="AE24" t="str">
            <v/>
          </cell>
          <cell r="AF24">
            <v>39448</v>
          </cell>
          <cell r="AG24" t="str">
            <v/>
          </cell>
          <cell r="AH24" t="str">
            <v/>
          </cell>
          <cell r="AI24" t="str">
            <v/>
          </cell>
          <cell r="AJ24" t="str">
            <v/>
          </cell>
        </row>
        <row r="25">
          <cell r="D25">
            <v>39479</v>
          </cell>
          <cell r="E25">
            <v>592</v>
          </cell>
          <cell r="F25" t="str">
            <v>c</v>
          </cell>
          <cell r="G25" t="str">
            <v>g</v>
          </cell>
          <cell r="H25" t="str">
            <v>c</v>
          </cell>
          <cell r="I25">
            <v>600</v>
          </cell>
          <cell r="J25">
            <v>550</v>
          </cell>
          <cell r="K25"/>
          <cell r="L25" t="str">
            <v/>
          </cell>
          <cell r="M25" t="str">
            <v/>
          </cell>
          <cell r="N25" t="str">
            <v/>
          </cell>
          <cell r="O25"/>
          <cell r="P25"/>
          <cell r="Q25"/>
          <cell r="R25"/>
          <cell r="S25"/>
          <cell r="T25"/>
          <cell r="U25"/>
          <cell r="V25">
            <v>39479</v>
          </cell>
          <cell r="W25">
            <v>514</v>
          </cell>
          <cell r="X25">
            <v>592</v>
          </cell>
          <cell r="Y25">
            <v>78</v>
          </cell>
          <cell r="Z25">
            <v>0.15175097276264582</v>
          </cell>
          <cell r="AA25"/>
          <cell r="AB25">
            <v>0</v>
          </cell>
          <cell r="AC25" t="str">
            <v/>
          </cell>
          <cell r="AD25" t="str">
            <v/>
          </cell>
          <cell r="AE25" t="str">
            <v/>
          </cell>
          <cell r="AF25">
            <v>39479</v>
          </cell>
          <cell r="AG25" t="str">
            <v/>
          </cell>
          <cell r="AH25" t="str">
            <v/>
          </cell>
          <cell r="AI25" t="str">
            <v/>
          </cell>
          <cell r="AJ25" t="str">
            <v/>
          </cell>
        </row>
        <row r="26">
          <cell r="D26">
            <v>39508</v>
          </cell>
          <cell r="E26">
            <v>600</v>
          </cell>
          <cell r="F26" t="str">
            <v>c</v>
          </cell>
          <cell r="G26" t="str">
            <v>c</v>
          </cell>
          <cell r="H26" t="str">
            <v>g</v>
          </cell>
          <cell r="I26">
            <v>600</v>
          </cell>
          <cell r="J26">
            <v>550</v>
          </cell>
          <cell r="K26"/>
          <cell r="L26" t="str">
            <v/>
          </cell>
          <cell r="M26" t="str">
            <v/>
          </cell>
          <cell r="N26" t="str">
            <v/>
          </cell>
          <cell r="O26"/>
          <cell r="P26"/>
          <cell r="Q26"/>
          <cell r="R26"/>
          <cell r="S26"/>
          <cell r="T26"/>
          <cell r="U26"/>
          <cell r="V26">
            <v>39508</v>
          </cell>
          <cell r="W26">
            <v>520</v>
          </cell>
          <cell r="X26">
            <v>600</v>
          </cell>
          <cell r="Y26">
            <v>80</v>
          </cell>
          <cell r="Z26">
            <v>0.15384615384615374</v>
          </cell>
          <cell r="AA26"/>
          <cell r="AB26">
            <v>0</v>
          </cell>
          <cell r="AC26" t="str">
            <v/>
          </cell>
          <cell r="AD26" t="str">
            <v/>
          </cell>
          <cell r="AE26" t="str">
            <v/>
          </cell>
          <cell r="AF26">
            <v>39508</v>
          </cell>
          <cell r="AG26" t="str">
            <v/>
          </cell>
          <cell r="AH26" t="str">
            <v/>
          </cell>
          <cell r="AI26" t="str">
            <v/>
          </cell>
          <cell r="AJ26" t="str">
            <v/>
          </cell>
        </row>
        <row r="27">
          <cell r="D27">
            <v>39539</v>
          </cell>
          <cell r="E27">
            <v>605</v>
          </cell>
          <cell r="F27" t="str">
            <v>c</v>
          </cell>
          <cell r="G27" t="str">
            <v>c</v>
          </cell>
          <cell r="H27" t="str">
            <v>g</v>
          </cell>
          <cell r="I27">
            <v>600</v>
          </cell>
          <cell r="J27">
            <v>550</v>
          </cell>
          <cell r="K27"/>
          <cell r="L27" t="str">
            <v/>
          </cell>
          <cell r="M27" t="str">
            <v/>
          </cell>
          <cell r="N27" t="str">
            <v/>
          </cell>
          <cell r="O27"/>
          <cell r="P27"/>
          <cell r="Q27"/>
          <cell r="R27"/>
          <cell r="S27"/>
          <cell r="T27"/>
          <cell r="U27"/>
          <cell r="V27">
            <v>39539</v>
          </cell>
          <cell r="W27">
            <v>530</v>
          </cell>
          <cell r="X27">
            <v>605</v>
          </cell>
          <cell r="Y27">
            <v>75</v>
          </cell>
          <cell r="Z27">
            <v>0.14150943396226423</v>
          </cell>
          <cell r="AA27"/>
          <cell r="AB27">
            <v>0</v>
          </cell>
          <cell r="AC27" t="str">
            <v/>
          </cell>
          <cell r="AD27" t="str">
            <v/>
          </cell>
          <cell r="AE27" t="str">
            <v/>
          </cell>
          <cell r="AF27">
            <v>39539</v>
          </cell>
          <cell r="AG27" t="str">
            <v/>
          </cell>
          <cell r="AH27" t="str">
            <v/>
          </cell>
          <cell r="AI27" t="str">
            <v/>
          </cell>
          <cell r="AJ27" t="str">
            <v/>
          </cell>
        </row>
        <row r="28">
          <cell r="D28">
            <v>39569</v>
          </cell>
          <cell r="E28">
            <v>604</v>
          </cell>
          <cell r="F28" t="str">
            <v>c</v>
          </cell>
          <cell r="G28" t="str">
            <v>c</v>
          </cell>
          <cell r="H28" t="str">
            <v>g</v>
          </cell>
          <cell r="I28">
            <v>600</v>
          </cell>
          <cell r="J28">
            <v>550</v>
          </cell>
          <cell r="K28"/>
          <cell r="L28" t="str">
            <v/>
          </cell>
          <cell r="M28" t="str">
            <v/>
          </cell>
          <cell r="N28" t="str">
            <v/>
          </cell>
          <cell r="O28"/>
          <cell r="P28"/>
          <cell r="Q28"/>
          <cell r="R28"/>
          <cell r="S28"/>
          <cell r="T28"/>
          <cell r="U28"/>
          <cell r="V28">
            <v>39569</v>
          </cell>
          <cell r="W28">
            <v>532</v>
          </cell>
          <cell r="X28">
            <v>604</v>
          </cell>
          <cell r="Y28">
            <v>72</v>
          </cell>
          <cell r="Z28">
            <v>0.13533834586466176</v>
          </cell>
          <cell r="AA28"/>
          <cell r="AB28">
            <v>0</v>
          </cell>
          <cell r="AC28" t="str">
            <v/>
          </cell>
          <cell r="AD28" t="str">
            <v/>
          </cell>
          <cell r="AE28" t="str">
            <v/>
          </cell>
          <cell r="AF28">
            <v>39569</v>
          </cell>
          <cell r="AG28" t="str">
            <v/>
          </cell>
          <cell r="AH28" t="str">
            <v/>
          </cell>
          <cell r="AI28" t="str">
            <v/>
          </cell>
          <cell r="AJ28" t="str">
            <v/>
          </cell>
        </row>
        <row r="29">
          <cell r="D29">
            <v>39600</v>
          </cell>
          <cell r="E29">
            <v>604</v>
          </cell>
          <cell r="F29" t="str">
            <v>c</v>
          </cell>
          <cell r="G29" t="str">
            <v>c</v>
          </cell>
          <cell r="H29" t="str">
            <v>g</v>
          </cell>
          <cell r="I29">
            <v>600</v>
          </cell>
          <cell r="J29">
            <v>550</v>
          </cell>
          <cell r="K29"/>
          <cell r="L29" t="str">
            <v/>
          </cell>
          <cell r="M29" t="str">
            <v/>
          </cell>
          <cell r="N29" t="str">
            <v/>
          </cell>
          <cell r="O29"/>
          <cell r="P29"/>
          <cell r="Q29"/>
          <cell r="R29"/>
          <cell r="S29"/>
          <cell r="T29"/>
          <cell r="U29"/>
          <cell r="V29">
            <v>39600</v>
          </cell>
          <cell r="W29">
            <v>559</v>
          </cell>
          <cell r="X29">
            <v>604</v>
          </cell>
          <cell r="Y29">
            <v>45</v>
          </cell>
          <cell r="Z29">
            <v>8.0500894454382799E-2</v>
          </cell>
          <cell r="AA29"/>
          <cell r="AB29">
            <v>0</v>
          </cell>
          <cell r="AC29" t="str">
            <v/>
          </cell>
          <cell r="AD29" t="str">
            <v/>
          </cell>
          <cell r="AE29" t="str">
            <v/>
          </cell>
          <cell r="AF29">
            <v>39600</v>
          </cell>
          <cell r="AG29" t="str">
            <v/>
          </cell>
          <cell r="AH29" t="str">
            <v/>
          </cell>
          <cell r="AI29" t="str">
            <v/>
          </cell>
          <cell r="AJ29" t="str">
            <v/>
          </cell>
        </row>
        <row r="30">
          <cell r="D30">
            <v>39630</v>
          </cell>
          <cell r="E30">
            <v>605</v>
          </cell>
          <cell r="F30" t="str">
            <v>c</v>
          </cell>
          <cell r="G30" t="str">
            <v>c</v>
          </cell>
          <cell r="H30" t="str">
            <v>g</v>
          </cell>
          <cell r="I30">
            <v>600</v>
          </cell>
          <cell r="J30">
            <v>550</v>
          </cell>
          <cell r="K30"/>
          <cell r="L30" t="str">
            <v/>
          </cell>
          <cell r="M30" t="str">
            <v/>
          </cell>
          <cell r="N30" t="str">
            <v/>
          </cell>
          <cell r="O30"/>
          <cell r="P30"/>
          <cell r="Q30"/>
          <cell r="R30"/>
          <cell r="S30"/>
          <cell r="T30"/>
          <cell r="U30"/>
          <cell r="V30">
            <v>39630</v>
          </cell>
          <cell r="W30">
            <v>590</v>
          </cell>
          <cell r="X30">
            <v>605</v>
          </cell>
          <cell r="Y30">
            <v>15</v>
          </cell>
          <cell r="Z30">
            <v>2.5423728813559254E-2</v>
          </cell>
          <cell r="AA30"/>
          <cell r="AB30">
            <v>0</v>
          </cell>
          <cell r="AC30" t="str">
            <v/>
          </cell>
          <cell r="AD30" t="str">
            <v/>
          </cell>
          <cell r="AE30" t="str">
            <v/>
          </cell>
          <cell r="AF30">
            <v>39630</v>
          </cell>
          <cell r="AG30" t="str">
            <v/>
          </cell>
          <cell r="AH30" t="str">
            <v/>
          </cell>
          <cell r="AI30" t="str">
            <v/>
          </cell>
          <cell r="AJ30" t="str">
            <v/>
          </cell>
        </row>
        <row r="31">
          <cell r="D31">
            <v>39661</v>
          </cell>
          <cell r="E31">
            <v>614</v>
          </cell>
          <cell r="F31" t="str">
            <v>c</v>
          </cell>
          <cell r="G31" t="str">
            <v>c</v>
          </cell>
          <cell r="H31" t="str">
            <v>g</v>
          </cell>
          <cell r="I31">
            <v>600</v>
          </cell>
          <cell r="J31">
            <v>550</v>
          </cell>
          <cell r="K31"/>
          <cell r="L31" t="str">
            <v/>
          </cell>
          <cell r="M31" t="str">
            <v/>
          </cell>
          <cell r="N31" t="str">
            <v/>
          </cell>
          <cell r="O31"/>
          <cell r="P31"/>
          <cell r="Q31"/>
          <cell r="R31"/>
          <cell r="S31"/>
          <cell r="T31"/>
          <cell r="U31"/>
          <cell r="V31">
            <v>39661</v>
          </cell>
          <cell r="W31">
            <v>556</v>
          </cell>
          <cell r="X31">
            <v>614</v>
          </cell>
          <cell r="Y31">
            <v>58</v>
          </cell>
          <cell r="Z31">
            <v>0.10431654676258995</v>
          </cell>
          <cell r="AA31"/>
          <cell r="AB31">
            <v>0</v>
          </cell>
          <cell r="AC31" t="str">
            <v/>
          </cell>
          <cell r="AD31" t="str">
            <v/>
          </cell>
          <cell r="AE31" t="str">
            <v/>
          </cell>
          <cell r="AF31">
            <v>39661</v>
          </cell>
          <cell r="AG31" t="str">
            <v/>
          </cell>
          <cell r="AH31" t="str">
            <v/>
          </cell>
          <cell r="AI31" t="str">
            <v/>
          </cell>
          <cell r="AJ31" t="str">
            <v/>
          </cell>
        </row>
        <row r="32">
          <cell r="D32">
            <v>39692</v>
          </cell>
          <cell r="E32">
            <v>606</v>
          </cell>
          <cell r="F32" t="str">
            <v>c</v>
          </cell>
          <cell r="G32" t="str">
            <v>c</v>
          </cell>
          <cell r="H32" t="str">
            <v>g</v>
          </cell>
          <cell r="I32">
            <v>600</v>
          </cell>
          <cell r="J32">
            <v>550</v>
          </cell>
          <cell r="K32"/>
          <cell r="L32"/>
          <cell r="M32"/>
          <cell r="N32"/>
          <cell r="O32"/>
          <cell r="P32"/>
          <cell r="Q32"/>
          <cell r="R32"/>
          <cell r="S32"/>
          <cell r="T32"/>
          <cell r="U32"/>
          <cell r="V32">
            <v>39692</v>
          </cell>
          <cell r="W32">
            <v>561</v>
          </cell>
          <cell r="X32">
            <v>606</v>
          </cell>
          <cell r="Y32">
            <v>45</v>
          </cell>
          <cell r="Z32">
            <v>8.0213903743315607E-2</v>
          </cell>
          <cell r="AA32"/>
          <cell r="AB32">
            <v>0</v>
          </cell>
          <cell r="AC32" t="str">
            <v/>
          </cell>
          <cell r="AD32" t="str">
            <v/>
          </cell>
          <cell r="AE32" t="str">
            <v/>
          </cell>
          <cell r="AF32">
            <v>39692</v>
          </cell>
          <cell r="AG32" t="str">
            <v/>
          </cell>
          <cell r="AH32" t="str">
            <v/>
          </cell>
          <cell r="AI32"/>
          <cell r="AJ32" t="str">
            <v/>
          </cell>
        </row>
        <row r="33">
          <cell r="D33">
            <v>39722</v>
          </cell>
          <cell r="E33">
            <v>614</v>
          </cell>
          <cell r="F33" t="str">
            <v>c</v>
          </cell>
          <cell r="G33" t="str">
            <v>c</v>
          </cell>
          <cell r="H33" t="str">
            <v>g</v>
          </cell>
          <cell r="I33">
            <v>600</v>
          </cell>
          <cell r="J33">
            <v>550</v>
          </cell>
          <cell r="K33"/>
          <cell r="L33"/>
          <cell r="M33"/>
          <cell r="N33"/>
          <cell r="O33"/>
          <cell r="P33"/>
          <cell r="Q33"/>
          <cell r="R33"/>
          <cell r="S33"/>
          <cell r="T33"/>
          <cell r="U33"/>
          <cell r="V33">
            <v>39722</v>
          </cell>
          <cell r="W33">
            <v>562</v>
          </cell>
          <cell r="X33">
            <v>614</v>
          </cell>
          <cell r="Y33">
            <v>52</v>
          </cell>
          <cell r="Z33">
            <v>9.2526690391458999E-2</v>
          </cell>
          <cell r="AA33"/>
          <cell r="AB33">
            <v>0</v>
          </cell>
          <cell r="AC33" t="str">
            <v/>
          </cell>
          <cell r="AD33" t="str">
            <v/>
          </cell>
          <cell r="AE33" t="str">
            <v/>
          </cell>
          <cell r="AF33">
            <v>39722</v>
          </cell>
          <cell r="AG33" t="str">
            <v/>
          </cell>
          <cell r="AH33" t="str">
            <v/>
          </cell>
          <cell r="AI33"/>
          <cell r="AJ33" t="str">
            <v/>
          </cell>
        </row>
        <row r="34">
          <cell r="D34">
            <v>39753</v>
          </cell>
          <cell r="E34">
            <v>615</v>
          </cell>
          <cell r="F34" t="str">
            <v>c</v>
          </cell>
          <cell r="G34" t="str">
            <v>c</v>
          </cell>
          <cell r="H34" t="str">
            <v>g</v>
          </cell>
          <cell r="I34">
            <v>600</v>
          </cell>
          <cell r="J34">
            <v>550</v>
          </cell>
          <cell r="K34"/>
          <cell r="L34"/>
          <cell r="M34"/>
          <cell r="N34"/>
          <cell r="O34"/>
          <cell r="P34"/>
          <cell r="Q34"/>
          <cell r="R34"/>
          <cell r="S34"/>
          <cell r="T34"/>
          <cell r="U34"/>
          <cell r="V34">
            <v>39753</v>
          </cell>
          <cell r="W34">
            <v>560</v>
          </cell>
          <cell r="X34">
            <v>615</v>
          </cell>
          <cell r="Y34">
            <v>55</v>
          </cell>
          <cell r="Z34">
            <v>9.8214285714285809E-2</v>
          </cell>
          <cell r="AA34"/>
          <cell r="AB34">
            <v>0</v>
          </cell>
          <cell r="AC34" t="str">
            <v/>
          </cell>
          <cell r="AD34" t="str">
            <v/>
          </cell>
          <cell r="AE34" t="str">
            <v/>
          </cell>
          <cell r="AF34">
            <v>39753</v>
          </cell>
          <cell r="AG34" t="str">
            <v/>
          </cell>
          <cell r="AH34" t="str">
            <v/>
          </cell>
          <cell r="AI34"/>
          <cell r="AJ34" t="str">
            <v/>
          </cell>
        </row>
        <row r="35">
          <cell r="D35">
            <v>39783</v>
          </cell>
          <cell r="E35">
            <v>458</v>
          </cell>
          <cell r="F35" t="str">
            <v>g</v>
          </cell>
          <cell r="G35" t="str">
            <v>c</v>
          </cell>
          <cell r="H35" t="str">
            <v>c</v>
          </cell>
          <cell r="I35">
            <v>600</v>
          </cell>
          <cell r="J35">
            <v>550</v>
          </cell>
          <cell r="K35"/>
          <cell r="L35"/>
          <cell r="M35"/>
          <cell r="N35"/>
          <cell r="O35"/>
          <cell r="P35"/>
          <cell r="Q35"/>
          <cell r="R35"/>
          <cell r="S35"/>
          <cell r="T35"/>
          <cell r="U35"/>
          <cell r="V35">
            <v>39783</v>
          </cell>
          <cell r="W35">
            <v>563</v>
          </cell>
          <cell r="X35">
            <v>458</v>
          </cell>
          <cell r="Y35">
            <v>-105</v>
          </cell>
          <cell r="Z35">
            <v>-0.18650088809946719</v>
          </cell>
          <cell r="AA35"/>
          <cell r="AB35">
            <v>0</v>
          </cell>
          <cell r="AC35" t="str">
            <v/>
          </cell>
          <cell r="AD35" t="str">
            <v/>
          </cell>
          <cell r="AE35" t="str">
            <v/>
          </cell>
          <cell r="AF35">
            <v>39783</v>
          </cell>
          <cell r="AG35" t="str">
            <v/>
          </cell>
          <cell r="AH35" t="str">
            <v/>
          </cell>
          <cell r="AI35"/>
          <cell r="AJ35" t="str">
            <v/>
          </cell>
        </row>
        <row r="36">
          <cell r="D36">
            <v>39814</v>
          </cell>
          <cell r="E36"/>
          <cell r="F36" t="str">
            <v/>
          </cell>
          <cell r="G36" t="str">
            <v/>
          </cell>
          <cell r="H36" t="str">
            <v/>
          </cell>
          <cell r="I36">
            <v>600</v>
          </cell>
          <cell r="J36">
            <v>550</v>
          </cell>
          <cell r="K36"/>
          <cell r="L36"/>
          <cell r="M36"/>
          <cell r="N36"/>
          <cell r="O36"/>
          <cell r="P36"/>
          <cell r="Q36"/>
          <cell r="R36"/>
          <cell r="S36"/>
          <cell r="T36"/>
          <cell r="U36"/>
          <cell r="V36">
            <v>39814</v>
          </cell>
          <cell r="W36">
            <v>587</v>
          </cell>
          <cell r="X36"/>
          <cell r="Y36" t="str">
            <v/>
          </cell>
          <cell r="Z36" t="str">
            <v/>
          </cell>
          <cell r="AA36"/>
          <cell r="AB36">
            <v>0</v>
          </cell>
          <cell r="AC36" t="str">
            <v/>
          </cell>
          <cell r="AD36" t="str">
            <v/>
          </cell>
          <cell r="AE36" t="str">
            <v/>
          </cell>
          <cell r="AF36">
            <v>39814</v>
          </cell>
          <cell r="AG36" t="str">
            <v/>
          </cell>
          <cell r="AH36" t="str">
            <v/>
          </cell>
          <cell r="AI36"/>
          <cell r="AJ36" t="str">
            <v/>
          </cell>
        </row>
        <row r="37">
          <cell r="D37">
            <v>39845</v>
          </cell>
          <cell r="E37"/>
          <cell r="F37" t="str">
            <v/>
          </cell>
          <cell r="G37" t="str">
            <v/>
          </cell>
          <cell r="H37" t="str">
            <v/>
          </cell>
          <cell r="I37">
            <v>600</v>
          </cell>
          <cell r="J37">
            <v>550</v>
          </cell>
          <cell r="K37"/>
          <cell r="L37"/>
          <cell r="M37"/>
          <cell r="N37"/>
          <cell r="O37"/>
          <cell r="P37"/>
          <cell r="Q37"/>
          <cell r="R37"/>
          <cell r="S37"/>
          <cell r="T37"/>
          <cell r="U37"/>
          <cell r="V37">
            <v>39845</v>
          </cell>
          <cell r="W37">
            <v>592</v>
          </cell>
          <cell r="X37"/>
          <cell r="Y37" t="str">
            <v/>
          </cell>
          <cell r="Z37" t="str">
            <v/>
          </cell>
          <cell r="AA37"/>
          <cell r="AB37">
            <v>0</v>
          </cell>
          <cell r="AC37" t="str">
            <v/>
          </cell>
          <cell r="AD37" t="str">
            <v/>
          </cell>
          <cell r="AE37" t="str">
            <v/>
          </cell>
          <cell r="AF37">
            <v>39845</v>
          </cell>
          <cell r="AG37" t="str">
            <v/>
          </cell>
          <cell r="AH37" t="str">
            <v/>
          </cell>
          <cell r="AI37"/>
          <cell r="AJ37" t="str">
            <v/>
          </cell>
        </row>
        <row r="38">
          <cell r="D38">
            <v>39873</v>
          </cell>
          <cell r="E38"/>
          <cell r="F38" t="str">
            <v/>
          </cell>
          <cell r="G38" t="str">
            <v/>
          </cell>
          <cell r="H38" t="str">
            <v/>
          </cell>
          <cell r="I38">
            <v>600</v>
          </cell>
          <cell r="J38">
            <v>550</v>
          </cell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>
            <v>39873</v>
          </cell>
          <cell r="W38">
            <v>600</v>
          </cell>
          <cell r="X38"/>
          <cell r="Y38" t="str">
            <v/>
          </cell>
          <cell r="Z38" t="str">
            <v/>
          </cell>
          <cell r="AA38"/>
          <cell r="AB38">
            <v>0</v>
          </cell>
          <cell r="AC38" t="str">
            <v/>
          </cell>
          <cell r="AD38" t="str">
            <v/>
          </cell>
          <cell r="AE38" t="str">
            <v/>
          </cell>
          <cell r="AF38">
            <v>39873</v>
          </cell>
          <cell r="AG38" t="str">
            <v/>
          </cell>
          <cell r="AH38" t="str">
            <v/>
          </cell>
          <cell r="AI38"/>
          <cell r="AJ38" t="str">
            <v/>
          </cell>
        </row>
        <row r="39">
          <cell r="D39">
            <v>39904</v>
          </cell>
          <cell r="E39"/>
          <cell r="F39" t="str">
            <v/>
          </cell>
          <cell r="G39" t="str">
            <v/>
          </cell>
          <cell r="H39" t="str">
            <v/>
          </cell>
          <cell r="I39">
            <v>600</v>
          </cell>
          <cell r="J39">
            <v>550</v>
          </cell>
          <cell r="K39"/>
          <cell r="L39"/>
          <cell r="M39"/>
          <cell r="N39"/>
          <cell r="O39"/>
          <cell r="P39"/>
          <cell r="V39">
            <v>39904</v>
          </cell>
          <cell r="W39">
            <v>605</v>
          </cell>
          <cell r="X39"/>
          <cell r="Y39" t="str">
            <v/>
          </cell>
          <cell r="Z39" t="str">
            <v/>
          </cell>
          <cell r="AA39"/>
          <cell r="AB39">
            <v>0</v>
          </cell>
          <cell r="AC39" t="str">
            <v/>
          </cell>
          <cell r="AD39" t="str">
            <v/>
          </cell>
          <cell r="AE39" t="str">
            <v/>
          </cell>
          <cell r="AF39">
            <v>39904</v>
          </cell>
          <cell r="AG39" t="str">
            <v/>
          </cell>
          <cell r="AH39" t="str">
            <v/>
          </cell>
          <cell r="AI39"/>
          <cell r="AJ39" t="str">
            <v/>
          </cell>
        </row>
        <row r="40">
          <cell r="D40">
            <v>39934</v>
          </cell>
          <cell r="E40"/>
          <cell r="F40" t="str">
            <v/>
          </cell>
          <cell r="G40" t="str">
            <v/>
          </cell>
          <cell r="H40" t="str">
            <v/>
          </cell>
          <cell r="I40">
            <v>600</v>
          </cell>
          <cell r="J40">
            <v>550</v>
          </cell>
          <cell r="K40"/>
          <cell r="L40"/>
          <cell r="M40"/>
          <cell r="N40"/>
          <cell r="O40"/>
          <cell r="P40"/>
          <cell r="V40">
            <v>39934</v>
          </cell>
          <cell r="W40"/>
          <cell r="X40"/>
          <cell r="Y40" t="str">
            <v/>
          </cell>
          <cell r="Z40" t="str">
            <v/>
          </cell>
          <cell r="AA40"/>
          <cell r="AB40">
            <v>0</v>
          </cell>
          <cell r="AC40" t="str">
            <v/>
          </cell>
          <cell r="AD40" t="str">
            <v/>
          </cell>
          <cell r="AE40" t="str">
            <v/>
          </cell>
          <cell r="AF40">
            <v>39934</v>
          </cell>
          <cell r="AG40"/>
          <cell r="AH40" t="str">
            <v/>
          </cell>
          <cell r="AI40"/>
          <cell r="AJ40" t="str">
            <v/>
          </cell>
        </row>
        <row r="41">
          <cell r="D41">
            <v>39965</v>
          </cell>
          <cell r="E41"/>
          <cell r="F41" t="str">
            <v/>
          </cell>
          <cell r="G41" t="str">
            <v/>
          </cell>
          <cell r="H41" t="str">
            <v/>
          </cell>
          <cell r="I41">
            <v>600</v>
          </cell>
          <cell r="J41">
            <v>550</v>
          </cell>
          <cell r="K41"/>
          <cell r="L41"/>
          <cell r="M41"/>
          <cell r="N41"/>
          <cell r="O41"/>
          <cell r="P41"/>
          <cell r="V41">
            <v>39965</v>
          </cell>
          <cell r="W41"/>
          <cell r="X41"/>
          <cell r="Y41" t="str">
            <v/>
          </cell>
          <cell r="Z41" t="str">
            <v/>
          </cell>
          <cell r="AA41"/>
          <cell r="AB41">
            <v>0</v>
          </cell>
          <cell r="AC41" t="str">
            <v/>
          </cell>
          <cell r="AD41" t="str">
            <v/>
          </cell>
          <cell r="AE41" t="str">
            <v/>
          </cell>
          <cell r="AF41">
            <v>39965</v>
          </cell>
          <cell r="AG41"/>
          <cell r="AH41" t="str">
            <v/>
          </cell>
          <cell r="AI41"/>
          <cell r="AJ41" t="str">
            <v/>
          </cell>
        </row>
        <row r="42">
          <cell r="D42">
            <v>39995</v>
          </cell>
          <cell r="E42"/>
          <cell r="F42" t="str">
            <v/>
          </cell>
          <cell r="G42" t="str">
            <v/>
          </cell>
          <cell r="H42" t="str">
            <v/>
          </cell>
          <cell r="I42">
            <v>600</v>
          </cell>
          <cell r="J42">
            <v>550</v>
          </cell>
          <cell r="K42"/>
          <cell r="L42"/>
          <cell r="M42"/>
          <cell r="N42"/>
          <cell r="O42"/>
          <cell r="P42"/>
          <cell r="V42">
            <v>39995</v>
          </cell>
          <cell r="W42"/>
          <cell r="X42"/>
          <cell r="Y42" t="str">
            <v/>
          </cell>
          <cell r="Z42" t="str">
            <v/>
          </cell>
          <cell r="AA42"/>
          <cell r="AB42">
            <v>0</v>
          </cell>
          <cell r="AC42" t="str">
            <v/>
          </cell>
          <cell r="AD42" t="str">
            <v/>
          </cell>
          <cell r="AE42" t="str">
            <v/>
          </cell>
          <cell r="AF42">
            <v>39995</v>
          </cell>
          <cell r="AG42"/>
          <cell r="AH42" t="str">
            <v/>
          </cell>
          <cell r="AI42"/>
          <cell r="AJ42" t="str">
            <v/>
          </cell>
        </row>
        <row r="43">
          <cell r="D43">
            <v>40026</v>
          </cell>
          <cell r="E43"/>
          <cell r="F43" t="str">
            <v/>
          </cell>
          <cell r="G43" t="str">
            <v/>
          </cell>
          <cell r="H43" t="str">
            <v/>
          </cell>
          <cell r="I43">
            <v>600</v>
          </cell>
          <cell r="J43">
            <v>550</v>
          </cell>
          <cell r="K43"/>
          <cell r="L43"/>
          <cell r="M43"/>
          <cell r="N43"/>
          <cell r="O43"/>
          <cell r="P43"/>
          <cell r="V43">
            <v>40026</v>
          </cell>
          <cell r="W43"/>
          <cell r="X43"/>
          <cell r="Y43" t="str">
            <v/>
          </cell>
          <cell r="Z43" t="str">
            <v/>
          </cell>
          <cell r="AA43"/>
          <cell r="AB43">
            <v>0</v>
          </cell>
          <cell r="AC43" t="str">
            <v/>
          </cell>
          <cell r="AD43" t="str">
            <v/>
          </cell>
          <cell r="AE43" t="str">
            <v/>
          </cell>
          <cell r="AF43">
            <v>40026</v>
          </cell>
          <cell r="AG43"/>
          <cell r="AH43" t="str">
            <v/>
          </cell>
          <cell r="AI43"/>
          <cell r="AJ43" t="str">
            <v/>
          </cell>
        </row>
        <row r="44">
          <cell r="D44">
            <v>40057</v>
          </cell>
          <cell r="E44"/>
          <cell r="F44" t="str">
            <v/>
          </cell>
          <cell r="G44" t="str">
            <v/>
          </cell>
          <cell r="H44" t="str">
            <v/>
          </cell>
          <cell r="I44">
            <v>600</v>
          </cell>
          <cell r="J44">
            <v>550</v>
          </cell>
          <cell r="K44"/>
          <cell r="L44"/>
          <cell r="M44"/>
          <cell r="N44"/>
          <cell r="O44"/>
          <cell r="P44"/>
          <cell r="V44">
            <v>40057</v>
          </cell>
          <cell r="W44"/>
          <cell r="X44"/>
          <cell r="Y44" t="str">
            <v/>
          </cell>
          <cell r="Z44" t="str">
            <v/>
          </cell>
          <cell r="AA44"/>
          <cell r="AB44">
            <v>0</v>
          </cell>
          <cell r="AC44" t="str">
            <v/>
          </cell>
          <cell r="AD44" t="str">
            <v/>
          </cell>
          <cell r="AE44" t="str">
            <v/>
          </cell>
          <cell r="AF44">
            <v>40057</v>
          </cell>
          <cell r="AG44"/>
          <cell r="AH44" t="str">
            <v/>
          </cell>
          <cell r="AI44"/>
          <cell r="AJ44" t="str">
            <v/>
          </cell>
        </row>
      </sheetData>
      <sheetData sheetId="11">
        <row r="12">
          <cell r="B12">
            <v>39083</v>
          </cell>
          <cell r="C12"/>
          <cell r="D12">
            <v>1</v>
          </cell>
          <cell r="E12"/>
          <cell r="F12"/>
          <cell r="G12" t="str">
            <v/>
          </cell>
          <cell r="H12" t="str">
            <v/>
          </cell>
          <cell r="I12" t="str">
            <v/>
          </cell>
          <cell r="J12"/>
          <cell r="K12"/>
          <cell r="L12"/>
          <cell r="M12"/>
          <cell r="N12">
            <v>39083</v>
          </cell>
          <cell r="O12"/>
          <cell r="P12"/>
          <cell r="Q12"/>
          <cell r="R12"/>
          <cell r="S12"/>
          <cell r="T12"/>
        </row>
        <row r="13">
          <cell r="B13">
            <v>39114</v>
          </cell>
          <cell r="C13"/>
          <cell r="D13">
            <v>1</v>
          </cell>
          <cell r="E13"/>
          <cell r="F13"/>
          <cell r="G13" t="str">
            <v/>
          </cell>
          <cell r="H13" t="str">
            <v/>
          </cell>
          <cell r="I13" t="str">
            <v/>
          </cell>
          <cell r="J13"/>
          <cell r="K13"/>
          <cell r="L13"/>
          <cell r="M13"/>
          <cell r="N13">
            <v>39114</v>
          </cell>
          <cell r="O13"/>
          <cell r="P13"/>
          <cell r="Q13"/>
          <cell r="R13"/>
          <cell r="S13"/>
          <cell r="T13"/>
        </row>
        <row r="14">
          <cell r="B14">
            <v>39142</v>
          </cell>
          <cell r="C14"/>
          <cell r="D14">
            <v>1</v>
          </cell>
          <cell r="E14"/>
          <cell r="F14"/>
          <cell r="G14" t="str">
            <v/>
          </cell>
          <cell r="H14" t="str">
            <v/>
          </cell>
          <cell r="I14" t="str">
            <v/>
          </cell>
          <cell r="J14"/>
          <cell r="K14"/>
          <cell r="L14"/>
          <cell r="M14"/>
          <cell r="N14">
            <v>39142</v>
          </cell>
          <cell r="O14"/>
          <cell r="P14"/>
          <cell r="Q14"/>
          <cell r="R14"/>
          <cell r="S14"/>
          <cell r="T14"/>
        </row>
        <row r="15">
          <cell r="B15">
            <v>39173</v>
          </cell>
          <cell r="C15"/>
          <cell r="D15">
            <v>1</v>
          </cell>
          <cell r="E15"/>
          <cell r="F15"/>
          <cell r="G15" t="str">
            <v/>
          </cell>
          <cell r="H15" t="str">
            <v/>
          </cell>
          <cell r="I15" t="str">
            <v/>
          </cell>
          <cell r="J15"/>
          <cell r="K15"/>
          <cell r="L15"/>
          <cell r="M15"/>
          <cell r="N15">
            <v>39173</v>
          </cell>
          <cell r="O15"/>
          <cell r="P15"/>
          <cell r="Q15"/>
          <cell r="R15"/>
          <cell r="S15"/>
          <cell r="T15"/>
        </row>
        <row r="16">
          <cell r="B16">
            <v>39203</v>
          </cell>
          <cell r="C16"/>
          <cell r="D16">
            <v>1</v>
          </cell>
          <cell r="E16"/>
          <cell r="F16"/>
          <cell r="G16" t="str">
            <v/>
          </cell>
          <cell r="H16" t="str">
            <v/>
          </cell>
          <cell r="I16" t="str">
            <v/>
          </cell>
          <cell r="J16"/>
          <cell r="K16"/>
          <cell r="L16"/>
          <cell r="M16"/>
          <cell r="N16">
            <v>39203</v>
          </cell>
          <cell r="O16"/>
          <cell r="P16"/>
          <cell r="Q16"/>
          <cell r="R16"/>
          <cell r="S16"/>
          <cell r="T16"/>
        </row>
        <row r="17">
          <cell r="B17">
            <v>39234</v>
          </cell>
          <cell r="C17"/>
          <cell r="D17">
            <v>1</v>
          </cell>
          <cell r="E17"/>
          <cell r="F17"/>
          <cell r="G17" t="str">
            <v/>
          </cell>
          <cell r="H17" t="str">
            <v/>
          </cell>
          <cell r="I17" t="str">
            <v/>
          </cell>
          <cell r="J17"/>
          <cell r="K17"/>
          <cell r="L17"/>
          <cell r="M17"/>
          <cell r="N17">
            <v>39234</v>
          </cell>
          <cell r="O17"/>
          <cell r="P17"/>
          <cell r="Q17"/>
          <cell r="R17"/>
          <cell r="S17"/>
          <cell r="T17"/>
        </row>
        <row r="18">
          <cell r="B18">
            <v>39264</v>
          </cell>
          <cell r="C18"/>
          <cell r="D18">
            <v>1</v>
          </cell>
          <cell r="E18"/>
          <cell r="F18"/>
          <cell r="G18" t="str">
            <v/>
          </cell>
          <cell r="H18" t="str">
            <v/>
          </cell>
          <cell r="I18" t="str">
            <v/>
          </cell>
          <cell r="J18"/>
          <cell r="K18"/>
          <cell r="L18"/>
          <cell r="M18"/>
          <cell r="N18">
            <v>39264</v>
          </cell>
          <cell r="O18"/>
          <cell r="P18"/>
          <cell r="Q18"/>
          <cell r="R18"/>
          <cell r="S18"/>
          <cell r="T18"/>
        </row>
        <row r="19">
          <cell r="B19">
            <v>39295</v>
          </cell>
          <cell r="C19"/>
          <cell r="D19">
            <v>1</v>
          </cell>
          <cell r="E19"/>
          <cell r="F19"/>
          <cell r="G19" t="str">
            <v/>
          </cell>
          <cell r="H19" t="str">
            <v/>
          </cell>
          <cell r="I19" t="str">
            <v/>
          </cell>
          <cell r="J19"/>
          <cell r="K19"/>
          <cell r="L19"/>
          <cell r="M19"/>
          <cell r="N19">
            <v>39295</v>
          </cell>
          <cell r="O19"/>
          <cell r="P19"/>
          <cell r="Q19"/>
          <cell r="R19"/>
          <cell r="S19"/>
          <cell r="T19"/>
        </row>
        <row r="20">
          <cell r="B20">
            <v>39326</v>
          </cell>
          <cell r="C20"/>
          <cell r="D20">
            <v>1</v>
          </cell>
          <cell r="E20"/>
          <cell r="F20"/>
          <cell r="G20" t="str">
            <v/>
          </cell>
          <cell r="H20" t="str">
            <v/>
          </cell>
          <cell r="I20" t="str">
            <v/>
          </cell>
          <cell r="J20"/>
          <cell r="K20"/>
          <cell r="L20"/>
          <cell r="M20"/>
          <cell r="N20">
            <v>39326</v>
          </cell>
          <cell r="O20"/>
          <cell r="P20"/>
          <cell r="Q20"/>
          <cell r="R20"/>
          <cell r="S20"/>
          <cell r="T20"/>
        </row>
        <row r="21">
          <cell r="B21">
            <v>39356</v>
          </cell>
          <cell r="C21"/>
          <cell r="D21">
            <v>1</v>
          </cell>
          <cell r="E21"/>
          <cell r="F21"/>
          <cell r="G21" t="str">
            <v/>
          </cell>
          <cell r="H21" t="str">
            <v/>
          </cell>
          <cell r="I21" t="str">
            <v/>
          </cell>
          <cell r="J21"/>
          <cell r="K21"/>
          <cell r="L21"/>
          <cell r="M21"/>
          <cell r="N21">
            <v>39356</v>
          </cell>
          <cell r="O21"/>
          <cell r="P21"/>
          <cell r="Q21"/>
          <cell r="R21"/>
          <cell r="S21"/>
          <cell r="T21"/>
        </row>
        <row r="22">
          <cell r="B22">
            <v>39387</v>
          </cell>
          <cell r="C22"/>
          <cell r="D22">
            <v>1</v>
          </cell>
          <cell r="E22"/>
          <cell r="F22"/>
          <cell r="G22" t="str">
            <v/>
          </cell>
          <cell r="H22" t="str">
            <v/>
          </cell>
          <cell r="I22" t="str">
            <v/>
          </cell>
          <cell r="J22"/>
          <cell r="K22"/>
          <cell r="L22"/>
          <cell r="M22"/>
          <cell r="N22">
            <v>39387</v>
          </cell>
          <cell r="O22"/>
          <cell r="P22"/>
          <cell r="Q22"/>
          <cell r="R22"/>
          <cell r="S22"/>
          <cell r="T22"/>
        </row>
        <row r="23">
          <cell r="B23">
            <v>39417</v>
          </cell>
          <cell r="C23"/>
          <cell r="D23">
            <v>1</v>
          </cell>
          <cell r="E23"/>
          <cell r="F23"/>
          <cell r="G23" t="str">
            <v/>
          </cell>
          <cell r="H23" t="str">
            <v/>
          </cell>
          <cell r="I23" t="str">
            <v/>
          </cell>
          <cell r="J23"/>
          <cell r="K23"/>
          <cell r="L23"/>
          <cell r="M23"/>
          <cell r="N23">
            <v>39417</v>
          </cell>
          <cell r="O23"/>
          <cell r="P23"/>
          <cell r="Q23"/>
          <cell r="R23"/>
          <cell r="S23"/>
          <cell r="T23"/>
        </row>
        <row r="24">
          <cell r="B24">
            <v>39448</v>
          </cell>
          <cell r="C24"/>
          <cell r="D24">
            <v>1</v>
          </cell>
          <cell r="E24">
            <v>0.99460000000000004</v>
          </cell>
          <cell r="F24">
            <v>0.29210000000000003</v>
          </cell>
          <cell r="G24" t="str">
            <v>c</v>
          </cell>
          <cell r="H24" t="str">
            <v>c</v>
          </cell>
          <cell r="I24" t="str">
            <v>g</v>
          </cell>
          <cell r="J24">
            <v>0.7</v>
          </cell>
          <cell r="K24">
            <v>0.5</v>
          </cell>
          <cell r="L24"/>
          <cell r="M24"/>
          <cell r="N24">
            <v>39448</v>
          </cell>
          <cell r="O24"/>
          <cell r="P24">
            <v>0.29210000000000003</v>
          </cell>
          <cell r="Q24">
            <v>0.29210000000000003</v>
          </cell>
          <cell r="R24"/>
          <cell r="S24">
            <v>0</v>
          </cell>
          <cell r="T24">
            <v>0.29210000000000003</v>
          </cell>
        </row>
        <row r="25">
          <cell r="B25">
            <v>39479</v>
          </cell>
          <cell r="C25"/>
          <cell r="D25">
            <v>1</v>
          </cell>
          <cell r="E25">
            <v>0.91810000000000003</v>
          </cell>
          <cell r="F25">
            <v>0.32</v>
          </cell>
          <cell r="G25" t="str">
            <v>c</v>
          </cell>
          <cell r="H25" t="str">
            <v>c</v>
          </cell>
          <cell r="I25" t="str">
            <v>g</v>
          </cell>
          <cell r="J25">
            <v>0.7</v>
          </cell>
          <cell r="K25">
            <v>0.5</v>
          </cell>
          <cell r="L25"/>
          <cell r="M25"/>
          <cell r="N25">
            <v>39479</v>
          </cell>
          <cell r="O25"/>
          <cell r="P25">
            <v>0.32</v>
          </cell>
          <cell r="Q25">
            <v>0.32</v>
          </cell>
          <cell r="R25"/>
          <cell r="S25">
            <v>0</v>
          </cell>
          <cell r="T25">
            <v>0.61210000000000009</v>
          </cell>
        </row>
        <row r="26">
          <cell r="B26">
            <v>39508</v>
          </cell>
          <cell r="C26"/>
          <cell r="D26">
            <v>1</v>
          </cell>
          <cell r="E26">
            <v>0.99560000000000004</v>
          </cell>
          <cell r="F26">
            <v>0.255</v>
          </cell>
          <cell r="G26" t="str">
            <v>c</v>
          </cell>
          <cell r="H26" t="str">
            <v>c</v>
          </cell>
          <cell r="I26" t="str">
            <v>g</v>
          </cell>
          <cell r="J26">
            <v>0.7</v>
          </cell>
          <cell r="K26">
            <v>0.5</v>
          </cell>
          <cell r="L26"/>
          <cell r="M26"/>
          <cell r="N26">
            <v>39508</v>
          </cell>
          <cell r="O26"/>
          <cell r="P26">
            <v>0.255</v>
          </cell>
          <cell r="Q26">
            <v>0.255</v>
          </cell>
          <cell r="R26"/>
          <cell r="S26">
            <v>0</v>
          </cell>
          <cell r="T26">
            <v>0.86710000000000009</v>
          </cell>
        </row>
        <row r="27">
          <cell r="B27">
            <v>39539</v>
          </cell>
          <cell r="C27"/>
          <cell r="D27"/>
          <cell r="E27"/>
          <cell r="F27">
            <v>0.28079999999999999</v>
          </cell>
          <cell r="G27" t="str">
            <v>c</v>
          </cell>
          <cell r="H27" t="str">
            <v>c</v>
          </cell>
          <cell r="I27" t="str">
            <v>g</v>
          </cell>
          <cell r="J27">
            <v>0.7</v>
          </cell>
          <cell r="K27">
            <v>0.5</v>
          </cell>
          <cell r="L27"/>
          <cell r="M27"/>
          <cell r="N27">
            <v>39539</v>
          </cell>
          <cell r="O27"/>
          <cell r="P27">
            <v>0.28079999999999999</v>
          </cell>
          <cell r="Q27">
            <v>0.28079999999999999</v>
          </cell>
          <cell r="R27"/>
          <cell r="S27">
            <v>0</v>
          </cell>
          <cell r="T27">
            <v>1.1479000000000001</v>
          </cell>
        </row>
        <row r="28">
          <cell r="B28">
            <v>39569</v>
          </cell>
          <cell r="C28"/>
          <cell r="D28"/>
          <cell r="E28"/>
          <cell r="F28">
            <v>0.28129999999999999</v>
          </cell>
          <cell r="G28" t="str">
            <v>c</v>
          </cell>
          <cell r="H28" t="str">
            <v>c</v>
          </cell>
          <cell r="I28" t="str">
            <v>g</v>
          </cell>
          <cell r="J28">
            <v>0.7</v>
          </cell>
          <cell r="K28">
            <v>0.5</v>
          </cell>
          <cell r="L28"/>
          <cell r="M28"/>
          <cell r="N28">
            <v>39569</v>
          </cell>
          <cell r="O28"/>
          <cell r="P28">
            <v>0.28129999999999999</v>
          </cell>
          <cell r="Q28">
            <v>0.28129999999999999</v>
          </cell>
          <cell r="R28"/>
          <cell r="S28">
            <v>0</v>
          </cell>
          <cell r="T28">
            <v>1.4292000000000002</v>
          </cell>
        </row>
        <row r="29">
          <cell r="B29">
            <v>39600</v>
          </cell>
          <cell r="C29"/>
          <cell r="D29"/>
          <cell r="E29"/>
          <cell r="F29">
            <v>0.44800000000000001</v>
          </cell>
          <cell r="G29" t="str">
            <v>c</v>
          </cell>
          <cell r="H29" t="str">
            <v>c</v>
          </cell>
          <cell r="I29" t="str">
            <v>g</v>
          </cell>
          <cell r="J29">
            <v>0.7</v>
          </cell>
          <cell r="K29">
            <v>0.5</v>
          </cell>
          <cell r="L29"/>
          <cell r="M29"/>
          <cell r="N29">
            <v>39600</v>
          </cell>
          <cell r="O29"/>
          <cell r="P29">
            <v>0.44800000000000001</v>
          </cell>
          <cell r="Q29">
            <v>0.44800000000000001</v>
          </cell>
          <cell r="R29"/>
          <cell r="S29">
            <v>0</v>
          </cell>
          <cell r="T29">
            <v>1.8772000000000002</v>
          </cell>
        </row>
        <row r="30">
          <cell r="B30">
            <v>39630</v>
          </cell>
          <cell r="C30"/>
          <cell r="D30"/>
          <cell r="E30"/>
          <cell r="F30">
            <v>0.3624</v>
          </cell>
          <cell r="G30" t="str">
            <v>c</v>
          </cell>
          <cell r="H30" t="str">
            <v>c</v>
          </cell>
          <cell r="I30" t="str">
            <v>g</v>
          </cell>
          <cell r="J30">
            <v>0.7</v>
          </cell>
          <cell r="K30">
            <v>0.5</v>
          </cell>
          <cell r="L30"/>
          <cell r="M30"/>
          <cell r="N30">
            <v>39630</v>
          </cell>
          <cell r="O30"/>
          <cell r="P30">
            <v>0.3624</v>
          </cell>
          <cell r="Q30">
            <v>0.3624</v>
          </cell>
          <cell r="R30"/>
          <cell r="S30">
            <v>0</v>
          </cell>
          <cell r="T30">
            <v>2.2396000000000003</v>
          </cell>
        </row>
        <row r="31">
          <cell r="B31">
            <v>39661</v>
          </cell>
          <cell r="C31"/>
          <cell r="D31"/>
          <cell r="E31"/>
          <cell r="F31">
            <v>0.1759</v>
          </cell>
          <cell r="G31" t="str">
            <v>c</v>
          </cell>
          <cell r="H31" t="str">
            <v>c</v>
          </cell>
          <cell r="I31" t="str">
            <v>g</v>
          </cell>
          <cell r="J31">
            <v>0.7</v>
          </cell>
          <cell r="K31">
            <v>0.5</v>
          </cell>
          <cell r="L31"/>
          <cell r="M31"/>
          <cell r="N31">
            <v>39661</v>
          </cell>
          <cell r="O31"/>
          <cell r="P31">
            <v>0.1759</v>
          </cell>
          <cell r="Q31">
            <v>0.1759</v>
          </cell>
          <cell r="R31"/>
          <cell r="S31">
            <v>0</v>
          </cell>
          <cell r="T31">
            <v>2.4155000000000002</v>
          </cell>
        </row>
        <row r="32">
          <cell r="B32">
            <v>39692</v>
          </cell>
          <cell r="C32"/>
          <cell r="D32"/>
          <cell r="E32"/>
          <cell r="F32">
            <v>0.1711</v>
          </cell>
          <cell r="G32" t="str">
            <v>c</v>
          </cell>
          <cell r="H32" t="str">
            <v>c</v>
          </cell>
          <cell r="I32" t="str">
            <v>g</v>
          </cell>
          <cell r="J32">
            <v>0.7</v>
          </cell>
          <cell r="K32">
            <v>0.5</v>
          </cell>
          <cell r="L32"/>
          <cell r="M32"/>
          <cell r="N32">
            <v>39692</v>
          </cell>
          <cell r="O32"/>
          <cell r="P32">
            <v>0.1711</v>
          </cell>
          <cell r="Q32">
            <v>0.1711</v>
          </cell>
          <cell r="R32"/>
          <cell r="S32">
            <v>0</v>
          </cell>
          <cell r="T32">
            <v>2.5866000000000002</v>
          </cell>
        </row>
        <row r="33">
          <cell r="B33">
            <v>39722</v>
          </cell>
          <cell r="C33"/>
          <cell r="D33"/>
          <cell r="E33"/>
          <cell r="F33">
            <v>0.20519999999999999</v>
          </cell>
          <cell r="G33" t="str">
            <v>c</v>
          </cell>
          <cell r="H33" t="str">
            <v>c</v>
          </cell>
          <cell r="I33" t="str">
            <v>g</v>
          </cell>
          <cell r="J33">
            <v>0.7</v>
          </cell>
          <cell r="K33">
            <v>0.5</v>
          </cell>
          <cell r="L33"/>
          <cell r="M33"/>
          <cell r="N33">
            <v>39722</v>
          </cell>
          <cell r="O33"/>
          <cell r="P33">
            <v>0.20519999999999999</v>
          </cell>
          <cell r="Q33">
            <v>0.20519999999999999</v>
          </cell>
          <cell r="R33"/>
          <cell r="S33">
            <v>0</v>
          </cell>
          <cell r="T33">
            <v>2.7918000000000003</v>
          </cell>
        </row>
        <row r="34">
          <cell r="B34">
            <v>39753</v>
          </cell>
          <cell r="C34"/>
          <cell r="D34"/>
          <cell r="E34"/>
          <cell r="F34">
            <v>0.40160000000000001</v>
          </cell>
          <cell r="G34" t="str">
            <v>c</v>
          </cell>
          <cell r="H34" t="str">
            <v>c</v>
          </cell>
          <cell r="I34" t="str">
            <v>g</v>
          </cell>
          <cell r="J34">
            <v>0.7</v>
          </cell>
          <cell r="K34">
            <v>0.5</v>
          </cell>
          <cell r="L34"/>
          <cell r="M34"/>
          <cell r="N34">
            <v>39753</v>
          </cell>
          <cell r="O34"/>
          <cell r="P34">
            <v>0.40160000000000001</v>
          </cell>
          <cell r="Q34">
            <v>0.40160000000000001</v>
          </cell>
          <cell r="R34"/>
          <cell r="S34">
            <v>0</v>
          </cell>
          <cell r="T34">
            <v>3.1934000000000005</v>
          </cell>
        </row>
        <row r="35">
          <cell r="B35">
            <v>39783</v>
          </cell>
          <cell r="C35"/>
          <cell r="D35"/>
          <cell r="E35"/>
          <cell r="F35">
            <v>0.30980000000000002</v>
          </cell>
          <cell r="G35" t="str">
            <v>c</v>
          </cell>
          <cell r="H35" t="str">
            <v>c</v>
          </cell>
          <cell r="I35" t="str">
            <v>g</v>
          </cell>
          <cell r="J35">
            <v>0.7</v>
          </cell>
          <cell r="K35">
            <v>0.5</v>
          </cell>
          <cell r="L35"/>
          <cell r="M35"/>
          <cell r="N35">
            <v>39783</v>
          </cell>
          <cell r="O35"/>
          <cell r="P35">
            <v>0.30980000000000002</v>
          </cell>
          <cell r="Q35">
            <v>0.30980000000000002</v>
          </cell>
          <cell r="R35"/>
          <cell r="S35">
            <v>0</v>
          </cell>
          <cell r="T35">
            <v>3.5032000000000005</v>
          </cell>
        </row>
        <row r="36">
          <cell r="B36">
            <v>39814</v>
          </cell>
          <cell r="C36"/>
          <cell r="D36"/>
          <cell r="E36"/>
          <cell r="F36"/>
          <cell r="G36" t="str">
            <v/>
          </cell>
          <cell r="H36" t="str">
            <v/>
          </cell>
          <cell r="I36" t="str">
            <v/>
          </cell>
          <cell r="J36">
            <v>0.7</v>
          </cell>
          <cell r="K36">
            <v>0.5</v>
          </cell>
          <cell r="L36"/>
          <cell r="M36"/>
          <cell r="N36">
            <v>39814</v>
          </cell>
          <cell r="O36">
            <v>0.29210000000000003</v>
          </cell>
          <cell r="P36">
            <v>0</v>
          </cell>
          <cell r="Q36">
            <v>-0.29210000000000003</v>
          </cell>
          <cell r="R36">
            <v>-1</v>
          </cell>
          <cell r="S36"/>
          <cell r="T36"/>
        </row>
        <row r="37">
          <cell r="B37">
            <v>39845</v>
          </cell>
          <cell r="C37"/>
          <cell r="D37"/>
          <cell r="E37"/>
          <cell r="F37"/>
          <cell r="G37"/>
          <cell r="H37"/>
          <cell r="I37"/>
          <cell r="J37">
            <v>0.7</v>
          </cell>
          <cell r="K37">
            <v>0.5</v>
          </cell>
          <cell r="L37"/>
          <cell r="M37"/>
          <cell r="N37">
            <v>39845</v>
          </cell>
          <cell r="O37">
            <v>0.32</v>
          </cell>
          <cell r="P37">
            <v>0</v>
          </cell>
          <cell r="Q37">
            <v>-0.32</v>
          </cell>
          <cell r="R37">
            <v>-1</v>
          </cell>
          <cell r="S37"/>
          <cell r="T37"/>
        </row>
        <row r="38">
          <cell r="B38">
            <v>39873</v>
          </cell>
          <cell r="C38"/>
          <cell r="D38"/>
          <cell r="E38"/>
          <cell r="F38"/>
          <cell r="G38"/>
          <cell r="H38"/>
          <cell r="I38"/>
          <cell r="J38">
            <v>0.7</v>
          </cell>
          <cell r="K38">
            <v>0.5</v>
          </cell>
          <cell r="L38"/>
          <cell r="M38"/>
          <cell r="N38">
            <v>39873</v>
          </cell>
          <cell r="O38">
            <v>0.255</v>
          </cell>
          <cell r="P38">
            <v>0</v>
          </cell>
          <cell r="Q38">
            <v>-0.255</v>
          </cell>
          <cell r="R38">
            <v>-1</v>
          </cell>
          <cell r="S38"/>
          <cell r="T38"/>
        </row>
        <row r="39">
          <cell r="B39">
            <v>39904</v>
          </cell>
          <cell r="C39"/>
          <cell r="D39"/>
          <cell r="E39"/>
          <cell r="F39"/>
          <cell r="G39"/>
          <cell r="H39"/>
          <cell r="I39"/>
          <cell r="J39">
            <v>0.7</v>
          </cell>
          <cell r="K39">
            <v>0.5</v>
          </cell>
          <cell r="L39"/>
          <cell r="N39">
            <v>39904</v>
          </cell>
          <cell r="O39">
            <v>0.28079999999999999</v>
          </cell>
          <cell r="P39">
            <v>0</v>
          </cell>
          <cell r="Q39">
            <v>-0.28079999999999999</v>
          </cell>
          <cell r="R39">
            <v>-1</v>
          </cell>
          <cell r="S39"/>
          <cell r="T39"/>
        </row>
        <row r="40">
          <cell r="B40">
            <v>39934</v>
          </cell>
          <cell r="C40"/>
          <cell r="D40"/>
          <cell r="E40"/>
          <cell r="F40"/>
          <cell r="G40"/>
          <cell r="H40"/>
          <cell r="I40"/>
          <cell r="J40">
            <v>0.7</v>
          </cell>
          <cell r="K40">
            <v>0.5</v>
          </cell>
          <cell r="L40"/>
          <cell r="N40">
            <v>39934</v>
          </cell>
          <cell r="O40">
            <v>0.28129999999999999</v>
          </cell>
          <cell r="P40">
            <v>0</v>
          </cell>
          <cell r="Q40">
            <v>-0.28129999999999999</v>
          </cell>
          <cell r="R40">
            <v>-1</v>
          </cell>
          <cell r="S40"/>
          <cell r="T40"/>
        </row>
        <row r="41">
          <cell r="B41">
            <v>39965</v>
          </cell>
          <cell r="C41"/>
          <cell r="D41"/>
          <cell r="E41"/>
          <cell r="F41"/>
          <cell r="G41"/>
          <cell r="H41"/>
          <cell r="I41"/>
          <cell r="J41">
            <v>0.7</v>
          </cell>
          <cell r="K41">
            <v>0.5</v>
          </cell>
          <cell r="L41"/>
          <cell r="N41">
            <v>39965</v>
          </cell>
          <cell r="O41">
            <v>0.44800000000000001</v>
          </cell>
          <cell r="P41">
            <v>0</v>
          </cell>
          <cell r="Q41">
            <v>-0.44800000000000001</v>
          </cell>
          <cell r="R41">
            <v>-1</v>
          </cell>
          <cell r="S41"/>
          <cell r="T41"/>
        </row>
        <row r="42">
          <cell r="B42">
            <v>39995</v>
          </cell>
          <cell r="C42"/>
          <cell r="D42"/>
          <cell r="E42"/>
          <cell r="F42"/>
          <cell r="G42"/>
          <cell r="H42"/>
          <cell r="I42"/>
          <cell r="J42">
            <v>0.7</v>
          </cell>
          <cell r="K42">
            <v>0.5</v>
          </cell>
          <cell r="L42"/>
          <cell r="N42">
            <v>39995</v>
          </cell>
          <cell r="O42">
            <v>0.3624</v>
          </cell>
          <cell r="P42">
            <v>0</v>
          </cell>
          <cell r="Q42">
            <v>-0.3624</v>
          </cell>
          <cell r="R42">
            <v>-1</v>
          </cell>
          <cell r="S42"/>
          <cell r="T42"/>
        </row>
        <row r="43">
          <cell r="B43">
            <v>40026</v>
          </cell>
          <cell r="C43"/>
          <cell r="D43"/>
          <cell r="E43"/>
          <cell r="F43"/>
          <cell r="G43"/>
          <cell r="H43"/>
          <cell r="I43"/>
          <cell r="J43">
            <v>0.7</v>
          </cell>
          <cell r="K43">
            <v>0.5</v>
          </cell>
          <cell r="L43"/>
          <cell r="N43">
            <v>40026</v>
          </cell>
          <cell r="O43">
            <v>0.1759</v>
          </cell>
          <cell r="P43">
            <v>0</v>
          </cell>
          <cell r="Q43">
            <v>-0.1759</v>
          </cell>
          <cell r="R43">
            <v>-1</v>
          </cell>
          <cell r="S43"/>
          <cell r="T43"/>
        </row>
        <row r="44">
          <cell r="B44">
            <v>40057</v>
          </cell>
          <cell r="C44"/>
          <cell r="D44"/>
          <cell r="E44"/>
          <cell r="F44"/>
          <cell r="G44"/>
          <cell r="H44"/>
          <cell r="I44"/>
          <cell r="J44">
            <v>0.7</v>
          </cell>
          <cell r="K44">
            <v>0.5</v>
          </cell>
          <cell r="L44"/>
          <cell r="N44">
            <v>40057</v>
          </cell>
          <cell r="O44">
            <v>0.1711</v>
          </cell>
          <cell r="P44">
            <v>0</v>
          </cell>
          <cell r="Q44">
            <v>-0.1711</v>
          </cell>
          <cell r="R44">
            <v>-1</v>
          </cell>
          <cell r="S44"/>
          <cell r="T44"/>
        </row>
        <row r="45">
          <cell r="B45">
            <v>40087</v>
          </cell>
          <cell r="C45"/>
          <cell r="D45"/>
          <cell r="E45"/>
          <cell r="F45"/>
          <cell r="G45"/>
          <cell r="H45"/>
          <cell r="I45"/>
          <cell r="J45">
            <v>0.7</v>
          </cell>
          <cell r="K45">
            <v>0.5</v>
          </cell>
          <cell r="L45"/>
          <cell r="N45">
            <v>40087</v>
          </cell>
          <cell r="O45">
            <v>0.20519999999999999</v>
          </cell>
          <cell r="P45">
            <v>0</v>
          </cell>
          <cell r="Q45">
            <v>-0.20519999999999999</v>
          </cell>
          <cell r="R45">
            <v>-1</v>
          </cell>
          <cell r="S45"/>
          <cell r="T45"/>
        </row>
        <row r="46">
          <cell r="B46">
            <v>40118</v>
          </cell>
          <cell r="C46"/>
          <cell r="D46"/>
          <cell r="E46"/>
          <cell r="F46"/>
          <cell r="G46"/>
          <cell r="H46"/>
          <cell r="I46"/>
          <cell r="J46">
            <v>0.7</v>
          </cell>
          <cell r="K46">
            <v>0.5</v>
          </cell>
          <cell r="L46"/>
          <cell r="N46">
            <v>40118</v>
          </cell>
          <cell r="O46">
            <v>0.40160000000000001</v>
          </cell>
          <cell r="P46">
            <v>0</v>
          </cell>
          <cell r="Q46">
            <v>-0.40160000000000001</v>
          </cell>
          <cell r="R46">
            <v>-1</v>
          </cell>
          <cell r="S46"/>
          <cell r="T46"/>
        </row>
        <row r="47">
          <cell r="B47">
            <v>40148</v>
          </cell>
          <cell r="C47"/>
          <cell r="D47"/>
          <cell r="E47"/>
          <cell r="F47"/>
          <cell r="G47"/>
          <cell r="H47"/>
          <cell r="I47"/>
          <cell r="J47">
            <v>0.7</v>
          </cell>
          <cell r="K47">
            <v>0.5</v>
          </cell>
          <cell r="L47"/>
          <cell r="N47">
            <v>40148</v>
          </cell>
          <cell r="O47">
            <v>0.30980000000000002</v>
          </cell>
          <cell r="P47">
            <v>0</v>
          </cell>
          <cell r="Q47">
            <v>-0.30980000000000002</v>
          </cell>
          <cell r="R47">
            <v>-1</v>
          </cell>
          <cell r="S47"/>
          <cell r="T47"/>
        </row>
      </sheetData>
      <sheetData sheetId="12">
        <row r="12">
          <cell r="B12">
            <v>39083</v>
          </cell>
          <cell r="C12"/>
          <cell r="D12" t="str">
            <v/>
          </cell>
          <cell r="E12" t="str">
            <v/>
          </cell>
          <cell r="F12" t="str">
            <v/>
          </cell>
          <cell r="G12"/>
          <cell r="H12"/>
          <cell r="I12"/>
          <cell r="J12"/>
          <cell r="K12"/>
          <cell r="L12">
            <v>39083</v>
          </cell>
          <cell r="M12"/>
          <cell r="N12"/>
          <cell r="O12" t="str">
            <v/>
          </cell>
          <cell r="P12"/>
          <cell r="Q12"/>
          <cell r="R12"/>
          <cell r="S12"/>
        </row>
        <row r="13">
          <cell r="B13">
            <v>39114</v>
          </cell>
          <cell r="C13"/>
          <cell r="D13" t="str">
            <v/>
          </cell>
          <cell r="E13" t="str">
            <v/>
          </cell>
          <cell r="F13" t="str">
            <v/>
          </cell>
          <cell r="G13"/>
          <cell r="H13"/>
          <cell r="I13"/>
          <cell r="J13"/>
          <cell r="K13"/>
          <cell r="L13">
            <v>39114</v>
          </cell>
          <cell r="M13"/>
          <cell r="N13"/>
          <cell r="O13" t="str">
            <v/>
          </cell>
          <cell r="P13"/>
          <cell r="Q13"/>
          <cell r="R13"/>
          <cell r="S13"/>
        </row>
        <row r="14">
          <cell r="B14">
            <v>39142</v>
          </cell>
          <cell r="C14"/>
          <cell r="D14" t="str">
            <v/>
          </cell>
          <cell r="E14" t="str">
            <v/>
          </cell>
          <cell r="F14" t="str">
            <v/>
          </cell>
          <cell r="G14"/>
          <cell r="H14"/>
          <cell r="I14"/>
          <cell r="J14"/>
          <cell r="K14"/>
          <cell r="L14">
            <v>39142</v>
          </cell>
          <cell r="M14"/>
          <cell r="N14"/>
          <cell r="O14" t="str">
            <v/>
          </cell>
          <cell r="P14"/>
          <cell r="Q14"/>
          <cell r="R14"/>
          <cell r="S14"/>
        </row>
        <row r="15">
          <cell r="B15">
            <v>39173</v>
          </cell>
          <cell r="C15"/>
          <cell r="D15" t="str">
            <v/>
          </cell>
          <cell r="E15" t="str">
            <v/>
          </cell>
          <cell r="F15" t="str">
            <v/>
          </cell>
          <cell r="G15"/>
          <cell r="H15"/>
          <cell r="I15"/>
          <cell r="J15"/>
          <cell r="K15"/>
          <cell r="L15">
            <v>39173</v>
          </cell>
          <cell r="M15"/>
          <cell r="N15"/>
          <cell r="O15" t="str">
            <v/>
          </cell>
          <cell r="P15"/>
          <cell r="Q15"/>
          <cell r="R15"/>
          <cell r="S15"/>
        </row>
        <row r="16">
          <cell r="B16">
            <v>39203</v>
          </cell>
          <cell r="C16"/>
          <cell r="D16" t="str">
            <v/>
          </cell>
          <cell r="E16" t="str">
            <v/>
          </cell>
          <cell r="F16" t="str">
            <v/>
          </cell>
          <cell r="G16"/>
          <cell r="H16"/>
          <cell r="I16"/>
          <cell r="J16"/>
          <cell r="K16"/>
          <cell r="L16">
            <v>39203</v>
          </cell>
          <cell r="M16"/>
          <cell r="N16"/>
          <cell r="O16" t="str">
            <v/>
          </cell>
          <cell r="P16"/>
          <cell r="Q16"/>
          <cell r="R16"/>
          <cell r="S16"/>
        </row>
        <row r="17">
          <cell r="B17">
            <v>39234</v>
          </cell>
          <cell r="C17"/>
          <cell r="D17" t="str">
            <v/>
          </cell>
          <cell r="E17" t="str">
            <v/>
          </cell>
          <cell r="F17" t="str">
            <v/>
          </cell>
          <cell r="G17"/>
          <cell r="H17"/>
          <cell r="I17"/>
          <cell r="J17"/>
          <cell r="K17"/>
          <cell r="L17">
            <v>39234</v>
          </cell>
          <cell r="M17"/>
          <cell r="N17"/>
          <cell r="O17" t="str">
            <v/>
          </cell>
          <cell r="P17"/>
          <cell r="Q17"/>
          <cell r="R17"/>
          <cell r="S17"/>
        </row>
        <row r="18">
          <cell r="B18">
            <v>39264</v>
          </cell>
          <cell r="C18"/>
          <cell r="D18" t="str">
            <v/>
          </cell>
          <cell r="E18" t="str">
            <v/>
          </cell>
          <cell r="F18" t="str">
            <v/>
          </cell>
          <cell r="G18"/>
          <cell r="H18"/>
          <cell r="I18"/>
          <cell r="J18"/>
          <cell r="K18"/>
          <cell r="L18">
            <v>39264</v>
          </cell>
          <cell r="M18"/>
          <cell r="N18"/>
          <cell r="O18" t="str">
            <v/>
          </cell>
          <cell r="P18"/>
          <cell r="Q18"/>
          <cell r="R18"/>
          <cell r="S18"/>
        </row>
        <row r="19">
          <cell r="B19">
            <v>39295</v>
          </cell>
          <cell r="C19"/>
          <cell r="D19" t="str">
            <v/>
          </cell>
          <cell r="E19" t="str">
            <v/>
          </cell>
          <cell r="F19" t="str">
            <v/>
          </cell>
          <cell r="G19"/>
          <cell r="H19"/>
          <cell r="I19"/>
          <cell r="J19"/>
          <cell r="K19"/>
          <cell r="L19">
            <v>39295</v>
          </cell>
          <cell r="M19"/>
          <cell r="N19"/>
          <cell r="O19" t="str">
            <v/>
          </cell>
          <cell r="P19"/>
          <cell r="Q19"/>
          <cell r="R19"/>
          <cell r="S19"/>
        </row>
        <row r="20">
          <cell r="B20">
            <v>39326</v>
          </cell>
          <cell r="C20"/>
          <cell r="D20" t="str">
            <v/>
          </cell>
          <cell r="E20" t="str">
            <v/>
          </cell>
          <cell r="F20" t="str">
            <v/>
          </cell>
          <cell r="G20"/>
          <cell r="H20"/>
          <cell r="I20"/>
          <cell r="J20"/>
          <cell r="K20"/>
          <cell r="L20">
            <v>39326</v>
          </cell>
          <cell r="M20"/>
          <cell r="N20"/>
          <cell r="O20" t="str">
            <v/>
          </cell>
          <cell r="P20"/>
          <cell r="Q20"/>
          <cell r="R20"/>
          <cell r="S20"/>
        </row>
        <row r="21">
          <cell r="B21">
            <v>39356</v>
          </cell>
          <cell r="C21"/>
          <cell r="D21" t="str">
            <v/>
          </cell>
          <cell r="E21" t="str">
            <v/>
          </cell>
          <cell r="F21" t="str">
            <v/>
          </cell>
          <cell r="G21"/>
          <cell r="H21"/>
          <cell r="I21"/>
          <cell r="J21"/>
          <cell r="K21"/>
          <cell r="L21">
            <v>39356</v>
          </cell>
          <cell r="M21"/>
          <cell r="N21"/>
          <cell r="O21" t="str">
            <v/>
          </cell>
          <cell r="P21"/>
          <cell r="Q21"/>
          <cell r="R21"/>
          <cell r="S21"/>
        </row>
        <row r="22">
          <cell r="B22">
            <v>39387</v>
          </cell>
          <cell r="C22"/>
          <cell r="D22" t="str">
            <v/>
          </cell>
          <cell r="E22" t="str">
            <v/>
          </cell>
          <cell r="F22" t="str">
            <v/>
          </cell>
          <cell r="G22"/>
          <cell r="H22"/>
          <cell r="I22"/>
          <cell r="J22"/>
          <cell r="K22"/>
          <cell r="L22">
            <v>39387</v>
          </cell>
          <cell r="M22"/>
          <cell r="N22"/>
          <cell r="O22" t="str">
            <v/>
          </cell>
          <cell r="P22"/>
          <cell r="Q22"/>
          <cell r="R22"/>
          <cell r="S22"/>
        </row>
        <row r="23">
          <cell r="B23">
            <v>39417</v>
          </cell>
          <cell r="C23"/>
          <cell r="D23" t="str">
            <v/>
          </cell>
          <cell r="E23" t="str">
            <v/>
          </cell>
          <cell r="F23" t="str">
            <v/>
          </cell>
          <cell r="G23"/>
          <cell r="H23"/>
          <cell r="I23"/>
          <cell r="J23"/>
          <cell r="K23"/>
          <cell r="L23">
            <v>39417</v>
          </cell>
          <cell r="M23"/>
          <cell r="N23"/>
          <cell r="O23" t="str">
            <v/>
          </cell>
          <cell r="P23"/>
          <cell r="Q23"/>
          <cell r="R23"/>
          <cell r="S23"/>
        </row>
        <row r="24">
          <cell r="B24">
            <v>39448</v>
          </cell>
          <cell r="C24">
            <v>0.98</v>
          </cell>
          <cell r="D24" t="str">
            <v>g</v>
          </cell>
          <cell r="E24" t="str">
            <v>c</v>
          </cell>
          <cell r="F24" t="str">
            <v>c</v>
          </cell>
          <cell r="G24">
            <v>0.85</v>
          </cell>
          <cell r="H24">
            <v>0.8</v>
          </cell>
          <cell r="I24"/>
          <cell r="J24"/>
          <cell r="K24"/>
          <cell r="L24">
            <v>39448</v>
          </cell>
          <cell r="M24"/>
          <cell r="N24">
            <v>0.98</v>
          </cell>
          <cell r="O24"/>
          <cell r="P24"/>
          <cell r="Q24">
            <v>0</v>
          </cell>
          <cell r="R24">
            <v>0.98</v>
          </cell>
          <cell r="S24"/>
        </row>
        <row r="25">
          <cell r="B25">
            <v>39479</v>
          </cell>
          <cell r="C25">
            <v>0.98</v>
          </cell>
          <cell r="D25" t="str">
            <v>g</v>
          </cell>
          <cell r="E25" t="str">
            <v>c</v>
          </cell>
          <cell r="F25" t="str">
            <v>c</v>
          </cell>
          <cell r="G25">
            <v>0.85</v>
          </cell>
          <cell r="H25">
            <v>0.8</v>
          </cell>
          <cell r="I25"/>
          <cell r="J25"/>
          <cell r="K25"/>
          <cell r="L25">
            <v>39479</v>
          </cell>
          <cell r="M25"/>
          <cell r="N25">
            <v>0.98</v>
          </cell>
          <cell r="O25"/>
          <cell r="P25"/>
          <cell r="Q25">
            <v>0</v>
          </cell>
          <cell r="R25">
            <v>1.96</v>
          </cell>
          <cell r="S25"/>
        </row>
        <row r="26">
          <cell r="B26">
            <v>39508</v>
          </cell>
          <cell r="C26">
            <v>0.97</v>
          </cell>
          <cell r="D26" t="str">
            <v>g</v>
          </cell>
          <cell r="E26" t="str">
            <v>c</v>
          </cell>
          <cell r="F26" t="str">
            <v>c</v>
          </cell>
          <cell r="G26">
            <v>0.85</v>
          </cell>
          <cell r="H26">
            <v>0.8</v>
          </cell>
          <cell r="I26"/>
          <cell r="J26"/>
          <cell r="K26"/>
          <cell r="L26">
            <v>39508</v>
          </cell>
          <cell r="M26" t="str">
            <v/>
          </cell>
          <cell r="N26">
            <v>0.97</v>
          </cell>
          <cell r="O26"/>
          <cell r="P26"/>
          <cell r="Q26">
            <v>0</v>
          </cell>
          <cell r="R26">
            <v>2.9299999999999997</v>
          </cell>
          <cell r="S26"/>
        </row>
        <row r="27">
          <cell r="B27">
            <v>39539</v>
          </cell>
          <cell r="C27">
            <v>0.98499999999999999</v>
          </cell>
          <cell r="D27" t="str">
            <v>g</v>
          </cell>
          <cell r="E27" t="str">
            <v>c</v>
          </cell>
          <cell r="F27" t="str">
            <v>c</v>
          </cell>
          <cell r="G27">
            <v>0.85</v>
          </cell>
          <cell r="H27">
            <v>0.8</v>
          </cell>
          <cell r="I27"/>
          <cell r="J27"/>
          <cell r="K27"/>
          <cell r="L27">
            <v>39539</v>
          </cell>
          <cell r="M27" t="str">
            <v/>
          </cell>
          <cell r="N27">
            <v>0.98499999999999999</v>
          </cell>
          <cell r="O27"/>
          <cell r="P27"/>
          <cell r="Q27">
            <v>0</v>
          </cell>
          <cell r="R27">
            <v>3.9149999999999996</v>
          </cell>
          <cell r="S27"/>
        </row>
        <row r="28">
          <cell r="B28">
            <v>39569</v>
          </cell>
          <cell r="C28">
            <v>0.98</v>
          </cell>
          <cell r="D28" t="str">
            <v>g</v>
          </cell>
          <cell r="E28" t="str">
            <v>c</v>
          </cell>
          <cell r="F28" t="str">
            <v>c</v>
          </cell>
          <cell r="G28">
            <v>0.85</v>
          </cell>
          <cell r="H28">
            <v>0.8</v>
          </cell>
          <cell r="I28"/>
          <cell r="J28"/>
          <cell r="K28"/>
          <cell r="L28">
            <v>39569</v>
          </cell>
          <cell r="M28" t="str">
            <v/>
          </cell>
          <cell r="N28">
            <v>0.98</v>
          </cell>
          <cell r="O28"/>
          <cell r="P28"/>
          <cell r="Q28">
            <v>0</v>
          </cell>
          <cell r="R28">
            <v>4.8949999999999996</v>
          </cell>
          <cell r="S28"/>
        </row>
        <row r="29">
          <cell r="B29">
            <v>39600</v>
          </cell>
          <cell r="C29">
            <v>0.98</v>
          </cell>
          <cell r="D29" t="str">
            <v>g</v>
          </cell>
          <cell r="E29" t="str">
            <v>c</v>
          </cell>
          <cell r="F29" t="str">
            <v>c</v>
          </cell>
          <cell r="G29">
            <v>0.85</v>
          </cell>
          <cell r="H29">
            <v>0.8</v>
          </cell>
          <cell r="I29"/>
          <cell r="J29"/>
          <cell r="K29"/>
          <cell r="L29">
            <v>39600</v>
          </cell>
          <cell r="M29" t="str">
            <v/>
          </cell>
          <cell r="N29">
            <v>0.98</v>
          </cell>
          <cell r="O29" t="str">
            <v/>
          </cell>
          <cell r="P29"/>
          <cell r="Q29">
            <v>0</v>
          </cell>
          <cell r="R29">
            <v>5.875</v>
          </cell>
          <cell r="S29"/>
        </row>
        <row r="30">
          <cell r="B30">
            <v>39630</v>
          </cell>
          <cell r="C30">
            <v>0.98</v>
          </cell>
          <cell r="D30" t="str">
            <v>g</v>
          </cell>
          <cell r="E30" t="str">
            <v>c</v>
          </cell>
          <cell r="F30" t="str">
            <v>c</v>
          </cell>
          <cell r="G30">
            <v>0.85</v>
          </cell>
          <cell r="H30">
            <v>0.8</v>
          </cell>
          <cell r="I30"/>
          <cell r="J30"/>
          <cell r="K30"/>
          <cell r="L30">
            <v>39630</v>
          </cell>
          <cell r="M30" t="str">
            <v/>
          </cell>
          <cell r="N30">
            <v>0.98</v>
          </cell>
          <cell r="O30" t="str">
            <v/>
          </cell>
          <cell r="P30"/>
          <cell r="Q30">
            <v>0</v>
          </cell>
          <cell r="R30">
            <v>6.8550000000000004</v>
          </cell>
          <cell r="S30"/>
        </row>
        <row r="31">
          <cell r="B31">
            <v>39661</v>
          </cell>
          <cell r="C31">
            <v>0.99</v>
          </cell>
          <cell r="D31" t="str">
            <v>g</v>
          </cell>
          <cell r="E31" t="str">
            <v>c</v>
          </cell>
          <cell r="F31" t="str">
            <v>c</v>
          </cell>
          <cell r="G31">
            <v>0.85</v>
          </cell>
          <cell r="H31">
            <v>0.8</v>
          </cell>
          <cell r="I31"/>
          <cell r="J31"/>
          <cell r="K31"/>
          <cell r="L31">
            <v>39661</v>
          </cell>
          <cell r="M31" t="str">
            <v/>
          </cell>
          <cell r="N31">
            <v>0.99</v>
          </cell>
          <cell r="O31" t="str">
            <v/>
          </cell>
          <cell r="P31"/>
          <cell r="Q31">
            <v>0</v>
          </cell>
          <cell r="R31">
            <v>7.8450000000000006</v>
          </cell>
          <cell r="S31"/>
        </row>
        <row r="32">
          <cell r="B32">
            <v>39692</v>
          </cell>
          <cell r="C32">
            <v>0.98</v>
          </cell>
          <cell r="D32" t="str">
            <v>g</v>
          </cell>
          <cell r="E32" t="str">
            <v>c</v>
          </cell>
          <cell r="F32" t="str">
            <v>c</v>
          </cell>
          <cell r="G32">
            <v>0.85</v>
          </cell>
          <cell r="H32">
            <v>0.8</v>
          </cell>
          <cell r="I32"/>
          <cell r="J32"/>
          <cell r="K32"/>
          <cell r="L32">
            <v>39692</v>
          </cell>
          <cell r="M32" t="str">
            <v/>
          </cell>
          <cell r="N32">
            <v>0.98</v>
          </cell>
          <cell r="O32" t="str">
            <v/>
          </cell>
          <cell r="P32" t="e">
            <v>#VALUE!</v>
          </cell>
          <cell r="Q32">
            <v>0</v>
          </cell>
          <cell r="R32">
            <v>8.8250000000000011</v>
          </cell>
          <cell r="S32"/>
        </row>
        <row r="33">
          <cell r="B33">
            <v>39722</v>
          </cell>
          <cell r="C33">
            <v>0.85</v>
          </cell>
          <cell r="D33" t="str">
            <v>g</v>
          </cell>
          <cell r="E33" t="str">
            <v>c</v>
          </cell>
          <cell r="F33" t="str">
            <v>c</v>
          </cell>
          <cell r="G33">
            <v>0.85</v>
          </cell>
          <cell r="H33">
            <v>0.8</v>
          </cell>
          <cell r="I33"/>
          <cell r="J33"/>
          <cell r="K33"/>
          <cell r="L33">
            <v>39722</v>
          </cell>
          <cell r="M33" t="str">
            <v/>
          </cell>
          <cell r="N33">
            <v>0.85</v>
          </cell>
          <cell r="O33" t="str">
            <v/>
          </cell>
          <cell r="P33" t="e">
            <v>#VALUE!</v>
          </cell>
          <cell r="Q33">
            <v>0</v>
          </cell>
          <cell r="R33">
            <v>9.6750000000000007</v>
          </cell>
          <cell r="S33"/>
        </row>
        <row r="34">
          <cell r="B34">
            <v>39753</v>
          </cell>
          <cell r="C34">
            <v>0.7</v>
          </cell>
          <cell r="D34" t="str">
            <v>c</v>
          </cell>
          <cell r="E34" t="str">
            <v>g</v>
          </cell>
          <cell r="F34" t="str">
            <v>c</v>
          </cell>
          <cell r="G34">
            <v>0.85</v>
          </cell>
          <cell r="H34">
            <v>0.7</v>
          </cell>
          <cell r="I34"/>
          <cell r="J34"/>
          <cell r="K34"/>
          <cell r="L34">
            <v>39753</v>
          </cell>
          <cell r="M34" t="str">
            <v/>
          </cell>
          <cell r="N34">
            <v>0.7</v>
          </cell>
          <cell r="O34" t="str">
            <v/>
          </cell>
          <cell r="P34" t="e">
            <v>#VALUE!</v>
          </cell>
          <cell r="Q34">
            <v>0</v>
          </cell>
          <cell r="R34">
            <v>10.375</v>
          </cell>
          <cell r="S34"/>
        </row>
        <row r="35">
          <cell r="B35">
            <v>39783</v>
          </cell>
          <cell r="C35">
            <v>0.7</v>
          </cell>
          <cell r="D35" t="str">
            <v>c</v>
          </cell>
          <cell r="E35" t="str">
            <v>g</v>
          </cell>
          <cell r="F35" t="str">
            <v>c</v>
          </cell>
          <cell r="G35">
            <v>0.85</v>
          </cell>
          <cell r="H35">
            <v>0.7</v>
          </cell>
          <cell r="I35"/>
          <cell r="J35"/>
          <cell r="K35"/>
          <cell r="L35">
            <v>39783</v>
          </cell>
          <cell r="M35" t="str">
            <v/>
          </cell>
          <cell r="N35">
            <v>0.7</v>
          </cell>
          <cell r="O35" t="str">
            <v/>
          </cell>
          <cell r="P35" t="e">
            <v>#VALUE!</v>
          </cell>
          <cell r="Q35">
            <v>0</v>
          </cell>
          <cell r="R35">
            <v>11.074999999999999</v>
          </cell>
          <cell r="S35"/>
        </row>
        <row r="36">
          <cell r="B36">
            <v>39814</v>
          </cell>
          <cell r="C36"/>
          <cell r="D36" t="str">
            <v/>
          </cell>
          <cell r="E36" t="str">
            <v/>
          </cell>
          <cell r="F36" t="str">
            <v/>
          </cell>
          <cell r="G36">
            <v>0.85</v>
          </cell>
          <cell r="H36">
            <v>0.7</v>
          </cell>
          <cell r="I36"/>
          <cell r="J36"/>
          <cell r="K36"/>
          <cell r="L36">
            <v>39814</v>
          </cell>
          <cell r="M36"/>
          <cell r="N36" t="str">
            <v/>
          </cell>
          <cell r="O36" t="str">
            <v/>
          </cell>
          <cell r="P36" t="str">
            <v/>
          </cell>
          <cell r="Q36"/>
          <cell r="R36"/>
          <cell r="S36"/>
        </row>
        <row r="37">
          <cell r="B37">
            <v>39845</v>
          </cell>
          <cell r="C37"/>
          <cell r="D37" t="str">
            <v/>
          </cell>
          <cell r="E37" t="str">
            <v/>
          </cell>
          <cell r="F37" t="str">
            <v/>
          </cell>
          <cell r="G37">
            <v>0.85</v>
          </cell>
          <cell r="H37">
            <v>0.7</v>
          </cell>
          <cell r="I37"/>
          <cell r="J37"/>
          <cell r="K37"/>
          <cell r="L37">
            <v>39845</v>
          </cell>
          <cell r="M37"/>
          <cell r="N37" t="str">
            <v/>
          </cell>
          <cell r="O37" t="str">
            <v/>
          </cell>
          <cell r="P37" t="str">
            <v/>
          </cell>
          <cell r="Q37"/>
          <cell r="R37"/>
          <cell r="S37"/>
        </row>
        <row r="38">
          <cell r="B38">
            <v>39873</v>
          </cell>
          <cell r="C38"/>
          <cell r="D38" t="str">
            <v/>
          </cell>
          <cell r="E38" t="str">
            <v/>
          </cell>
          <cell r="F38" t="str">
            <v/>
          </cell>
          <cell r="G38">
            <v>0.85</v>
          </cell>
          <cell r="H38">
            <v>0.7</v>
          </cell>
          <cell r="J38"/>
          <cell r="K38"/>
          <cell r="L38">
            <v>39873</v>
          </cell>
          <cell r="M38"/>
          <cell r="N38" t="str">
            <v/>
          </cell>
          <cell r="O38"/>
          <cell r="P38" t="str">
            <v/>
          </cell>
          <cell r="Q38"/>
          <cell r="R38"/>
        </row>
        <row r="39">
          <cell r="B39">
            <v>39904</v>
          </cell>
          <cell r="C39"/>
          <cell r="D39" t="str">
            <v/>
          </cell>
          <cell r="E39" t="str">
            <v/>
          </cell>
          <cell r="F39" t="str">
            <v/>
          </cell>
          <cell r="G39">
            <v>0.85</v>
          </cell>
          <cell r="H39">
            <v>0.7</v>
          </cell>
          <cell r="J39"/>
          <cell r="K39"/>
          <cell r="L39">
            <v>39904</v>
          </cell>
          <cell r="M39"/>
          <cell r="N39" t="str">
            <v/>
          </cell>
          <cell r="O39"/>
          <cell r="P39" t="str">
            <v/>
          </cell>
          <cell r="Q39"/>
          <cell r="R39"/>
        </row>
        <row r="40">
          <cell r="B40">
            <v>39934</v>
          </cell>
          <cell r="C40"/>
          <cell r="D40" t="str">
            <v/>
          </cell>
          <cell r="E40" t="str">
            <v/>
          </cell>
          <cell r="F40" t="str">
            <v/>
          </cell>
          <cell r="G40">
            <v>0.85</v>
          </cell>
          <cell r="H40">
            <v>0.7</v>
          </cell>
          <cell r="J40"/>
          <cell r="K40"/>
          <cell r="L40">
            <v>39934</v>
          </cell>
          <cell r="M40"/>
          <cell r="N40" t="str">
            <v/>
          </cell>
          <cell r="O40"/>
          <cell r="P40" t="str">
            <v/>
          </cell>
          <cell r="Q40"/>
          <cell r="R40"/>
        </row>
        <row r="41">
          <cell r="B41">
            <v>39965</v>
          </cell>
          <cell r="C41"/>
          <cell r="D41" t="str">
            <v/>
          </cell>
          <cell r="E41" t="str">
            <v/>
          </cell>
          <cell r="F41" t="str">
            <v/>
          </cell>
          <cell r="G41">
            <v>0.85</v>
          </cell>
          <cell r="H41">
            <v>0.7</v>
          </cell>
          <cell r="J41"/>
          <cell r="K41"/>
          <cell r="L41">
            <v>39965</v>
          </cell>
          <cell r="M41">
            <v>0.98</v>
          </cell>
          <cell r="N41" t="str">
            <v/>
          </cell>
          <cell r="O41"/>
          <cell r="P41" t="str">
            <v/>
          </cell>
          <cell r="Q41"/>
          <cell r="R41"/>
        </row>
        <row r="42">
          <cell r="B42">
            <v>39995</v>
          </cell>
          <cell r="C42"/>
          <cell r="D42" t="str">
            <v/>
          </cell>
          <cell r="E42" t="str">
            <v/>
          </cell>
          <cell r="F42" t="str">
            <v/>
          </cell>
          <cell r="G42">
            <v>0.85</v>
          </cell>
          <cell r="H42">
            <v>0.7</v>
          </cell>
          <cell r="J42"/>
          <cell r="K42"/>
          <cell r="L42">
            <v>39995</v>
          </cell>
          <cell r="M42">
            <v>0.98</v>
          </cell>
          <cell r="N42" t="str">
            <v/>
          </cell>
          <cell r="O42"/>
          <cell r="P42" t="str">
            <v/>
          </cell>
          <cell r="Q42"/>
          <cell r="R42"/>
        </row>
        <row r="43">
          <cell r="B43">
            <v>40026</v>
          </cell>
          <cell r="C43"/>
          <cell r="D43" t="str">
            <v/>
          </cell>
          <cell r="E43" t="str">
            <v/>
          </cell>
          <cell r="F43" t="str">
            <v/>
          </cell>
          <cell r="G43">
            <v>0.85</v>
          </cell>
          <cell r="H43">
            <v>0.7</v>
          </cell>
          <cell r="J43"/>
          <cell r="K43"/>
          <cell r="L43">
            <v>40026</v>
          </cell>
          <cell r="M43">
            <v>0.99</v>
          </cell>
          <cell r="N43" t="str">
            <v/>
          </cell>
          <cell r="O43"/>
          <cell r="P43" t="str">
            <v/>
          </cell>
          <cell r="Q43"/>
          <cell r="R43"/>
        </row>
        <row r="44">
          <cell r="B44">
            <v>40057</v>
          </cell>
          <cell r="C44"/>
          <cell r="D44" t="str">
            <v/>
          </cell>
          <cell r="E44" t="str">
            <v/>
          </cell>
          <cell r="F44" t="str">
            <v/>
          </cell>
          <cell r="G44">
            <v>0.85</v>
          </cell>
          <cell r="H44">
            <v>0.7</v>
          </cell>
          <cell r="J44"/>
          <cell r="K44"/>
          <cell r="L44">
            <v>40057</v>
          </cell>
          <cell r="M44">
            <v>0.98</v>
          </cell>
          <cell r="N44" t="str">
            <v/>
          </cell>
          <cell r="O44"/>
          <cell r="P44" t="str">
            <v/>
          </cell>
          <cell r="Q44"/>
          <cell r="R44"/>
        </row>
        <row r="45">
          <cell r="B45">
            <v>40087</v>
          </cell>
          <cell r="C45"/>
          <cell r="D45" t="str">
            <v/>
          </cell>
          <cell r="E45" t="str">
            <v/>
          </cell>
          <cell r="F45" t="str">
            <v/>
          </cell>
          <cell r="G45">
            <v>0.85</v>
          </cell>
          <cell r="H45">
            <v>0.7</v>
          </cell>
          <cell r="J45"/>
          <cell r="K45"/>
          <cell r="L45">
            <v>40087</v>
          </cell>
          <cell r="M45">
            <v>0.85</v>
          </cell>
          <cell r="N45" t="str">
            <v/>
          </cell>
          <cell r="O45"/>
          <cell r="P45" t="str">
            <v/>
          </cell>
          <cell r="Q45"/>
          <cell r="R45"/>
        </row>
        <row r="46">
          <cell r="B46">
            <v>40118</v>
          </cell>
          <cell r="C46"/>
          <cell r="D46" t="str">
            <v/>
          </cell>
          <cell r="E46" t="str">
            <v/>
          </cell>
          <cell r="F46" t="str">
            <v/>
          </cell>
          <cell r="G46">
            <v>0.85</v>
          </cell>
          <cell r="H46">
            <v>0.7</v>
          </cell>
          <cell r="J46"/>
          <cell r="K46"/>
          <cell r="L46">
            <v>40118</v>
          </cell>
          <cell r="M46">
            <v>0.7</v>
          </cell>
          <cell r="N46" t="str">
            <v/>
          </cell>
          <cell r="O46"/>
          <cell r="P46" t="str">
            <v/>
          </cell>
          <cell r="Q46"/>
          <cell r="R46"/>
        </row>
        <row r="47">
          <cell r="B47">
            <v>40148</v>
          </cell>
          <cell r="C47"/>
          <cell r="D47" t="str">
            <v/>
          </cell>
          <cell r="E47" t="str">
            <v/>
          </cell>
          <cell r="F47" t="str">
            <v/>
          </cell>
          <cell r="G47">
            <v>0.85</v>
          </cell>
          <cell r="H47">
            <v>0.7</v>
          </cell>
          <cell r="J47"/>
          <cell r="K47"/>
          <cell r="L47">
            <v>40148</v>
          </cell>
          <cell r="M47">
            <v>0.7</v>
          </cell>
          <cell r="N47" t="str">
            <v/>
          </cell>
          <cell r="O47"/>
          <cell r="P47" t="str">
            <v/>
          </cell>
          <cell r="Q47"/>
          <cell r="R47"/>
        </row>
      </sheetData>
      <sheetData sheetId="13">
        <row r="9">
          <cell r="B9"/>
          <cell r="C9"/>
          <cell r="D9"/>
          <cell r="E9"/>
          <cell r="F9"/>
          <cell r="G9"/>
          <cell r="H9"/>
          <cell r="I9"/>
          <cell r="J9"/>
          <cell r="K9" t="str">
            <v>Grado de satisfaccion de servicios</v>
          </cell>
          <cell r="L9"/>
          <cell r="M9"/>
          <cell r="N9"/>
          <cell r="O9"/>
          <cell r="P9"/>
          <cell r="Q9"/>
        </row>
        <row r="10">
          <cell r="B10"/>
          <cell r="C10"/>
          <cell r="D10" t="str">
            <v>% Seguridad</v>
          </cell>
          <cell r="E10"/>
          <cell r="F10"/>
          <cell r="G10"/>
          <cell r="H10"/>
          <cell r="I10"/>
          <cell r="J10"/>
          <cell r="K10"/>
          <cell r="L10" t="str">
            <v>Valores del mes</v>
          </cell>
          <cell r="M10"/>
          <cell r="N10" t="str">
            <v>Var 1.</v>
          </cell>
          <cell r="O10"/>
          <cell r="P10" t="str">
            <v>Acum. 
Anual Ant.</v>
          </cell>
          <cell r="Q10" t="str">
            <v>Avance 
del Año</v>
          </cell>
        </row>
        <row r="11">
          <cell r="B11" t="str">
            <v>Semestre</v>
          </cell>
          <cell r="C11"/>
          <cell r="D11"/>
          <cell r="E11" t="str">
            <v>Performance</v>
          </cell>
          <cell r="F11"/>
          <cell r="G11"/>
          <cell r="H11" t="str">
            <v>Sup</v>
          </cell>
          <cell r="I11" t="str">
            <v>Inf</v>
          </cell>
          <cell r="J11"/>
          <cell r="K11" t="str">
            <v>Fecha</v>
          </cell>
          <cell r="L11" t="str">
            <v>Anteriores</v>
          </cell>
          <cell r="M11" t="str">
            <v>Real</v>
          </cell>
          <cell r="N11" t="str">
            <v>Unidades</v>
          </cell>
          <cell r="O11" t="str">
            <v>%</v>
          </cell>
          <cell r="P11"/>
          <cell r="Q11"/>
        </row>
        <row r="12">
          <cell r="B12">
            <v>39083</v>
          </cell>
          <cell r="C12"/>
          <cell r="D12"/>
          <cell r="E12" t="str">
            <v/>
          </cell>
          <cell r="F12" t="str">
            <v/>
          </cell>
          <cell r="G12" t="str">
            <v/>
          </cell>
          <cell r="H12"/>
          <cell r="I12"/>
          <cell r="J12"/>
          <cell r="K12">
            <v>39083</v>
          </cell>
          <cell r="L12"/>
          <cell r="M12"/>
          <cell r="N12"/>
          <cell r="O12"/>
          <cell r="P12"/>
          <cell r="Q12"/>
        </row>
        <row r="13">
          <cell r="B13">
            <v>39114</v>
          </cell>
          <cell r="C13"/>
          <cell r="D13"/>
          <cell r="E13" t="str">
            <v/>
          </cell>
          <cell r="F13" t="str">
            <v/>
          </cell>
          <cell r="G13" t="str">
            <v/>
          </cell>
          <cell r="H13"/>
          <cell r="I13"/>
          <cell r="J13"/>
          <cell r="K13">
            <v>39114</v>
          </cell>
          <cell r="L13"/>
          <cell r="M13"/>
          <cell r="N13"/>
          <cell r="O13"/>
          <cell r="P13"/>
          <cell r="Q13"/>
        </row>
        <row r="14">
          <cell r="B14">
            <v>39142</v>
          </cell>
          <cell r="C14"/>
          <cell r="D14"/>
          <cell r="E14" t="str">
            <v/>
          </cell>
          <cell r="F14" t="str">
            <v/>
          </cell>
          <cell r="G14" t="str">
            <v/>
          </cell>
          <cell r="H14"/>
          <cell r="I14"/>
          <cell r="J14"/>
          <cell r="K14">
            <v>39142</v>
          </cell>
          <cell r="L14"/>
          <cell r="M14"/>
          <cell r="N14"/>
          <cell r="O14"/>
          <cell r="P14"/>
          <cell r="Q14"/>
        </row>
        <row r="15">
          <cell r="B15">
            <v>39173</v>
          </cell>
          <cell r="C15"/>
          <cell r="D15"/>
          <cell r="E15" t="str">
            <v/>
          </cell>
          <cell r="F15" t="str">
            <v/>
          </cell>
          <cell r="G15" t="str">
            <v/>
          </cell>
          <cell r="H15"/>
          <cell r="I15"/>
          <cell r="J15"/>
          <cell r="K15">
            <v>39173</v>
          </cell>
          <cell r="L15"/>
          <cell r="M15"/>
          <cell r="N15"/>
          <cell r="O15"/>
          <cell r="P15"/>
          <cell r="Q15"/>
        </row>
        <row r="16">
          <cell r="B16">
            <v>39203</v>
          </cell>
          <cell r="C16"/>
          <cell r="D16"/>
          <cell r="E16" t="str">
            <v/>
          </cell>
          <cell r="F16" t="str">
            <v/>
          </cell>
          <cell r="G16" t="str">
            <v/>
          </cell>
          <cell r="H16"/>
          <cell r="I16"/>
          <cell r="J16"/>
          <cell r="K16">
            <v>39203</v>
          </cell>
          <cell r="L16"/>
          <cell r="M16"/>
          <cell r="N16"/>
          <cell r="O16"/>
          <cell r="P16"/>
          <cell r="Q16"/>
        </row>
        <row r="17">
          <cell r="B17">
            <v>39234</v>
          </cell>
          <cell r="C17"/>
          <cell r="D17"/>
          <cell r="E17" t="str">
            <v/>
          </cell>
          <cell r="F17" t="str">
            <v/>
          </cell>
          <cell r="G17" t="str">
            <v/>
          </cell>
          <cell r="H17"/>
          <cell r="I17"/>
          <cell r="J17"/>
          <cell r="K17">
            <v>39234</v>
          </cell>
          <cell r="L17"/>
          <cell r="M17"/>
          <cell r="N17"/>
          <cell r="O17"/>
          <cell r="P17"/>
          <cell r="Q17"/>
        </row>
        <row r="18">
          <cell r="B18">
            <v>39264</v>
          </cell>
          <cell r="C18"/>
          <cell r="D18"/>
          <cell r="E18" t="str">
            <v/>
          </cell>
          <cell r="F18" t="str">
            <v/>
          </cell>
          <cell r="G18" t="str">
            <v/>
          </cell>
          <cell r="H18"/>
          <cell r="I18"/>
          <cell r="J18"/>
          <cell r="K18">
            <v>39264</v>
          </cell>
          <cell r="L18"/>
          <cell r="M18"/>
          <cell r="N18"/>
          <cell r="O18"/>
          <cell r="P18"/>
          <cell r="Q18"/>
        </row>
        <row r="19">
          <cell r="B19">
            <v>39295</v>
          </cell>
          <cell r="C19"/>
          <cell r="D19"/>
          <cell r="E19" t="str">
            <v/>
          </cell>
          <cell r="F19" t="str">
            <v/>
          </cell>
          <cell r="G19" t="str">
            <v/>
          </cell>
          <cell r="H19"/>
          <cell r="I19"/>
          <cell r="J19"/>
          <cell r="K19">
            <v>39295</v>
          </cell>
          <cell r="L19"/>
          <cell r="M19"/>
          <cell r="N19"/>
          <cell r="O19"/>
          <cell r="P19"/>
          <cell r="Q19"/>
        </row>
        <row r="20">
          <cell r="B20">
            <v>39326</v>
          </cell>
          <cell r="C20"/>
          <cell r="D20"/>
          <cell r="E20" t="str">
            <v/>
          </cell>
          <cell r="F20" t="str">
            <v/>
          </cell>
          <cell r="G20" t="str">
            <v/>
          </cell>
          <cell r="H20"/>
          <cell r="I20"/>
          <cell r="J20"/>
          <cell r="K20">
            <v>39326</v>
          </cell>
          <cell r="L20"/>
          <cell r="M20"/>
          <cell r="N20"/>
          <cell r="O20"/>
          <cell r="P20"/>
          <cell r="Q20"/>
        </row>
        <row r="21">
          <cell r="B21">
            <v>39356</v>
          </cell>
          <cell r="C21"/>
          <cell r="D21"/>
          <cell r="E21" t="str">
            <v/>
          </cell>
          <cell r="F21" t="str">
            <v/>
          </cell>
          <cell r="G21" t="str">
            <v/>
          </cell>
          <cell r="H21"/>
          <cell r="I21"/>
          <cell r="J21"/>
          <cell r="K21">
            <v>39356</v>
          </cell>
          <cell r="L21"/>
          <cell r="M21"/>
          <cell r="N21"/>
          <cell r="O21"/>
          <cell r="P21"/>
          <cell r="Q21"/>
        </row>
        <row r="22">
          <cell r="B22">
            <v>39387</v>
          </cell>
          <cell r="C22"/>
          <cell r="D22"/>
          <cell r="E22" t="str">
            <v/>
          </cell>
          <cell r="F22" t="str">
            <v/>
          </cell>
          <cell r="G22" t="str">
            <v/>
          </cell>
          <cell r="H22"/>
          <cell r="I22"/>
          <cell r="J22"/>
          <cell r="K22">
            <v>39387</v>
          </cell>
          <cell r="L22"/>
          <cell r="M22"/>
          <cell r="N22"/>
          <cell r="O22"/>
          <cell r="P22"/>
          <cell r="Q22"/>
        </row>
        <row r="23">
          <cell r="B23">
            <v>39417</v>
          </cell>
          <cell r="C23"/>
          <cell r="D23"/>
          <cell r="E23" t="str">
            <v/>
          </cell>
          <cell r="F23" t="str">
            <v/>
          </cell>
          <cell r="G23" t="str">
            <v/>
          </cell>
          <cell r="H23"/>
          <cell r="I23"/>
          <cell r="J23"/>
          <cell r="K23">
            <v>39417</v>
          </cell>
          <cell r="L23"/>
          <cell r="M23"/>
          <cell r="N23"/>
          <cell r="O23"/>
          <cell r="P23"/>
          <cell r="Q23"/>
        </row>
        <row r="24">
          <cell r="B24">
            <v>39448</v>
          </cell>
          <cell r="C24"/>
          <cell r="D24">
            <v>0.99460000000000004</v>
          </cell>
          <cell r="E24" t="str">
            <v>c</v>
          </cell>
          <cell r="F24" t="str">
            <v>g</v>
          </cell>
          <cell r="G24" t="str">
            <v>c</v>
          </cell>
          <cell r="H24">
            <v>0.99609999999999999</v>
          </cell>
          <cell r="I24">
            <v>0.98129999999999995</v>
          </cell>
          <cell r="J24"/>
          <cell r="K24">
            <v>39448</v>
          </cell>
          <cell r="L24"/>
          <cell r="M24">
            <v>0.99460000000000004</v>
          </cell>
          <cell r="N24">
            <v>0.99460000000000004</v>
          </cell>
          <cell r="O24"/>
          <cell r="P24">
            <v>0</v>
          </cell>
          <cell r="Q24">
            <v>0.99460000000000004</v>
          </cell>
        </row>
        <row r="25">
          <cell r="B25">
            <v>39479</v>
          </cell>
          <cell r="C25"/>
          <cell r="D25">
            <v>0.91810000000000003</v>
          </cell>
          <cell r="E25" t="str">
            <v>c</v>
          </cell>
          <cell r="F25" t="str">
            <v>c</v>
          </cell>
          <cell r="G25" t="str">
            <v>g</v>
          </cell>
          <cell r="H25">
            <v>0.99609999999999999</v>
          </cell>
          <cell r="I25">
            <v>0.98129999999999995</v>
          </cell>
          <cell r="J25"/>
          <cell r="K25">
            <v>39479</v>
          </cell>
          <cell r="L25"/>
          <cell r="M25">
            <v>0.91810000000000003</v>
          </cell>
          <cell r="N25">
            <v>0.91810000000000003</v>
          </cell>
          <cell r="O25"/>
          <cell r="P25">
            <v>0</v>
          </cell>
          <cell r="Q25">
            <v>1.9127000000000001</v>
          </cell>
        </row>
        <row r="26">
          <cell r="B26">
            <v>39508</v>
          </cell>
          <cell r="C26"/>
          <cell r="D26">
            <v>0.99560000000000004</v>
          </cell>
          <cell r="E26" t="str">
            <v>c</v>
          </cell>
          <cell r="F26" t="str">
            <v>g</v>
          </cell>
          <cell r="G26" t="str">
            <v>c</v>
          </cell>
          <cell r="H26">
            <v>0.99609999999999999</v>
          </cell>
          <cell r="I26">
            <v>0.98129999999999995</v>
          </cell>
          <cell r="J26"/>
          <cell r="K26">
            <v>39508</v>
          </cell>
          <cell r="L26"/>
          <cell r="M26">
            <v>0.99560000000000004</v>
          </cell>
          <cell r="N26">
            <v>0.99560000000000004</v>
          </cell>
          <cell r="O26"/>
          <cell r="P26">
            <v>0</v>
          </cell>
          <cell r="Q26">
            <v>2.9083000000000001</v>
          </cell>
        </row>
        <row r="27">
          <cell r="B27">
            <v>39539</v>
          </cell>
          <cell r="C27"/>
          <cell r="D27">
            <v>0.98529999999999995</v>
          </cell>
          <cell r="E27" t="str">
            <v>c</v>
          </cell>
          <cell r="F27" t="str">
            <v>g</v>
          </cell>
          <cell r="G27" t="str">
            <v>c</v>
          </cell>
          <cell r="H27">
            <v>0.99609999999999999</v>
          </cell>
          <cell r="I27">
            <v>0.98129999999999995</v>
          </cell>
          <cell r="J27"/>
          <cell r="K27">
            <v>39539</v>
          </cell>
          <cell r="L27"/>
          <cell r="M27">
            <v>0.98529999999999995</v>
          </cell>
          <cell r="N27">
            <v>0.98529999999999995</v>
          </cell>
          <cell r="O27"/>
          <cell r="P27">
            <v>0</v>
          </cell>
          <cell r="Q27">
            <v>3.8936000000000002</v>
          </cell>
        </row>
        <row r="28">
          <cell r="B28">
            <v>39569</v>
          </cell>
          <cell r="C28"/>
          <cell r="D28">
            <v>0.99870000000000003</v>
          </cell>
          <cell r="E28" t="str">
            <v>g</v>
          </cell>
          <cell r="F28" t="str">
            <v>c</v>
          </cell>
          <cell r="G28" t="str">
            <v>c</v>
          </cell>
          <cell r="H28">
            <v>0.99609999999999999</v>
          </cell>
          <cell r="I28">
            <v>0.98129999999999995</v>
          </cell>
          <cell r="J28"/>
          <cell r="K28">
            <v>39569</v>
          </cell>
          <cell r="L28"/>
          <cell r="M28">
            <v>0.99870000000000003</v>
          </cell>
          <cell r="N28">
            <v>0.99870000000000003</v>
          </cell>
          <cell r="O28"/>
          <cell r="P28">
            <v>0</v>
          </cell>
          <cell r="Q28">
            <v>4.8923000000000005</v>
          </cell>
        </row>
        <row r="29">
          <cell r="B29">
            <v>39600</v>
          </cell>
          <cell r="C29"/>
          <cell r="D29">
            <v>0.97189999999999999</v>
          </cell>
          <cell r="E29" t="str">
            <v>c</v>
          </cell>
          <cell r="F29" t="str">
            <v>c</v>
          </cell>
          <cell r="G29" t="str">
            <v>g</v>
          </cell>
          <cell r="H29">
            <v>0.99609999999999999</v>
          </cell>
          <cell r="I29">
            <v>0.98129999999999995</v>
          </cell>
          <cell r="J29"/>
          <cell r="K29">
            <v>39600</v>
          </cell>
          <cell r="L29"/>
          <cell r="M29">
            <v>0.97189999999999999</v>
          </cell>
          <cell r="N29">
            <v>0.97189999999999999</v>
          </cell>
          <cell r="O29"/>
          <cell r="P29">
            <v>0</v>
          </cell>
          <cell r="Q29">
            <v>5.8642000000000003</v>
          </cell>
        </row>
        <row r="30">
          <cell r="B30">
            <v>39630</v>
          </cell>
          <cell r="C30"/>
          <cell r="D30">
            <v>0.99909999999999999</v>
          </cell>
          <cell r="E30" t="str">
            <v>g</v>
          </cell>
          <cell r="F30" t="str">
            <v>c</v>
          </cell>
          <cell r="G30" t="str">
            <v>c</v>
          </cell>
          <cell r="H30">
            <v>0.99609999999999999</v>
          </cell>
          <cell r="I30">
            <v>0.98129999999999995</v>
          </cell>
          <cell r="J30"/>
          <cell r="K30">
            <v>39630</v>
          </cell>
          <cell r="L30"/>
          <cell r="M30">
            <v>0.99909999999999999</v>
          </cell>
          <cell r="N30">
            <v>0.99909999999999999</v>
          </cell>
          <cell r="O30"/>
          <cell r="P30">
            <v>0</v>
          </cell>
          <cell r="Q30">
            <v>6.8633000000000006</v>
          </cell>
        </row>
        <row r="31">
          <cell r="B31">
            <v>39661</v>
          </cell>
          <cell r="C31"/>
          <cell r="D31">
            <v>0.99990000000000001</v>
          </cell>
          <cell r="E31" t="str">
            <v>g</v>
          </cell>
          <cell r="F31" t="str">
            <v>c</v>
          </cell>
          <cell r="G31" t="str">
            <v>c</v>
          </cell>
          <cell r="H31">
            <v>0.99609999999999999</v>
          </cell>
          <cell r="I31">
            <v>0.98129999999999995</v>
          </cell>
          <cell r="J31"/>
          <cell r="K31">
            <v>39661</v>
          </cell>
          <cell r="L31"/>
          <cell r="M31">
            <v>0.99990000000000001</v>
          </cell>
          <cell r="N31">
            <v>0.99990000000000001</v>
          </cell>
          <cell r="O31"/>
          <cell r="P31">
            <v>0</v>
          </cell>
          <cell r="Q31">
            <v>7.8632000000000009</v>
          </cell>
        </row>
        <row r="32">
          <cell r="B32">
            <v>39692</v>
          </cell>
          <cell r="C32"/>
          <cell r="D32">
            <v>0.997</v>
          </cell>
          <cell r="E32" t="str">
            <v>g</v>
          </cell>
          <cell r="F32" t="str">
            <v>c</v>
          </cell>
          <cell r="G32" t="str">
            <v>c</v>
          </cell>
          <cell r="H32">
            <v>0.99609999999999999</v>
          </cell>
          <cell r="I32">
            <v>0.98129999999999995</v>
          </cell>
          <cell r="J32"/>
          <cell r="K32">
            <v>39692</v>
          </cell>
          <cell r="L32"/>
          <cell r="M32">
            <v>0.997</v>
          </cell>
          <cell r="N32"/>
          <cell r="O32"/>
          <cell r="P32">
            <v>0</v>
          </cell>
          <cell r="Q32">
            <v>8.8602000000000007</v>
          </cell>
        </row>
        <row r="33">
          <cell r="B33">
            <v>39722</v>
          </cell>
          <cell r="C33"/>
          <cell r="D33">
            <v>0.99219999999999997</v>
          </cell>
          <cell r="E33" t="str">
            <v>c</v>
          </cell>
          <cell r="F33" t="str">
            <v>g</v>
          </cell>
          <cell r="G33" t="str">
            <v>c</v>
          </cell>
          <cell r="H33">
            <v>0.99609999999999999</v>
          </cell>
          <cell r="I33">
            <v>0.98129999999999995</v>
          </cell>
          <cell r="J33"/>
          <cell r="K33">
            <v>39722</v>
          </cell>
          <cell r="L33"/>
          <cell r="M33">
            <v>0.99219999999999997</v>
          </cell>
          <cell r="N33"/>
          <cell r="O33"/>
          <cell r="P33">
            <v>0</v>
          </cell>
          <cell r="Q33">
            <v>9.8524000000000012</v>
          </cell>
        </row>
      </sheetData>
      <sheetData sheetId="14">
        <row r="9">
          <cell r="D9"/>
          <cell r="E9" t="str">
            <v>Mesual</v>
          </cell>
          <cell r="F9"/>
          <cell r="G9"/>
          <cell r="H9"/>
          <cell r="I9"/>
          <cell r="J9"/>
          <cell r="K9" t="str">
            <v>Acumulado</v>
          </cell>
          <cell r="L9"/>
          <cell r="M9"/>
          <cell r="N9"/>
          <cell r="O9"/>
          <cell r="P9"/>
          <cell r="V9" t="str">
            <v>Mes</v>
          </cell>
          <cell r="W9"/>
          <cell r="X9"/>
          <cell r="Y9"/>
          <cell r="Z9"/>
          <cell r="AA9"/>
          <cell r="AB9"/>
          <cell r="AC9"/>
          <cell r="AD9"/>
          <cell r="AE9"/>
          <cell r="AF9" t="str">
            <v>Mes</v>
          </cell>
          <cell r="AG9"/>
          <cell r="AH9"/>
          <cell r="AI9"/>
          <cell r="AJ9"/>
        </row>
        <row r="10">
          <cell r="D10" t="str">
            <v>Fecha</v>
          </cell>
          <cell r="E10" t="str">
            <v>Estimado</v>
          </cell>
          <cell r="F10" t="str">
            <v>Performance</v>
          </cell>
          <cell r="G10"/>
          <cell r="H10"/>
          <cell r="I10" t="str">
            <v>Limites</v>
          </cell>
          <cell r="J10"/>
          <cell r="K10" t="str">
            <v>Estimado</v>
          </cell>
          <cell r="L10" t="str">
            <v>Performance</v>
          </cell>
          <cell r="M10"/>
          <cell r="N10"/>
          <cell r="O10" t="str">
            <v>Limites</v>
          </cell>
          <cell r="P10"/>
          <cell r="Q10"/>
          <cell r="R10"/>
          <cell r="S10"/>
          <cell r="T10"/>
          <cell r="U10"/>
          <cell r="V10"/>
          <cell r="W10" t="str">
            <v>Valores</v>
          </cell>
          <cell r="X10"/>
          <cell r="Y10" t="str">
            <v>Var 1.</v>
          </cell>
          <cell r="Z10"/>
          <cell r="AA10" t="str">
            <v>Proyectado</v>
          </cell>
          <cell r="AB10" t="str">
            <v>Anual</v>
          </cell>
          <cell r="AC10" t="str">
            <v>Var 2.</v>
          </cell>
          <cell r="AD10"/>
          <cell r="AE10" t="str">
            <v>% Avance 
del Año</v>
          </cell>
          <cell r="AF10"/>
          <cell r="AG10" t="str">
            <v>Valores</v>
          </cell>
          <cell r="AH10"/>
          <cell r="AI10" t="str">
            <v>Var 1.</v>
          </cell>
          <cell r="AJ10"/>
        </row>
        <row r="11">
          <cell r="D11"/>
          <cell r="E11"/>
          <cell r="F11"/>
          <cell r="G11"/>
          <cell r="H11"/>
          <cell r="I11" t="str">
            <v>Sup</v>
          </cell>
          <cell r="J11" t="str">
            <v>Inf</v>
          </cell>
          <cell r="K11"/>
          <cell r="L11"/>
          <cell r="M11"/>
          <cell r="N11"/>
          <cell r="O11" t="str">
            <v>Sup</v>
          </cell>
          <cell r="P11" t="str">
            <v>Inf</v>
          </cell>
          <cell r="Q11"/>
          <cell r="R11"/>
          <cell r="S11"/>
          <cell r="T11"/>
          <cell r="U11"/>
          <cell r="V11" t="str">
            <v>Fecha</v>
          </cell>
          <cell r="W11" t="str">
            <v>Anteriores</v>
          </cell>
          <cell r="X11" t="str">
            <v>Real</v>
          </cell>
          <cell r="Y11" t="str">
            <v>Unidades</v>
          </cell>
          <cell r="Z11" t="str">
            <v>%</v>
          </cell>
          <cell r="AA11"/>
          <cell r="AB11" t="str">
            <v>Proyectado</v>
          </cell>
          <cell r="AC11" t="str">
            <v>Unidades</v>
          </cell>
          <cell r="AD11" t="str">
            <v>%</v>
          </cell>
          <cell r="AE11"/>
          <cell r="AF11" t="str">
            <v>Fecha</v>
          </cell>
          <cell r="AG11" t="str">
            <v>Anteriores</v>
          </cell>
          <cell r="AH11" t="str">
            <v>Real</v>
          </cell>
          <cell r="AI11" t="str">
            <v>Unidades</v>
          </cell>
          <cell r="AJ11" t="str">
            <v>%</v>
          </cell>
        </row>
        <row r="12">
          <cell r="D12">
            <v>39083</v>
          </cell>
          <cell r="E12"/>
          <cell r="F12" t="str">
            <v/>
          </cell>
          <cell r="G12" t="str">
            <v/>
          </cell>
          <cell r="H12" t="str">
            <v/>
          </cell>
          <cell r="I12"/>
          <cell r="J12"/>
          <cell r="K12"/>
          <cell r="L12" t="str">
            <v/>
          </cell>
          <cell r="M12" t="str">
            <v/>
          </cell>
          <cell r="N12" t="str">
            <v/>
          </cell>
          <cell r="O12"/>
          <cell r="P12"/>
          <cell r="Q12"/>
          <cell r="R12"/>
          <cell r="S12"/>
          <cell r="T12"/>
          <cell r="U12"/>
          <cell r="V12">
            <v>39083</v>
          </cell>
          <cell r="W12"/>
          <cell r="X12"/>
          <cell r="Y12" t="str">
            <v/>
          </cell>
          <cell r="Z12"/>
          <cell r="AA12"/>
          <cell r="AB12">
            <v>0</v>
          </cell>
          <cell r="AC12" t="str">
            <v/>
          </cell>
          <cell r="AD12" t="str">
            <v/>
          </cell>
          <cell r="AE12" t="str">
            <v/>
          </cell>
          <cell r="AF12">
            <v>39083</v>
          </cell>
          <cell r="AG12"/>
          <cell r="AH12"/>
          <cell r="AI12" t="str">
            <v/>
          </cell>
          <cell r="AJ12"/>
        </row>
        <row r="13">
          <cell r="D13">
            <v>39114</v>
          </cell>
          <cell r="E13"/>
          <cell r="F13" t="str">
            <v/>
          </cell>
          <cell r="G13" t="str">
            <v/>
          </cell>
          <cell r="H13" t="str">
            <v/>
          </cell>
          <cell r="I13"/>
          <cell r="J13"/>
          <cell r="K13"/>
          <cell r="L13" t="str">
            <v/>
          </cell>
          <cell r="M13" t="str">
            <v/>
          </cell>
          <cell r="N13" t="str">
            <v/>
          </cell>
          <cell r="O13"/>
          <cell r="P13"/>
          <cell r="Q13"/>
          <cell r="R13"/>
          <cell r="S13"/>
          <cell r="T13"/>
          <cell r="U13"/>
          <cell r="V13">
            <v>39114</v>
          </cell>
          <cell r="W13"/>
          <cell r="X13"/>
          <cell r="Y13" t="str">
            <v/>
          </cell>
          <cell r="Z13"/>
          <cell r="AA13"/>
          <cell r="AB13">
            <v>0</v>
          </cell>
          <cell r="AC13" t="str">
            <v/>
          </cell>
          <cell r="AD13" t="str">
            <v/>
          </cell>
          <cell r="AE13" t="str">
            <v/>
          </cell>
          <cell r="AF13">
            <v>39114</v>
          </cell>
          <cell r="AG13"/>
          <cell r="AH13"/>
          <cell r="AI13" t="str">
            <v/>
          </cell>
          <cell r="AJ13"/>
        </row>
        <row r="14">
          <cell r="D14">
            <v>39142</v>
          </cell>
          <cell r="E14"/>
          <cell r="F14" t="str">
            <v/>
          </cell>
          <cell r="G14" t="str">
            <v/>
          </cell>
          <cell r="H14" t="str">
            <v/>
          </cell>
          <cell r="I14"/>
          <cell r="J14"/>
          <cell r="K14"/>
          <cell r="L14" t="str">
            <v/>
          </cell>
          <cell r="M14" t="str">
            <v/>
          </cell>
          <cell r="N14" t="str">
            <v/>
          </cell>
          <cell r="O14"/>
          <cell r="P14"/>
          <cell r="Q14"/>
          <cell r="R14"/>
          <cell r="S14"/>
          <cell r="T14"/>
          <cell r="U14"/>
          <cell r="V14">
            <v>39142</v>
          </cell>
          <cell r="W14"/>
          <cell r="X14"/>
          <cell r="Y14" t="str">
            <v/>
          </cell>
          <cell r="Z14"/>
          <cell r="AA14"/>
          <cell r="AB14">
            <v>0</v>
          </cell>
          <cell r="AC14" t="str">
            <v/>
          </cell>
          <cell r="AD14" t="str">
            <v/>
          </cell>
          <cell r="AE14" t="str">
            <v/>
          </cell>
          <cell r="AF14">
            <v>39142</v>
          </cell>
          <cell r="AG14"/>
          <cell r="AH14"/>
          <cell r="AI14" t="str">
            <v/>
          </cell>
          <cell r="AJ14"/>
        </row>
        <row r="15">
          <cell r="D15">
            <v>39173</v>
          </cell>
          <cell r="E15"/>
          <cell r="F15" t="str">
            <v/>
          </cell>
          <cell r="G15" t="str">
            <v/>
          </cell>
          <cell r="H15" t="str">
            <v/>
          </cell>
          <cell r="I15"/>
          <cell r="J15"/>
          <cell r="K15"/>
          <cell r="L15" t="str">
            <v/>
          </cell>
          <cell r="M15" t="str">
            <v/>
          </cell>
          <cell r="N15" t="str">
            <v/>
          </cell>
          <cell r="O15"/>
          <cell r="P15"/>
          <cell r="Q15"/>
          <cell r="R15"/>
          <cell r="S15"/>
          <cell r="T15"/>
          <cell r="U15"/>
          <cell r="V15">
            <v>39173</v>
          </cell>
          <cell r="W15"/>
          <cell r="X15"/>
          <cell r="Y15" t="str">
            <v/>
          </cell>
          <cell r="Z15"/>
          <cell r="AA15"/>
          <cell r="AB15">
            <v>0</v>
          </cell>
          <cell r="AC15" t="str">
            <v/>
          </cell>
          <cell r="AD15" t="str">
            <v/>
          </cell>
          <cell r="AE15" t="str">
            <v/>
          </cell>
          <cell r="AF15">
            <v>39173</v>
          </cell>
          <cell r="AG15"/>
          <cell r="AH15"/>
          <cell r="AI15" t="str">
            <v/>
          </cell>
          <cell r="AJ15"/>
        </row>
        <row r="16">
          <cell r="D16">
            <v>39203</v>
          </cell>
          <cell r="E16"/>
          <cell r="F16" t="str">
            <v/>
          </cell>
          <cell r="G16" t="str">
            <v/>
          </cell>
          <cell r="H16" t="str">
            <v/>
          </cell>
          <cell r="I16"/>
          <cell r="J16"/>
          <cell r="K16"/>
          <cell r="L16" t="str">
            <v/>
          </cell>
          <cell r="M16" t="str">
            <v/>
          </cell>
          <cell r="N16" t="str">
            <v/>
          </cell>
          <cell r="O16"/>
          <cell r="P16"/>
          <cell r="Q16"/>
          <cell r="R16"/>
          <cell r="S16"/>
          <cell r="T16"/>
          <cell r="U16"/>
          <cell r="V16">
            <v>39203</v>
          </cell>
          <cell r="W16"/>
          <cell r="X16"/>
          <cell r="Y16" t="str">
            <v/>
          </cell>
          <cell r="Z16"/>
          <cell r="AA16"/>
          <cell r="AB16">
            <v>0</v>
          </cell>
          <cell r="AC16" t="str">
            <v/>
          </cell>
          <cell r="AD16" t="str">
            <v/>
          </cell>
          <cell r="AE16" t="str">
            <v/>
          </cell>
          <cell r="AF16">
            <v>39203</v>
          </cell>
          <cell r="AG16"/>
          <cell r="AH16"/>
          <cell r="AI16" t="str">
            <v/>
          </cell>
          <cell r="AJ16"/>
        </row>
        <row r="17">
          <cell r="D17">
            <v>39234</v>
          </cell>
          <cell r="E17"/>
          <cell r="F17" t="str">
            <v/>
          </cell>
          <cell r="G17" t="str">
            <v/>
          </cell>
          <cell r="H17" t="str">
            <v/>
          </cell>
          <cell r="I17"/>
          <cell r="J17"/>
          <cell r="K17"/>
          <cell r="L17" t="str">
            <v/>
          </cell>
          <cell r="M17" t="str">
            <v/>
          </cell>
          <cell r="N17" t="str">
            <v/>
          </cell>
          <cell r="O17"/>
          <cell r="P17"/>
          <cell r="Q17"/>
          <cell r="R17"/>
          <cell r="S17"/>
          <cell r="T17"/>
          <cell r="U17"/>
          <cell r="V17">
            <v>39234</v>
          </cell>
          <cell r="W17"/>
          <cell r="X17"/>
          <cell r="Y17" t="str">
            <v/>
          </cell>
          <cell r="Z17"/>
          <cell r="AA17"/>
          <cell r="AB17">
            <v>0</v>
          </cell>
          <cell r="AC17" t="str">
            <v/>
          </cell>
          <cell r="AD17" t="str">
            <v/>
          </cell>
          <cell r="AE17" t="str">
            <v/>
          </cell>
          <cell r="AF17">
            <v>39234</v>
          </cell>
          <cell r="AG17"/>
          <cell r="AH17"/>
          <cell r="AI17" t="str">
            <v/>
          </cell>
          <cell r="AJ17"/>
        </row>
        <row r="18">
          <cell r="D18">
            <v>39264</v>
          </cell>
          <cell r="E18"/>
          <cell r="F18" t="str">
            <v/>
          </cell>
          <cell r="G18" t="str">
            <v/>
          </cell>
          <cell r="H18" t="str">
            <v/>
          </cell>
          <cell r="I18"/>
          <cell r="J18"/>
          <cell r="K18"/>
          <cell r="L18" t="str">
            <v/>
          </cell>
          <cell r="M18" t="str">
            <v/>
          </cell>
          <cell r="N18" t="str">
            <v/>
          </cell>
          <cell r="O18"/>
          <cell r="P18"/>
          <cell r="Q18"/>
          <cell r="R18"/>
          <cell r="S18"/>
          <cell r="T18"/>
          <cell r="U18"/>
          <cell r="V18">
            <v>39264</v>
          </cell>
          <cell r="W18"/>
          <cell r="X18"/>
          <cell r="Y18" t="str">
            <v/>
          </cell>
          <cell r="Z18"/>
          <cell r="AA18"/>
          <cell r="AB18">
            <v>0</v>
          </cell>
          <cell r="AC18" t="str">
            <v/>
          </cell>
          <cell r="AD18" t="str">
            <v/>
          </cell>
          <cell r="AE18" t="str">
            <v/>
          </cell>
          <cell r="AF18">
            <v>39264</v>
          </cell>
          <cell r="AG18"/>
          <cell r="AH18"/>
          <cell r="AI18" t="str">
            <v/>
          </cell>
          <cell r="AJ18"/>
        </row>
        <row r="19">
          <cell r="D19">
            <v>39295</v>
          </cell>
          <cell r="E19"/>
          <cell r="F19" t="str">
            <v/>
          </cell>
          <cell r="G19" t="str">
            <v/>
          </cell>
          <cell r="H19" t="str">
            <v/>
          </cell>
          <cell r="I19"/>
          <cell r="J19"/>
          <cell r="K19"/>
          <cell r="L19" t="str">
            <v/>
          </cell>
          <cell r="M19" t="str">
            <v/>
          </cell>
          <cell r="N19" t="str">
            <v/>
          </cell>
          <cell r="O19"/>
          <cell r="P19"/>
          <cell r="Q19"/>
          <cell r="R19"/>
          <cell r="S19"/>
          <cell r="T19"/>
          <cell r="U19"/>
          <cell r="V19">
            <v>39295</v>
          </cell>
          <cell r="W19"/>
          <cell r="X19"/>
          <cell r="Y19" t="str">
            <v/>
          </cell>
          <cell r="Z19"/>
          <cell r="AA19"/>
          <cell r="AB19">
            <v>0</v>
          </cell>
          <cell r="AC19" t="str">
            <v/>
          </cell>
          <cell r="AD19" t="str">
            <v/>
          </cell>
          <cell r="AE19" t="str">
            <v/>
          </cell>
          <cell r="AF19">
            <v>39295</v>
          </cell>
          <cell r="AG19"/>
          <cell r="AH19"/>
          <cell r="AI19" t="str">
            <v/>
          </cell>
          <cell r="AJ19" t="str">
            <v/>
          </cell>
        </row>
        <row r="20">
          <cell r="D20">
            <v>39326</v>
          </cell>
          <cell r="E20"/>
          <cell r="F20" t="str">
            <v/>
          </cell>
          <cell r="G20" t="str">
            <v/>
          </cell>
          <cell r="H20" t="str">
            <v/>
          </cell>
          <cell r="I20"/>
          <cell r="J20"/>
          <cell r="K20"/>
          <cell r="L20" t="str">
            <v/>
          </cell>
          <cell r="M20" t="str">
            <v/>
          </cell>
          <cell r="N20" t="str">
            <v/>
          </cell>
          <cell r="O20"/>
          <cell r="P20"/>
          <cell r="Q20"/>
          <cell r="R20"/>
          <cell r="S20"/>
          <cell r="T20"/>
          <cell r="U20"/>
          <cell r="V20">
            <v>39326</v>
          </cell>
          <cell r="W20"/>
          <cell r="X20"/>
          <cell r="Y20" t="str">
            <v/>
          </cell>
          <cell r="Z20"/>
          <cell r="AA20"/>
          <cell r="AB20">
            <v>0</v>
          </cell>
          <cell r="AC20" t="str">
            <v/>
          </cell>
          <cell r="AD20" t="str">
            <v/>
          </cell>
          <cell r="AE20" t="str">
            <v/>
          </cell>
          <cell r="AF20">
            <v>39326</v>
          </cell>
          <cell r="AG20"/>
          <cell r="AH20"/>
          <cell r="AI20" t="str">
            <v/>
          </cell>
          <cell r="AJ20" t="str">
            <v/>
          </cell>
        </row>
        <row r="21">
          <cell r="D21">
            <v>39356</v>
          </cell>
          <cell r="E21"/>
          <cell r="F21" t="str">
            <v/>
          </cell>
          <cell r="G21" t="str">
            <v/>
          </cell>
          <cell r="H21" t="str">
            <v/>
          </cell>
          <cell r="I21"/>
          <cell r="J21"/>
          <cell r="K21"/>
          <cell r="L21" t="str">
            <v/>
          </cell>
          <cell r="M21" t="str">
            <v/>
          </cell>
          <cell r="N21" t="str">
            <v/>
          </cell>
          <cell r="O21"/>
          <cell r="P21"/>
          <cell r="Q21"/>
          <cell r="R21"/>
          <cell r="S21"/>
          <cell r="T21"/>
          <cell r="U21"/>
          <cell r="V21">
            <v>39356</v>
          </cell>
          <cell r="W21"/>
          <cell r="X21"/>
          <cell r="Y21" t="str">
            <v/>
          </cell>
          <cell r="Z21"/>
          <cell r="AA21"/>
          <cell r="AB21">
            <v>0</v>
          </cell>
          <cell r="AC21" t="str">
            <v/>
          </cell>
          <cell r="AD21" t="str">
            <v/>
          </cell>
          <cell r="AE21" t="str">
            <v/>
          </cell>
          <cell r="AF21">
            <v>39356</v>
          </cell>
          <cell r="AG21"/>
          <cell r="AH21"/>
          <cell r="AI21" t="str">
            <v/>
          </cell>
          <cell r="AJ21" t="str">
            <v/>
          </cell>
        </row>
        <row r="22">
          <cell r="D22">
            <v>39387</v>
          </cell>
          <cell r="E22"/>
          <cell r="F22" t="str">
            <v/>
          </cell>
          <cell r="G22" t="str">
            <v/>
          </cell>
          <cell r="H22" t="str">
            <v/>
          </cell>
          <cell r="I22"/>
          <cell r="J22"/>
          <cell r="K22"/>
          <cell r="L22" t="str">
            <v/>
          </cell>
          <cell r="M22" t="str">
            <v/>
          </cell>
          <cell r="N22" t="str">
            <v/>
          </cell>
          <cell r="O22"/>
          <cell r="P22"/>
          <cell r="Q22"/>
          <cell r="R22"/>
          <cell r="S22"/>
          <cell r="T22"/>
          <cell r="U22"/>
          <cell r="V22">
            <v>39387</v>
          </cell>
          <cell r="W22"/>
          <cell r="X22"/>
          <cell r="Y22" t="str">
            <v/>
          </cell>
          <cell r="Z22"/>
          <cell r="AA22"/>
          <cell r="AB22">
            <v>0</v>
          </cell>
          <cell r="AC22" t="str">
            <v/>
          </cell>
          <cell r="AD22" t="str">
            <v/>
          </cell>
          <cell r="AE22" t="str">
            <v/>
          </cell>
          <cell r="AF22">
            <v>39387</v>
          </cell>
          <cell r="AG22"/>
          <cell r="AH22"/>
          <cell r="AI22" t="str">
            <v/>
          </cell>
          <cell r="AJ22" t="str">
            <v/>
          </cell>
        </row>
        <row r="23">
          <cell r="D23">
            <v>39417</v>
          </cell>
          <cell r="E23"/>
          <cell r="F23" t="str">
            <v/>
          </cell>
          <cell r="G23" t="str">
            <v/>
          </cell>
          <cell r="H23" t="str">
            <v/>
          </cell>
          <cell r="I23"/>
          <cell r="J23"/>
          <cell r="K23"/>
          <cell r="L23" t="str">
            <v/>
          </cell>
          <cell r="M23" t="str">
            <v/>
          </cell>
          <cell r="N23" t="str">
            <v/>
          </cell>
          <cell r="O23"/>
          <cell r="P23"/>
          <cell r="Q23"/>
          <cell r="R23"/>
          <cell r="S23"/>
          <cell r="T23"/>
          <cell r="U23"/>
          <cell r="V23">
            <v>39417</v>
          </cell>
          <cell r="W23"/>
          <cell r="X23"/>
          <cell r="Y23" t="str">
            <v/>
          </cell>
          <cell r="Z23"/>
          <cell r="AA23"/>
          <cell r="AB23">
            <v>0</v>
          </cell>
          <cell r="AC23" t="str">
            <v/>
          </cell>
          <cell r="AD23" t="str">
            <v/>
          </cell>
          <cell r="AE23" t="str">
            <v/>
          </cell>
          <cell r="AF23">
            <v>39417</v>
          </cell>
          <cell r="AG23"/>
          <cell r="AH23"/>
          <cell r="AI23" t="str">
            <v/>
          </cell>
          <cell r="AJ23" t="str">
            <v/>
          </cell>
        </row>
        <row r="24">
          <cell r="D24">
            <v>39448</v>
          </cell>
          <cell r="E24">
            <v>0.88888888888888884</v>
          </cell>
          <cell r="F24" t="str">
            <v>c</v>
          </cell>
          <cell r="G24" t="str">
            <v>g</v>
          </cell>
          <cell r="H24" t="str">
            <v>c</v>
          </cell>
          <cell r="I24">
            <v>0.9</v>
          </cell>
          <cell r="J24">
            <v>0.85</v>
          </cell>
          <cell r="K24">
            <v>0.88888888888888884</v>
          </cell>
          <cell r="L24" t="str">
            <v>c</v>
          </cell>
          <cell r="M24" t="str">
            <v>g</v>
          </cell>
          <cell r="N24" t="str">
            <v>c</v>
          </cell>
          <cell r="O24">
            <v>0.9</v>
          </cell>
          <cell r="P24">
            <v>0.85</v>
          </cell>
          <cell r="Q24"/>
          <cell r="R24"/>
          <cell r="S24"/>
          <cell r="T24"/>
          <cell r="U24"/>
          <cell r="V24">
            <v>39448</v>
          </cell>
          <cell r="W24"/>
          <cell r="X24">
            <v>0.88888888888888884</v>
          </cell>
          <cell r="Y24">
            <v>0.88888888888888884</v>
          </cell>
          <cell r="Z24"/>
          <cell r="AA24"/>
          <cell r="AB24">
            <v>0</v>
          </cell>
          <cell r="AC24" t="str">
            <v/>
          </cell>
          <cell r="AD24" t="str">
            <v/>
          </cell>
          <cell r="AE24" t="str">
            <v/>
          </cell>
          <cell r="AF24">
            <v>39448</v>
          </cell>
          <cell r="AG24"/>
          <cell r="AH24">
            <v>0.88888888888888884</v>
          </cell>
          <cell r="AI24">
            <v>0.88888888888888884</v>
          </cell>
          <cell r="AJ24" t="str">
            <v/>
          </cell>
        </row>
        <row r="25">
          <cell r="D25">
            <v>39479</v>
          </cell>
          <cell r="E25">
            <v>0.91666666666666663</v>
          </cell>
          <cell r="F25" t="str">
            <v>g</v>
          </cell>
          <cell r="G25" t="str">
            <v>c</v>
          </cell>
          <cell r="H25" t="str">
            <v>c</v>
          </cell>
          <cell r="I25">
            <v>0.9</v>
          </cell>
          <cell r="J25">
            <v>0.85</v>
          </cell>
          <cell r="K25">
            <v>0.9</v>
          </cell>
          <cell r="L25" t="str">
            <v>g</v>
          </cell>
          <cell r="M25" t="str">
            <v>c</v>
          </cell>
          <cell r="N25" t="str">
            <v>c</v>
          </cell>
          <cell r="O25">
            <v>0.9</v>
          </cell>
          <cell r="P25">
            <v>0.85</v>
          </cell>
          <cell r="Q25"/>
          <cell r="R25"/>
          <cell r="S25"/>
          <cell r="T25"/>
          <cell r="U25"/>
          <cell r="V25">
            <v>39479</v>
          </cell>
          <cell r="W25"/>
          <cell r="X25">
            <v>0.91666666666666663</v>
          </cell>
          <cell r="Y25">
            <v>0.91666666666666663</v>
          </cell>
          <cell r="Z25"/>
          <cell r="AA25"/>
          <cell r="AB25">
            <v>0</v>
          </cell>
          <cell r="AC25" t="str">
            <v/>
          </cell>
          <cell r="AD25" t="str">
            <v/>
          </cell>
          <cell r="AE25" t="str">
            <v/>
          </cell>
          <cell r="AF25">
            <v>39479</v>
          </cell>
          <cell r="AG25"/>
          <cell r="AH25">
            <v>0.9</v>
          </cell>
          <cell r="AI25">
            <v>0.9</v>
          </cell>
          <cell r="AJ25" t="str">
            <v/>
          </cell>
        </row>
        <row r="26">
          <cell r="D26">
            <v>39508</v>
          </cell>
          <cell r="E26">
            <v>1</v>
          </cell>
          <cell r="F26" t="str">
            <v>g</v>
          </cell>
          <cell r="G26" t="str">
            <v>c</v>
          </cell>
          <cell r="H26" t="str">
            <v>c</v>
          </cell>
          <cell r="I26">
            <v>0.9</v>
          </cell>
          <cell r="J26">
            <v>0.85</v>
          </cell>
          <cell r="K26">
            <v>0.92105263157894735</v>
          </cell>
          <cell r="L26" t="str">
            <v>g</v>
          </cell>
          <cell r="M26" t="str">
            <v>c</v>
          </cell>
          <cell r="N26" t="str">
            <v>c</v>
          </cell>
          <cell r="O26">
            <v>0.9</v>
          </cell>
          <cell r="P26">
            <v>0.85</v>
          </cell>
          <cell r="Q26"/>
          <cell r="R26"/>
          <cell r="S26"/>
          <cell r="T26"/>
          <cell r="U26"/>
          <cell r="V26">
            <v>39508</v>
          </cell>
          <cell r="W26"/>
          <cell r="X26">
            <v>1</v>
          </cell>
          <cell r="Y26">
            <v>1</v>
          </cell>
          <cell r="Z26"/>
          <cell r="AA26"/>
          <cell r="AB26">
            <v>0</v>
          </cell>
          <cell r="AC26" t="str">
            <v/>
          </cell>
          <cell r="AD26" t="str">
            <v/>
          </cell>
          <cell r="AE26" t="str">
            <v/>
          </cell>
          <cell r="AF26">
            <v>39508</v>
          </cell>
          <cell r="AG26"/>
          <cell r="AH26">
            <v>0.92105263157894735</v>
          </cell>
          <cell r="AI26">
            <v>0.92105263157894735</v>
          </cell>
          <cell r="AJ26" t="str">
            <v/>
          </cell>
        </row>
        <row r="27">
          <cell r="D27">
            <v>39539</v>
          </cell>
          <cell r="E27">
            <v>1</v>
          </cell>
          <cell r="F27" t="str">
            <v>g</v>
          </cell>
          <cell r="G27" t="str">
            <v>c</v>
          </cell>
          <cell r="H27" t="str">
            <v>c</v>
          </cell>
          <cell r="I27">
            <v>0.9</v>
          </cell>
          <cell r="J27">
            <v>0.85</v>
          </cell>
          <cell r="K27">
            <v>0.93617021276595747</v>
          </cell>
          <cell r="L27" t="str">
            <v>g</v>
          </cell>
          <cell r="M27" t="str">
            <v>c</v>
          </cell>
          <cell r="N27" t="str">
            <v>c</v>
          </cell>
          <cell r="O27">
            <v>0.9</v>
          </cell>
          <cell r="P27">
            <v>0.85</v>
          </cell>
          <cell r="Q27"/>
          <cell r="R27"/>
          <cell r="S27"/>
          <cell r="T27"/>
          <cell r="U27"/>
          <cell r="V27">
            <v>39539</v>
          </cell>
          <cell r="W27"/>
          <cell r="X27">
            <v>1</v>
          </cell>
          <cell r="Y27">
            <v>1</v>
          </cell>
          <cell r="Z27"/>
          <cell r="AA27"/>
          <cell r="AB27">
            <v>0</v>
          </cell>
          <cell r="AC27" t="str">
            <v/>
          </cell>
          <cell r="AD27" t="str">
            <v/>
          </cell>
          <cell r="AE27" t="str">
            <v/>
          </cell>
          <cell r="AF27">
            <v>39539</v>
          </cell>
          <cell r="AG27"/>
          <cell r="AH27">
            <v>0.93617021276595747</v>
          </cell>
          <cell r="AI27">
            <v>0.93617021276595747</v>
          </cell>
          <cell r="AJ27" t="str">
            <v/>
          </cell>
        </row>
        <row r="28">
          <cell r="D28">
            <v>39569</v>
          </cell>
          <cell r="E28">
            <v>1</v>
          </cell>
          <cell r="F28" t="str">
            <v>g</v>
          </cell>
          <cell r="G28" t="str">
            <v>c</v>
          </cell>
          <cell r="H28" t="str">
            <v>c</v>
          </cell>
          <cell r="I28">
            <v>0.9</v>
          </cell>
          <cell r="J28">
            <v>0.85</v>
          </cell>
          <cell r="K28">
            <v>0.95</v>
          </cell>
          <cell r="L28" t="str">
            <v>g</v>
          </cell>
          <cell r="M28" t="str">
            <v>c</v>
          </cell>
          <cell r="N28" t="str">
            <v>c</v>
          </cell>
          <cell r="O28">
            <v>0.9</v>
          </cell>
          <cell r="P28">
            <v>0.85</v>
          </cell>
          <cell r="Q28"/>
          <cell r="R28"/>
          <cell r="S28"/>
          <cell r="T28"/>
          <cell r="U28"/>
          <cell r="V28">
            <v>39569</v>
          </cell>
          <cell r="W28"/>
          <cell r="X28">
            <v>1</v>
          </cell>
          <cell r="Y28">
            <v>1</v>
          </cell>
          <cell r="Z28"/>
          <cell r="AA28"/>
          <cell r="AB28">
            <v>0</v>
          </cell>
          <cell r="AC28" t="str">
            <v/>
          </cell>
          <cell r="AD28" t="str">
            <v/>
          </cell>
          <cell r="AE28" t="str">
            <v/>
          </cell>
          <cell r="AF28">
            <v>39569</v>
          </cell>
          <cell r="AG28"/>
          <cell r="AH28">
            <v>0.95</v>
          </cell>
          <cell r="AI28">
            <v>0.95</v>
          </cell>
          <cell r="AJ28" t="str">
            <v/>
          </cell>
        </row>
        <row r="29">
          <cell r="D29">
            <v>39600</v>
          </cell>
          <cell r="E29">
            <v>0.967741935483871</v>
          </cell>
          <cell r="F29" t="str">
            <v>g</v>
          </cell>
          <cell r="G29" t="str">
            <v>c</v>
          </cell>
          <cell r="H29" t="str">
            <v>c</v>
          </cell>
          <cell r="I29">
            <v>0.9</v>
          </cell>
          <cell r="J29">
            <v>0.85</v>
          </cell>
          <cell r="K29">
            <v>0.95604395604395609</v>
          </cell>
          <cell r="L29" t="str">
            <v>g</v>
          </cell>
          <cell r="M29" t="str">
            <v>c</v>
          </cell>
          <cell r="N29" t="str">
            <v>c</v>
          </cell>
          <cell r="O29">
            <v>0.9</v>
          </cell>
          <cell r="P29">
            <v>0.85</v>
          </cell>
          <cell r="Q29"/>
          <cell r="R29"/>
          <cell r="S29"/>
          <cell r="T29"/>
          <cell r="U29"/>
          <cell r="V29">
            <v>39600</v>
          </cell>
          <cell r="W29"/>
          <cell r="X29">
            <v>0.967741935483871</v>
          </cell>
          <cell r="Y29">
            <v>0.967741935483871</v>
          </cell>
          <cell r="Z29"/>
          <cell r="AA29"/>
          <cell r="AB29">
            <v>0</v>
          </cell>
          <cell r="AC29" t="str">
            <v/>
          </cell>
          <cell r="AD29" t="str">
            <v/>
          </cell>
          <cell r="AE29" t="str">
            <v/>
          </cell>
          <cell r="AF29">
            <v>39600</v>
          </cell>
          <cell r="AG29"/>
          <cell r="AH29">
            <v>0.95604395604395609</v>
          </cell>
          <cell r="AI29">
            <v>0.95604395604395609</v>
          </cell>
          <cell r="AJ29" t="str">
            <v/>
          </cell>
        </row>
        <row r="30">
          <cell r="D30">
            <v>39630</v>
          </cell>
          <cell r="E30">
            <v>0.88571428571428568</v>
          </cell>
          <cell r="F30" t="str">
            <v>c</v>
          </cell>
          <cell r="G30" t="str">
            <v>g</v>
          </cell>
          <cell r="H30" t="str">
            <v>c</v>
          </cell>
          <cell r="I30">
            <v>0.9</v>
          </cell>
          <cell r="J30">
            <v>0.85</v>
          </cell>
          <cell r="K30">
            <v>0.93650793650793651</v>
          </cell>
          <cell r="L30" t="str">
            <v>g</v>
          </cell>
          <cell r="M30" t="str">
            <v>c</v>
          </cell>
          <cell r="N30" t="str">
            <v>c</v>
          </cell>
          <cell r="O30">
            <v>0.9</v>
          </cell>
          <cell r="P30">
            <v>0.85</v>
          </cell>
          <cell r="Q30"/>
          <cell r="R30"/>
          <cell r="S30"/>
          <cell r="T30"/>
          <cell r="U30"/>
          <cell r="V30">
            <v>39630</v>
          </cell>
          <cell r="W30"/>
          <cell r="X30">
            <v>0.88571428571428568</v>
          </cell>
          <cell r="Y30">
            <v>0.88571428571428568</v>
          </cell>
          <cell r="Z30"/>
          <cell r="AA30"/>
          <cell r="AB30">
            <v>0</v>
          </cell>
          <cell r="AC30" t="str">
            <v/>
          </cell>
          <cell r="AD30" t="str">
            <v/>
          </cell>
          <cell r="AE30" t="str">
            <v/>
          </cell>
          <cell r="AF30">
            <v>39630</v>
          </cell>
          <cell r="AG30"/>
          <cell r="AH30">
            <v>0.93650793650793651</v>
          </cell>
          <cell r="AI30">
            <v>0.93650793650793651</v>
          </cell>
          <cell r="AJ30" t="str">
            <v/>
          </cell>
        </row>
        <row r="31">
          <cell r="D31">
            <v>39661</v>
          </cell>
          <cell r="E31">
            <v>0.81818181818181823</v>
          </cell>
          <cell r="F31" t="str">
            <v>c</v>
          </cell>
          <cell r="G31" t="str">
            <v>c</v>
          </cell>
          <cell r="H31" t="str">
            <v>g</v>
          </cell>
          <cell r="I31">
            <v>0.9</v>
          </cell>
          <cell r="J31">
            <v>0.85</v>
          </cell>
          <cell r="K31">
            <v>0.92700729927007297</v>
          </cell>
          <cell r="L31" t="str">
            <v>g</v>
          </cell>
          <cell r="M31" t="str">
            <v>c</v>
          </cell>
          <cell r="N31" t="str">
            <v>c</v>
          </cell>
          <cell r="O31">
            <v>0.9</v>
          </cell>
          <cell r="P31">
            <v>0.85</v>
          </cell>
          <cell r="Q31"/>
          <cell r="R31"/>
          <cell r="S31"/>
          <cell r="T31"/>
          <cell r="U31"/>
          <cell r="V31">
            <v>39661</v>
          </cell>
          <cell r="W31"/>
          <cell r="X31">
            <v>0.81818181818181823</v>
          </cell>
          <cell r="Y31">
            <v>0.81818181818181823</v>
          </cell>
          <cell r="Z31" t="e">
            <v>#DIV/0!</v>
          </cell>
          <cell r="AA31"/>
          <cell r="AB31">
            <v>0</v>
          </cell>
          <cell r="AC31" t="str">
            <v/>
          </cell>
          <cell r="AD31" t="str">
            <v/>
          </cell>
          <cell r="AE31" t="str">
            <v/>
          </cell>
          <cell r="AF31">
            <v>39661</v>
          </cell>
          <cell r="AG31"/>
          <cell r="AH31">
            <v>0.92700729927007297</v>
          </cell>
          <cell r="AI31">
            <v>0.92700729927007297</v>
          </cell>
          <cell r="AJ31" t="e">
            <v>#DIV/0!</v>
          </cell>
        </row>
        <row r="32">
          <cell r="D32">
            <v>39692</v>
          </cell>
          <cell r="E32">
            <v>1</v>
          </cell>
          <cell r="F32" t="str">
            <v>g</v>
          </cell>
          <cell r="G32" t="str">
            <v>c</v>
          </cell>
          <cell r="H32" t="str">
            <v>c</v>
          </cell>
          <cell r="I32">
            <v>0.9</v>
          </cell>
          <cell r="J32">
            <v>0.85</v>
          </cell>
          <cell r="K32">
            <v>0.93103448275862066</v>
          </cell>
          <cell r="L32" t="str">
            <v>g</v>
          </cell>
          <cell r="M32" t="str">
            <v>c</v>
          </cell>
          <cell r="N32" t="str">
            <v>c</v>
          </cell>
          <cell r="O32">
            <v>0.9</v>
          </cell>
          <cell r="P32">
            <v>0.85</v>
          </cell>
          <cell r="Q32"/>
          <cell r="R32"/>
          <cell r="S32"/>
          <cell r="T32"/>
          <cell r="U32"/>
          <cell r="V32">
            <v>39692</v>
          </cell>
          <cell r="W32"/>
          <cell r="X32">
            <v>1</v>
          </cell>
          <cell r="Y32">
            <v>1</v>
          </cell>
          <cell r="Z32" t="e">
            <v>#DIV/0!</v>
          </cell>
          <cell r="AA32"/>
          <cell r="AB32">
            <v>0</v>
          </cell>
          <cell r="AC32" t="str">
            <v/>
          </cell>
          <cell r="AD32" t="str">
            <v/>
          </cell>
          <cell r="AE32" t="str">
            <v/>
          </cell>
          <cell r="AF32">
            <v>39692</v>
          </cell>
          <cell r="AG32"/>
          <cell r="AH32">
            <v>0.93103448275862066</v>
          </cell>
          <cell r="AI32"/>
          <cell r="AJ32" t="e">
            <v>#DIV/0!</v>
          </cell>
        </row>
        <row r="33">
          <cell r="D33">
            <v>39722</v>
          </cell>
          <cell r="E33">
            <v>1</v>
          </cell>
          <cell r="F33" t="str">
            <v>g</v>
          </cell>
          <cell r="G33" t="str">
            <v>c</v>
          </cell>
          <cell r="H33" t="str">
            <v>c</v>
          </cell>
          <cell r="I33">
            <v>0.9</v>
          </cell>
          <cell r="J33">
            <v>0.85</v>
          </cell>
          <cell r="K33">
            <v>0.93421052631578949</v>
          </cell>
          <cell r="L33" t="str">
            <v>g</v>
          </cell>
          <cell r="M33" t="str">
            <v>c</v>
          </cell>
          <cell r="N33" t="str">
            <v>c</v>
          </cell>
          <cell r="O33">
            <v>0.9</v>
          </cell>
          <cell r="P33">
            <v>0.85</v>
          </cell>
          <cell r="Q33"/>
          <cell r="R33"/>
          <cell r="S33"/>
          <cell r="T33"/>
          <cell r="U33"/>
          <cell r="V33">
            <v>39722</v>
          </cell>
          <cell r="W33"/>
          <cell r="X33">
            <v>1</v>
          </cell>
          <cell r="Y33">
            <v>1</v>
          </cell>
          <cell r="Z33" t="e">
            <v>#DIV/0!</v>
          </cell>
          <cell r="AA33"/>
          <cell r="AB33">
            <v>0</v>
          </cell>
          <cell r="AC33" t="str">
            <v/>
          </cell>
          <cell r="AD33" t="str">
            <v/>
          </cell>
          <cell r="AE33" t="str">
            <v/>
          </cell>
          <cell r="AF33">
            <v>39722</v>
          </cell>
          <cell r="AG33"/>
          <cell r="AH33">
            <v>0.93421052631578949</v>
          </cell>
          <cell r="AI33"/>
          <cell r="AJ33" t="e">
            <v>#DIV/0!</v>
          </cell>
        </row>
        <row r="34">
          <cell r="D34">
            <v>39753</v>
          </cell>
          <cell r="E34">
            <v>1</v>
          </cell>
          <cell r="F34" t="str">
            <v>g</v>
          </cell>
          <cell r="G34" t="str">
            <v>c</v>
          </cell>
          <cell r="H34" t="str">
            <v>c</v>
          </cell>
          <cell r="I34">
            <v>0.9</v>
          </cell>
          <cell r="J34">
            <v>0.85</v>
          </cell>
          <cell r="K34">
            <v>0.93630573248407645</v>
          </cell>
          <cell r="L34" t="str">
            <v>g</v>
          </cell>
          <cell r="M34" t="str">
            <v>c</v>
          </cell>
          <cell r="N34" t="str">
            <v>c</v>
          </cell>
          <cell r="O34">
            <v>0.9</v>
          </cell>
          <cell r="P34">
            <v>0.85</v>
          </cell>
          <cell r="Q34"/>
          <cell r="R34"/>
          <cell r="S34"/>
          <cell r="T34"/>
          <cell r="U34"/>
          <cell r="V34">
            <v>39753</v>
          </cell>
          <cell r="W34"/>
          <cell r="X34">
            <v>1</v>
          </cell>
          <cell r="Y34">
            <v>1</v>
          </cell>
          <cell r="Z34" t="e">
            <v>#DIV/0!</v>
          </cell>
          <cell r="AA34"/>
          <cell r="AB34">
            <v>0</v>
          </cell>
          <cell r="AC34" t="str">
            <v/>
          </cell>
          <cell r="AD34" t="str">
            <v/>
          </cell>
          <cell r="AE34" t="str">
            <v/>
          </cell>
          <cell r="AF34">
            <v>39753</v>
          </cell>
          <cell r="AG34"/>
          <cell r="AH34">
            <v>0.93630573248407645</v>
          </cell>
          <cell r="AI34"/>
          <cell r="AJ34" t="e">
            <v>#DIV/0!</v>
          </cell>
        </row>
        <row r="35">
          <cell r="D35">
            <v>39783</v>
          </cell>
          <cell r="E35">
            <v>1</v>
          </cell>
          <cell r="F35" t="str">
            <v>g</v>
          </cell>
          <cell r="G35" t="str">
            <v>c</v>
          </cell>
          <cell r="H35" t="str">
            <v>c</v>
          </cell>
          <cell r="I35">
            <v>0.9</v>
          </cell>
          <cell r="J35">
            <v>0.85</v>
          </cell>
          <cell r="K35">
            <v>0.9375</v>
          </cell>
          <cell r="L35" t="str">
            <v>g</v>
          </cell>
          <cell r="M35" t="str">
            <v>c</v>
          </cell>
          <cell r="N35" t="str">
            <v>c</v>
          </cell>
          <cell r="O35">
            <v>0.9</v>
          </cell>
          <cell r="P35">
            <v>0.85</v>
          </cell>
          <cell r="Q35"/>
          <cell r="R35"/>
          <cell r="S35"/>
          <cell r="T35"/>
          <cell r="U35"/>
          <cell r="V35">
            <v>39783</v>
          </cell>
          <cell r="W35"/>
          <cell r="X35">
            <v>1</v>
          </cell>
          <cell r="Y35">
            <v>1</v>
          </cell>
          <cell r="Z35" t="e">
            <v>#DIV/0!</v>
          </cell>
          <cell r="AA35"/>
          <cell r="AB35">
            <v>0</v>
          </cell>
          <cell r="AC35" t="str">
            <v/>
          </cell>
          <cell r="AD35" t="str">
            <v/>
          </cell>
          <cell r="AE35" t="str">
            <v/>
          </cell>
          <cell r="AF35">
            <v>39783</v>
          </cell>
          <cell r="AG35"/>
          <cell r="AH35">
            <v>0.9375</v>
          </cell>
          <cell r="AI35"/>
          <cell r="AJ35" t="e">
            <v>#DIV/0!</v>
          </cell>
        </row>
        <row r="36">
          <cell r="D36">
            <v>39814</v>
          </cell>
          <cell r="E36" t="str">
            <v/>
          </cell>
          <cell r="F36"/>
          <cell r="G36"/>
          <cell r="H36"/>
          <cell r="I36"/>
          <cell r="J36"/>
          <cell r="K36" t="str">
            <v/>
          </cell>
          <cell r="L36"/>
          <cell r="M36"/>
          <cell r="N36"/>
          <cell r="O36"/>
          <cell r="P36"/>
          <cell r="Q36"/>
          <cell r="R36"/>
          <cell r="S36"/>
          <cell r="T36"/>
          <cell r="U36"/>
          <cell r="V36">
            <v>39814</v>
          </cell>
          <cell r="W36">
            <v>0.88888888888888884</v>
          </cell>
          <cell r="X36" t="str">
            <v/>
          </cell>
          <cell r="Y36" t="str">
            <v/>
          </cell>
          <cell r="Z36" t="str">
            <v/>
          </cell>
          <cell r="AA36"/>
          <cell r="AB36">
            <v>0</v>
          </cell>
          <cell r="AC36" t="str">
            <v/>
          </cell>
          <cell r="AD36" t="str">
            <v/>
          </cell>
          <cell r="AE36" t="str">
            <v/>
          </cell>
          <cell r="AF36">
            <v>39814</v>
          </cell>
          <cell r="AG36">
            <v>0.88888888888888884</v>
          </cell>
          <cell r="AH36" t="str">
            <v/>
          </cell>
          <cell r="AI36"/>
          <cell r="AJ36" t="str">
            <v/>
          </cell>
        </row>
        <row r="37">
          <cell r="D37">
            <v>39845</v>
          </cell>
          <cell r="E37" t="str">
            <v/>
          </cell>
          <cell r="F37"/>
          <cell r="G37"/>
          <cell r="H37"/>
          <cell r="I37"/>
          <cell r="J37"/>
          <cell r="K37" t="str">
            <v/>
          </cell>
          <cell r="L37"/>
          <cell r="M37"/>
          <cell r="N37"/>
          <cell r="O37"/>
          <cell r="P37"/>
          <cell r="Q37"/>
          <cell r="R37"/>
          <cell r="S37"/>
          <cell r="T37"/>
          <cell r="U37"/>
          <cell r="V37">
            <v>39845</v>
          </cell>
          <cell r="W37">
            <v>0.91666666666666663</v>
          </cell>
          <cell r="X37" t="str">
            <v/>
          </cell>
          <cell r="Y37" t="str">
            <v/>
          </cell>
          <cell r="Z37" t="str">
            <v/>
          </cell>
          <cell r="AA37"/>
          <cell r="AB37">
            <v>0</v>
          </cell>
          <cell r="AC37" t="str">
            <v/>
          </cell>
          <cell r="AD37" t="str">
            <v/>
          </cell>
          <cell r="AE37" t="str">
            <v/>
          </cell>
          <cell r="AF37">
            <v>39845</v>
          </cell>
          <cell r="AG37">
            <v>0.9</v>
          </cell>
          <cell r="AH37" t="str">
            <v/>
          </cell>
          <cell r="AI37"/>
          <cell r="AJ37" t="str">
            <v/>
          </cell>
        </row>
        <row r="38">
          <cell r="D38">
            <v>39873</v>
          </cell>
          <cell r="E38" t="str">
            <v/>
          </cell>
          <cell r="F38"/>
          <cell r="G38"/>
          <cell r="H38"/>
          <cell r="I38"/>
          <cell r="J38"/>
          <cell r="K38" t="str">
            <v/>
          </cell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>
            <v>39873</v>
          </cell>
          <cell r="W38">
            <v>1</v>
          </cell>
          <cell r="X38" t="str">
            <v/>
          </cell>
          <cell r="Y38" t="str">
            <v/>
          </cell>
          <cell r="Z38" t="str">
            <v/>
          </cell>
          <cell r="AA38"/>
          <cell r="AB38">
            <v>0</v>
          </cell>
          <cell r="AC38" t="str">
            <v/>
          </cell>
          <cell r="AD38" t="str">
            <v/>
          </cell>
          <cell r="AE38" t="str">
            <v/>
          </cell>
          <cell r="AF38">
            <v>39873</v>
          </cell>
          <cell r="AG38">
            <v>0.92105263157894735</v>
          </cell>
          <cell r="AH38" t="str">
            <v/>
          </cell>
          <cell r="AI38"/>
          <cell r="AJ38" t="str">
            <v/>
          </cell>
        </row>
        <row r="39">
          <cell r="D39">
            <v>39904</v>
          </cell>
          <cell r="E39" t="str">
            <v/>
          </cell>
          <cell r="F39"/>
          <cell r="G39"/>
          <cell r="H39"/>
          <cell r="I39"/>
          <cell r="J39"/>
          <cell r="K39" t="str">
            <v/>
          </cell>
          <cell r="L39"/>
          <cell r="M39"/>
          <cell r="N39"/>
          <cell r="O39"/>
          <cell r="P39"/>
          <cell r="V39">
            <v>39904</v>
          </cell>
          <cell r="W39">
            <v>1</v>
          </cell>
          <cell r="X39" t="str">
            <v/>
          </cell>
          <cell r="Y39" t="str">
            <v/>
          </cell>
          <cell r="Z39" t="str">
            <v/>
          </cell>
          <cell r="AA39"/>
          <cell r="AB39">
            <v>0</v>
          </cell>
          <cell r="AC39" t="str">
            <v/>
          </cell>
          <cell r="AD39" t="str">
            <v/>
          </cell>
          <cell r="AE39" t="str">
            <v/>
          </cell>
          <cell r="AF39">
            <v>39904</v>
          </cell>
          <cell r="AG39">
            <v>0.93617021276595747</v>
          </cell>
          <cell r="AH39" t="str">
            <v/>
          </cell>
          <cell r="AI39"/>
          <cell r="AJ39" t="str">
            <v/>
          </cell>
        </row>
        <row r="40">
          <cell r="D40">
            <v>39934</v>
          </cell>
          <cell r="E40" t="str">
            <v/>
          </cell>
          <cell r="F40"/>
          <cell r="G40"/>
          <cell r="H40"/>
          <cell r="I40"/>
          <cell r="J40"/>
          <cell r="K40" t="str">
            <v/>
          </cell>
          <cell r="L40"/>
          <cell r="M40"/>
          <cell r="N40"/>
          <cell r="O40"/>
          <cell r="P40"/>
          <cell r="V40">
            <v>39934</v>
          </cell>
          <cell r="W40"/>
          <cell r="X40" t="str">
            <v/>
          </cell>
          <cell r="Y40" t="str">
            <v/>
          </cell>
          <cell r="Z40" t="str">
            <v/>
          </cell>
          <cell r="AA40"/>
          <cell r="AB40">
            <v>0</v>
          </cell>
          <cell r="AC40" t="str">
            <v/>
          </cell>
          <cell r="AD40" t="str">
            <v/>
          </cell>
          <cell r="AE40" t="str">
            <v/>
          </cell>
          <cell r="AF40">
            <v>39934</v>
          </cell>
          <cell r="AG40"/>
          <cell r="AH40" t="str">
            <v/>
          </cell>
          <cell r="AI40"/>
          <cell r="AJ40" t="str">
            <v/>
          </cell>
        </row>
        <row r="41">
          <cell r="D41">
            <v>39965</v>
          </cell>
          <cell r="E41" t="str">
            <v/>
          </cell>
          <cell r="F41"/>
          <cell r="G41"/>
          <cell r="H41"/>
          <cell r="I41"/>
          <cell r="J41"/>
          <cell r="K41" t="str">
            <v/>
          </cell>
          <cell r="L41"/>
          <cell r="M41"/>
          <cell r="N41"/>
          <cell r="O41"/>
          <cell r="P41"/>
          <cell r="V41">
            <v>39965</v>
          </cell>
          <cell r="W41"/>
          <cell r="X41" t="str">
            <v/>
          </cell>
          <cell r="Y41" t="str">
            <v/>
          </cell>
          <cell r="Z41" t="str">
            <v/>
          </cell>
          <cell r="AA41"/>
          <cell r="AB41">
            <v>0</v>
          </cell>
          <cell r="AC41" t="str">
            <v/>
          </cell>
          <cell r="AD41" t="str">
            <v/>
          </cell>
          <cell r="AE41" t="str">
            <v/>
          </cell>
          <cell r="AF41">
            <v>39965</v>
          </cell>
          <cell r="AG41"/>
          <cell r="AH41" t="str">
            <v/>
          </cell>
          <cell r="AI41"/>
          <cell r="AJ41" t="str">
            <v/>
          </cell>
        </row>
        <row r="42">
          <cell r="D42">
            <v>39995</v>
          </cell>
          <cell r="E42" t="str">
            <v/>
          </cell>
          <cell r="F42"/>
          <cell r="G42"/>
          <cell r="H42"/>
          <cell r="I42"/>
          <cell r="J42"/>
          <cell r="K42" t="str">
            <v/>
          </cell>
          <cell r="L42"/>
          <cell r="M42"/>
          <cell r="N42"/>
          <cell r="O42"/>
          <cell r="P42"/>
          <cell r="V42">
            <v>39995</v>
          </cell>
          <cell r="W42"/>
          <cell r="X42" t="str">
            <v/>
          </cell>
          <cell r="Y42" t="str">
            <v/>
          </cell>
          <cell r="Z42" t="str">
            <v/>
          </cell>
          <cell r="AA42"/>
          <cell r="AB42">
            <v>0</v>
          </cell>
          <cell r="AC42" t="str">
            <v/>
          </cell>
          <cell r="AD42" t="str">
            <v/>
          </cell>
          <cell r="AE42" t="str">
            <v/>
          </cell>
          <cell r="AF42">
            <v>39995</v>
          </cell>
          <cell r="AG42"/>
          <cell r="AH42" t="str">
            <v/>
          </cell>
          <cell r="AI42"/>
          <cell r="AJ42" t="str">
            <v/>
          </cell>
        </row>
        <row r="43">
          <cell r="D43">
            <v>40026</v>
          </cell>
          <cell r="E43" t="str">
            <v/>
          </cell>
          <cell r="F43"/>
          <cell r="G43"/>
          <cell r="H43"/>
          <cell r="I43"/>
          <cell r="J43"/>
          <cell r="K43" t="str">
            <v/>
          </cell>
          <cell r="L43"/>
          <cell r="M43"/>
          <cell r="N43"/>
          <cell r="O43"/>
          <cell r="P43"/>
          <cell r="V43">
            <v>40026</v>
          </cell>
          <cell r="W43"/>
          <cell r="X43" t="str">
            <v/>
          </cell>
          <cell r="Y43" t="str">
            <v/>
          </cell>
          <cell r="Z43" t="str">
            <v/>
          </cell>
          <cell r="AA43"/>
          <cell r="AB43">
            <v>0</v>
          </cell>
          <cell r="AC43" t="str">
            <v/>
          </cell>
          <cell r="AD43" t="str">
            <v/>
          </cell>
          <cell r="AE43" t="str">
            <v/>
          </cell>
          <cell r="AF43">
            <v>40026</v>
          </cell>
          <cell r="AG43"/>
          <cell r="AH43" t="str">
            <v/>
          </cell>
          <cell r="AI43"/>
          <cell r="AJ43" t="str">
            <v/>
          </cell>
        </row>
        <row r="44">
          <cell r="D44">
            <v>40057</v>
          </cell>
          <cell r="E44" t="str">
            <v/>
          </cell>
          <cell r="F44"/>
          <cell r="G44"/>
          <cell r="H44"/>
          <cell r="I44"/>
          <cell r="J44"/>
          <cell r="K44" t="str">
            <v/>
          </cell>
          <cell r="L44"/>
          <cell r="M44"/>
          <cell r="N44"/>
          <cell r="O44"/>
          <cell r="P44"/>
          <cell r="V44">
            <v>40057</v>
          </cell>
          <cell r="W44"/>
          <cell r="X44" t="str">
            <v/>
          </cell>
          <cell r="Y44" t="str">
            <v/>
          </cell>
          <cell r="Z44" t="str">
            <v/>
          </cell>
          <cell r="AA44"/>
          <cell r="AB44">
            <v>0</v>
          </cell>
          <cell r="AC44" t="str">
            <v/>
          </cell>
          <cell r="AD44" t="str">
            <v/>
          </cell>
          <cell r="AE44" t="str">
            <v/>
          </cell>
          <cell r="AF44">
            <v>40057</v>
          </cell>
          <cell r="AG44"/>
          <cell r="AH44" t="str">
            <v/>
          </cell>
          <cell r="AI44"/>
          <cell r="AJ44" t="str">
            <v/>
          </cell>
        </row>
      </sheetData>
      <sheetData sheetId="15">
        <row r="9">
          <cell r="D9"/>
          <cell r="E9" t="str">
            <v>Mensual</v>
          </cell>
          <cell r="F9"/>
          <cell r="G9"/>
          <cell r="H9"/>
          <cell r="I9"/>
          <cell r="J9"/>
          <cell r="K9" t="str">
            <v>Acumulado</v>
          </cell>
          <cell r="L9"/>
          <cell r="M9"/>
          <cell r="N9"/>
          <cell r="O9"/>
          <cell r="P9"/>
          <cell r="V9" t="str">
            <v>Mes</v>
          </cell>
          <cell r="W9"/>
          <cell r="X9"/>
          <cell r="Y9"/>
          <cell r="Z9"/>
          <cell r="AA9"/>
          <cell r="AB9"/>
          <cell r="AC9"/>
          <cell r="AD9"/>
          <cell r="AE9"/>
          <cell r="AF9" t="str">
            <v>Mes</v>
          </cell>
          <cell r="AG9"/>
          <cell r="AH9"/>
          <cell r="AI9"/>
          <cell r="AJ9"/>
        </row>
        <row r="10">
          <cell r="D10" t="str">
            <v>Fecha</v>
          </cell>
          <cell r="E10" t="str">
            <v>Estimado</v>
          </cell>
          <cell r="F10" t="str">
            <v>Performance</v>
          </cell>
          <cell r="G10"/>
          <cell r="H10"/>
          <cell r="I10" t="str">
            <v>Limites</v>
          </cell>
          <cell r="J10"/>
          <cell r="K10" t="str">
            <v>Estimado</v>
          </cell>
          <cell r="L10" t="str">
            <v>Performance</v>
          </cell>
          <cell r="M10"/>
          <cell r="N10"/>
          <cell r="O10" t="str">
            <v>Limites</v>
          </cell>
          <cell r="P10"/>
          <cell r="Q10"/>
          <cell r="R10"/>
          <cell r="S10"/>
          <cell r="T10"/>
          <cell r="U10"/>
          <cell r="V10"/>
          <cell r="W10" t="str">
            <v>Valores</v>
          </cell>
          <cell r="X10"/>
          <cell r="Y10" t="str">
            <v>Var 1.</v>
          </cell>
          <cell r="Z10"/>
          <cell r="AA10" t="str">
            <v>Proyectado</v>
          </cell>
          <cell r="AB10" t="str">
            <v>Anual</v>
          </cell>
          <cell r="AC10" t="str">
            <v>Var 2.</v>
          </cell>
          <cell r="AD10"/>
          <cell r="AE10" t="str">
            <v>% Avance 
del Año</v>
          </cell>
          <cell r="AF10"/>
          <cell r="AG10" t="str">
            <v>Valores</v>
          </cell>
          <cell r="AH10"/>
          <cell r="AI10" t="str">
            <v>Var 1.</v>
          </cell>
          <cell r="AJ10"/>
        </row>
        <row r="11">
          <cell r="D11"/>
          <cell r="E11"/>
          <cell r="F11"/>
          <cell r="G11"/>
          <cell r="H11"/>
          <cell r="I11" t="str">
            <v>Sup</v>
          </cell>
          <cell r="J11" t="str">
            <v>Inf</v>
          </cell>
          <cell r="K11"/>
          <cell r="L11"/>
          <cell r="M11"/>
          <cell r="N11"/>
          <cell r="O11" t="str">
            <v>Sup</v>
          </cell>
          <cell r="P11" t="str">
            <v>Inf</v>
          </cell>
          <cell r="Q11"/>
          <cell r="R11"/>
          <cell r="S11"/>
          <cell r="T11"/>
          <cell r="U11"/>
          <cell r="V11" t="str">
            <v>Fecha</v>
          </cell>
          <cell r="W11" t="str">
            <v>Anteriores</v>
          </cell>
          <cell r="X11" t="str">
            <v>Real</v>
          </cell>
          <cell r="Y11" t="str">
            <v>Unidades</v>
          </cell>
          <cell r="Z11" t="str">
            <v>%</v>
          </cell>
          <cell r="AA11"/>
          <cell r="AB11" t="str">
            <v>Proyectado</v>
          </cell>
          <cell r="AC11" t="str">
            <v>Unidades</v>
          </cell>
          <cell r="AD11" t="str">
            <v>%</v>
          </cell>
          <cell r="AE11"/>
          <cell r="AF11" t="str">
            <v>Fecha</v>
          </cell>
          <cell r="AG11" t="str">
            <v>Anteriores</v>
          </cell>
          <cell r="AH11" t="str">
            <v>Real</v>
          </cell>
          <cell r="AI11" t="str">
            <v>Unidades</v>
          </cell>
          <cell r="AJ11" t="str">
            <v>%</v>
          </cell>
        </row>
        <row r="12">
          <cell r="D12">
            <v>39083</v>
          </cell>
          <cell r="E12"/>
          <cell r="F12" t="str">
            <v/>
          </cell>
          <cell r="G12" t="str">
            <v/>
          </cell>
          <cell r="H12" t="str">
            <v/>
          </cell>
          <cell r="I12"/>
          <cell r="J12"/>
          <cell r="K12"/>
          <cell r="L12" t="str">
            <v/>
          </cell>
          <cell r="M12" t="str">
            <v/>
          </cell>
          <cell r="N12" t="str">
            <v/>
          </cell>
          <cell r="O12"/>
          <cell r="P12"/>
          <cell r="Q12"/>
          <cell r="R12"/>
          <cell r="S12"/>
          <cell r="T12"/>
          <cell r="U12"/>
          <cell r="V12">
            <v>39083</v>
          </cell>
          <cell r="W12"/>
          <cell r="X12"/>
          <cell r="Y12"/>
          <cell r="Z12"/>
          <cell r="AA12"/>
          <cell r="AB12">
            <v>0</v>
          </cell>
          <cell r="AC12" t="str">
            <v/>
          </cell>
          <cell r="AD12" t="str">
            <v/>
          </cell>
          <cell r="AE12" t="str">
            <v/>
          </cell>
          <cell r="AF12">
            <v>39083</v>
          </cell>
          <cell r="AG12"/>
          <cell r="AH12"/>
          <cell r="AI12" t="str">
            <v/>
          </cell>
          <cell r="AJ12"/>
        </row>
        <row r="13">
          <cell r="D13">
            <v>39114</v>
          </cell>
          <cell r="E13"/>
          <cell r="F13" t="str">
            <v/>
          </cell>
          <cell r="G13" t="str">
            <v/>
          </cell>
          <cell r="H13" t="str">
            <v/>
          </cell>
          <cell r="I13"/>
          <cell r="J13"/>
          <cell r="K13"/>
          <cell r="L13" t="str">
            <v/>
          </cell>
          <cell r="M13" t="str">
            <v/>
          </cell>
          <cell r="N13" t="str">
            <v/>
          </cell>
          <cell r="O13"/>
          <cell r="P13"/>
          <cell r="Q13"/>
          <cell r="R13"/>
          <cell r="S13"/>
          <cell r="T13"/>
          <cell r="U13"/>
          <cell r="V13">
            <v>39114</v>
          </cell>
          <cell r="W13"/>
          <cell r="X13"/>
          <cell r="Y13"/>
          <cell r="Z13"/>
          <cell r="AA13"/>
          <cell r="AB13">
            <v>0</v>
          </cell>
          <cell r="AC13" t="str">
            <v/>
          </cell>
          <cell r="AD13" t="str">
            <v/>
          </cell>
          <cell r="AE13" t="str">
            <v/>
          </cell>
          <cell r="AF13">
            <v>39114</v>
          </cell>
          <cell r="AG13"/>
          <cell r="AH13"/>
          <cell r="AI13" t="str">
            <v/>
          </cell>
          <cell r="AJ13"/>
        </row>
        <row r="14">
          <cell r="D14">
            <v>39142</v>
          </cell>
          <cell r="E14">
            <v>36.666666666666664</v>
          </cell>
          <cell r="F14" t="str">
            <v>c</v>
          </cell>
          <cell r="G14" t="str">
            <v>c</v>
          </cell>
          <cell r="H14" t="str">
            <v>g</v>
          </cell>
          <cell r="I14">
            <v>35</v>
          </cell>
          <cell r="J14">
            <v>30</v>
          </cell>
          <cell r="K14">
            <v>36.666666666666664</v>
          </cell>
          <cell r="L14" t="str">
            <v>c</v>
          </cell>
          <cell r="M14" t="str">
            <v>c</v>
          </cell>
          <cell r="N14" t="str">
            <v>g</v>
          </cell>
          <cell r="O14">
            <v>35</v>
          </cell>
          <cell r="P14">
            <v>30</v>
          </cell>
          <cell r="Q14"/>
          <cell r="R14"/>
          <cell r="S14"/>
          <cell r="T14"/>
          <cell r="U14"/>
          <cell r="V14">
            <v>39142</v>
          </cell>
          <cell r="W14"/>
          <cell r="X14">
            <v>36.666666666666664</v>
          </cell>
          <cell r="Y14">
            <v>36.666666666666664</v>
          </cell>
          <cell r="Z14"/>
          <cell r="AA14"/>
          <cell r="AB14">
            <v>0</v>
          </cell>
          <cell r="AC14" t="str">
            <v/>
          </cell>
          <cell r="AD14" t="str">
            <v/>
          </cell>
          <cell r="AE14" t="str">
            <v/>
          </cell>
          <cell r="AF14">
            <v>39142</v>
          </cell>
          <cell r="AG14"/>
          <cell r="AH14">
            <v>36.666666666666664</v>
          </cell>
          <cell r="AI14">
            <v>36.666666666666664</v>
          </cell>
          <cell r="AJ14"/>
        </row>
        <row r="15">
          <cell r="D15">
            <v>39173</v>
          </cell>
          <cell r="E15">
            <v>36.5</v>
          </cell>
          <cell r="F15" t="str">
            <v>c</v>
          </cell>
          <cell r="G15" t="str">
            <v>c</v>
          </cell>
          <cell r="H15" t="str">
            <v>g</v>
          </cell>
          <cell r="I15">
            <v>35</v>
          </cell>
          <cell r="J15">
            <v>30</v>
          </cell>
          <cell r="K15">
            <v>36.615384615384613</v>
          </cell>
          <cell r="L15" t="str">
            <v>c</v>
          </cell>
          <cell r="M15" t="str">
            <v>c</v>
          </cell>
          <cell r="N15" t="str">
            <v>g</v>
          </cell>
          <cell r="O15">
            <v>35</v>
          </cell>
          <cell r="P15">
            <v>30</v>
          </cell>
          <cell r="Q15"/>
          <cell r="R15"/>
          <cell r="S15"/>
          <cell r="T15"/>
          <cell r="U15"/>
          <cell r="V15">
            <v>39173</v>
          </cell>
          <cell r="W15"/>
          <cell r="X15">
            <v>36.5</v>
          </cell>
          <cell r="Y15">
            <v>36.5</v>
          </cell>
          <cell r="Z15"/>
          <cell r="AA15"/>
          <cell r="AB15">
            <v>0</v>
          </cell>
          <cell r="AC15" t="str">
            <v/>
          </cell>
          <cell r="AD15" t="str">
            <v/>
          </cell>
          <cell r="AE15" t="str">
            <v/>
          </cell>
          <cell r="AF15">
            <v>39173</v>
          </cell>
          <cell r="AG15"/>
          <cell r="AH15">
            <v>36.615384615384613</v>
          </cell>
          <cell r="AI15">
            <v>36.615384615384613</v>
          </cell>
          <cell r="AJ15"/>
        </row>
        <row r="16">
          <cell r="D16">
            <v>39203</v>
          </cell>
          <cell r="E16">
            <v>42.81818181818182</v>
          </cell>
          <cell r="F16" t="str">
            <v>c</v>
          </cell>
          <cell r="G16" t="str">
            <v>c</v>
          </cell>
          <cell r="H16" t="str">
            <v>g</v>
          </cell>
          <cell r="I16">
            <v>35</v>
          </cell>
          <cell r="J16">
            <v>30</v>
          </cell>
          <cell r="K16">
            <v>39.458333333333336</v>
          </cell>
          <cell r="L16" t="str">
            <v>c</v>
          </cell>
          <cell r="M16" t="str">
            <v>c</v>
          </cell>
          <cell r="N16" t="str">
            <v>g</v>
          </cell>
          <cell r="O16">
            <v>35</v>
          </cell>
          <cell r="P16">
            <v>30</v>
          </cell>
          <cell r="Q16"/>
          <cell r="R16"/>
          <cell r="S16"/>
          <cell r="T16"/>
          <cell r="U16"/>
          <cell r="V16">
            <v>39203</v>
          </cell>
          <cell r="W16"/>
          <cell r="X16">
            <v>42.81818181818182</v>
          </cell>
          <cell r="Y16">
            <v>42.81818181818182</v>
          </cell>
          <cell r="Z16"/>
          <cell r="AA16"/>
          <cell r="AB16">
            <v>0</v>
          </cell>
          <cell r="AC16" t="str">
            <v/>
          </cell>
          <cell r="AD16" t="str">
            <v/>
          </cell>
          <cell r="AE16" t="str">
            <v/>
          </cell>
          <cell r="AF16">
            <v>39203</v>
          </cell>
          <cell r="AG16"/>
          <cell r="AH16">
            <v>39.458333333333336</v>
          </cell>
          <cell r="AI16">
            <v>39.458333333333336</v>
          </cell>
          <cell r="AJ16"/>
        </row>
        <row r="17">
          <cell r="D17">
            <v>39234</v>
          </cell>
          <cell r="E17">
            <v>17.842105263157894</v>
          </cell>
          <cell r="F17" t="str">
            <v>g</v>
          </cell>
          <cell r="G17" t="str">
            <v>c</v>
          </cell>
          <cell r="H17" t="str">
            <v>c</v>
          </cell>
          <cell r="I17">
            <v>35</v>
          </cell>
          <cell r="J17">
            <v>30</v>
          </cell>
          <cell r="K17">
            <v>29.906976744186046</v>
          </cell>
          <cell r="L17" t="str">
            <v>g</v>
          </cell>
          <cell r="M17" t="str">
            <v>c</v>
          </cell>
          <cell r="N17" t="str">
            <v>c</v>
          </cell>
          <cell r="O17">
            <v>35</v>
          </cell>
          <cell r="P17">
            <v>30</v>
          </cell>
          <cell r="Q17"/>
          <cell r="R17"/>
          <cell r="S17"/>
          <cell r="T17"/>
          <cell r="U17"/>
          <cell r="V17">
            <v>39234</v>
          </cell>
          <cell r="W17"/>
          <cell r="X17">
            <v>17.842105263157894</v>
          </cell>
          <cell r="Y17">
            <v>17.842105263157894</v>
          </cell>
          <cell r="Z17"/>
          <cell r="AA17"/>
          <cell r="AB17">
            <v>0</v>
          </cell>
          <cell r="AC17" t="str">
            <v/>
          </cell>
          <cell r="AD17" t="str">
            <v/>
          </cell>
          <cell r="AE17" t="str">
            <v/>
          </cell>
          <cell r="AF17">
            <v>39234</v>
          </cell>
          <cell r="AG17"/>
          <cell r="AH17">
            <v>29.906976744186046</v>
          </cell>
          <cell r="AI17">
            <v>29.906976744186046</v>
          </cell>
          <cell r="AJ17"/>
        </row>
        <row r="18">
          <cell r="D18">
            <v>39264</v>
          </cell>
          <cell r="E18">
            <v>47.1</v>
          </cell>
          <cell r="F18" t="str">
            <v>c</v>
          </cell>
          <cell r="G18" t="str">
            <v>c</v>
          </cell>
          <cell r="H18" t="str">
            <v>g</v>
          </cell>
          <cell r="I18">
            <v>35</v>
          </cell>
          <cell r="J18">
            <v>30</v>
          </cell>
          <cell r="K18">
            <v>33.150943396226417</v>
          </cell>
          <cell r="L18" t="str">
            <v>c</v>
          </cell>
          <cell r="M18" t="str">
            <v>g</v>
          </cell>
          <cell r="N18" t="str">
            <v>c</v>
          </cell>
          <cell r="O18">
            <v>35</v>
          </cell>
          <cell r="P18">
            <v>30</v>
          </cell>
          <cell r="Q18"/>
          <cell r="R18"/>
          <cell r="S18"/>
          <cell r="T18"/>
          <cell r="U18"/>
          <cell r="V18">
            <v>39264</v>
          </cell>
          <cell r="W18"/>
          <cell r="X18">
            <v>47.1</v>
          </cell>
          <cell r="Y18">
            <v>47.1</v>
          </cell>
          <cell r="Z18"/>
          <cell r="AA18"/>
          <cell r="AB18">
            <v>0</v>
          </cell>
          <cell r="AC18" t="str">
            <v/>
          </cell>
          <cell r="AD18" t="str">
            <v/>
          </cell>
          <cell r="AE18" t="str">
            <v/>
          </cell>
          <cell r="AF18">
            <v>39264</v>
          </cell>
          <cell r="AG18"/>
          <cell r="AH18">
            <v>33.150943396226417</v>
          </cell>
          <cell r="AI18">
            <v>33.150943396226417</v>
          </cell>
          <cell r="AJ18"/>
        </row>
        <row r="19">
          <cell r="D19">
            <v>39295</v>
          </cell>
          <cell r="E19">
            <v>26.142857142857142</v>
          </cell>
          <cell r="F19" t="str">
            <v>g</v>
          </cell>
          <cell r="G19" t="str">
            <v>c</v>
          </cell>
          <cell r="H19" t="str">
            <v>c</v>
          </cell>
          <cell r="I19">
            <v>35</v>
          </cell>
          <cell r="J19">
            <v>30</v>
          </cell>
          <cell r="K19">
            <v>31.686567164179106</v>
          </cell>
          <cell r="L19" t="str">
            <v>c</v>
          </cell>
          <cell r="M19" t="str">
            <v>g</v>
          </cell>
          <cell r="N19" t="str">
            <v>c</v>
          </cell>
          <cell r="O19">
            <v>35</v>
          </cell>
          <cell r="P19">
            <v>30</v>
          </cell>
          <cell r="Q19"/>
          <cell r="R19"/>
          <cell r="S19"/>
          <cell r="T19"/>
          <cell r="U19"/>
          <cell r="V19">
            <v>39295</v>
          </cell>
          <cell r="W19"/>
          <cell r="X19">
            <v>26.142857142857142</v>
          </cell>
          <cell r="Y19">
            <v>26.142857142857142</v>
          </cell>
          <cell r="Z19"/>
          <cell r="AA19"/>
          <cell r="AB19">
            <v>0</v>
          </cell>
          <cell r="AC19" t="str">
            <v/>
          </cell>
          <cell r="AD19" t="str">
            <v/>
          </cell>
          <cell r="AE19" t="str">
            <v/>
          </cell>
          <cell r="AF19">
            <v>39295</v>
          </cell>
          <cell r="AG19"/>
          <cell r="AH19">
            <v>31.686567164179106</v>
          </cell>
          <cell r="AI19">
            <v>31.686567164179106</v>
          </cell>
          <cell r="AJ19" t="str">
            <v/>
          </cell>
        </row>
        <row r="20">
          <cell r="D20">
            <v>39326</v>
          </cell>
          <cell r="E20">
            <v>24.90909090909091</v>
          </cell>
          <cell r="F20" t="str">
            <v>g</v>
          </cell>
          <cell r="G20" t="str">
            <v>c</v>
          </cell>
          <cell r="H20" t="str">
            <v>c</v>
          </cell>
          <cell r="I20">
            <v>35</v>
          </cell>
          <cell r="J20">
            <v>30</v>
          </cell>
          <cell r="K20">
            <v>30.73076923076923</v>
          </cell>
          <cell r="L20" t="str">
            <v>c</v>
          </cell>
          <cell r="M20" t="str">
            <v>g</v>
          </cell>
          <cell r="N20" t="str">
            <v>c</v>
          </cell>
          <cell r="O20">
            <v>35</v>
          </cell>
          <cell r="P20">
            <v>30</v>
          </cell>
          <cell r="Q20"/>
          <cell r="R20"/>
          <cell r="S20"/>
          <cell r="T20"/>
          <cell r="U20"/>
          <cell r="V20">
            <v>39326</v>
          </cell>
          <cell r="W20"/>
          <cell r="X20">
            <v>24.90909090909091</v>
          </cell>
          <cell r="Y20">
            <v>24.90909090909091</v>
          </cell>
          <cell r="Z20"/>
          <cell r="AA20"/>
          <cell r="AB20">
            <v>0</v>
          </cell>
          <cell r="AC20" t="str">
            <v/>
          </cell>
          <cell r="AD20" t="str">
            <v/>
          </cell>
          <cell r="AE20" t="str">
            <v/>
          </cell>
          <cell r="AF20">
            <v>39326</v>
          </cell>
          <cell r="AG20"/>
          <cell r="AH20">
            <v>30.73076923076923</v>
          </cell>
          <cell r="AI20">
            <v>30.73076923076923</v>
          </cell>
          <cell r="AJ20" t="str">
            <v/>
          </cell>
        </row>
        <row r="21">
          <cell r="D21">
            <v>39356</v>
          </cell>
          <cell r="E21">
            <v>25.142857142857142</v>
          </cell>
          <cell r="F21" t="str">
            <v>g</v>
          </cell>
          <cell r="G21" t="str">
            <v>c</v>
          </cell>
          <cell r="H21" t="str">
            <v>c</v>
          </cell>
          <cell r="I21">
            <v>35</v>
          </cell>
          <cell r="J21">
            <v>30</v>
          </cell>
          <cell r="K21">
            <v>30.270588235294117</v>
          </cell>
          <cell r="L21" t="str">
            <v>c</v>
          </cell>
          <cell r="M21" t="str">
            <v>g</v>
          </cell>
          <cell r="N21" t="str">
            <v>c</v>
          </cell>
          <cell r="O21">
            <v>35</v>
          </cell>
          <cell r="P21">
            <v>30</v>
          </cell>
          <cell r="Q21"/>
          <cell r="R21"/>
          <cell r="S21"/>
          <cell r="T21"/>
          <cell r="U21"/>
          <cell r="V21">
            <v>39356</v>
          </cell>
          <cell r="W21"/>
          <cell r="X21">
            <v>25.142857142857142</v>
          </cell>
          <cell r="Y21">
            <v>25.142857142857142</v>
          </cell>
          <cell r="Z21"/>
          <cell r="AA21"/>
          <cell r="AB21">
            <v>0</v>
          </cell>
          <cell r="AC21" t="str">
            <v/>
          </cell>
          <cell r="AD21" t="str">
            <v/>
          </cell>
          <cell r="AE21" t="str">
            <v/>
          </cell>
          <cell r="AF21">
            <v>39356</v>
          </cell>
          <cell r="AG21"/>
          <cell r="AH21">
            <v>30.270588235294117</v>
          </cell>
          <cell r="AI21">
            <v>30.270588235294117</v>
          </cell>
          <cell r="AJ21" t="str">
            <v/>
          </cell>
        </row>
        <row r="22">
          <cell r="D22">
            <v>39387</v>
          </cell>
          <cell r="E22">
            <v>30.857142857142858</v>
          </cell>
          <cell r="F22" t="str">
            <v>c</v>
          </cell>
          <cell r="G22" t="str">
            <v>g</v>
          </cell>
          <cell r="H22" t="str">
            <v>c</v>
          </cell>
          <cell r="I22">
            <v>35</v>
          </cell>
          <cell r="J22">
            <v>30</v>
          </cell>
          <cell r="K22">
            <v>30.315217391304348</v>
          </cell>
          <cell r="L22" t="str">
            <v>c</v>
          </cell>
          <cell r="M22" t="str">
            <v>g</v>
          </cell>
          <cell r="N22" t="str">
            <v>c</v>
          </cell>
          <cell r="O22">
            <v>35</v>
          </cell>
          <cell r="P22">
            <v>30</v>
          </cell>
          <cell r="Q22"/>
          <cell r="R22"/>
          <cell r="S22"/>
          <cell r="T22"/>
          <cell r="U22"/>
          <cell r="V22">
            <v>39387</v>
          </cell>
          <cell r="W22"/>
          <cell r="X22">
            <v>30.857142857142858</v>
          </cell>
          <cell r="Y22">
            <v>30.857142857142858</v>
          </cell>
          <cell r="Z22"/>
          <cell r="AA22"/>
          <cell r="AB22">
            <v>0</v>
          </cell>
          <cell r="AC22" t="str">
            <v/>
          </cell>
          <cell r="AD22" t="str">
            <v/>
          </cell>
          <cell r="AE22" t="str">
            <v/>
          </cell>
          <cell r="AF22">
            <v>39387</v>
          </cell>
          <cell r="AG22"/>
          <cell r="AH22">
            <v>30.315217391304348</v>
          </cell>
          <cell r="AI22">
            <v>30.315217391304348</v>
          </cell>
          <cell r="AJ22" t="str">
            <v/>
          </cell>
        </row>
        <row r="23">
          <cell r="D23">
            <v>39417</v>
          </cell>
          <cell r="E23">
            <v>48</v>
          </cell>
          <cell r="F23" t="str">
            <v>c</v>
          </cell>
          <cell r="G23" t="str">
            <v>c</v>
          </cell>
          <cell r="H23" t="str">
            <v>g</v>
          </cell>
          <cell r="I23">
            <v>35</v>
          </cell>
          <cell r="J23">
            <v>30</v>
          </cell>
          <cell r="K23">
            <v>30.691489361702128</v>
          </cell>
          <cell r="L23" t="str">
            <v>c</v>
          </cell>
          <cell r="M23" t="str">
            <v>g</v>
          </cell>
          <cell r="N23" t="str">
            <v>c</v>
          </cell>
          <cell r="O23">
            <v>35</v>
          </cell>
          <cell r="P23">
            <v>30</v>
          </cell>
          <cell r="Q23"/>
          <cell r="R23"/>
          <cell r="S23"/>
          <cell r="T23"/>
          <cell r="U23"/>
          <cell r="V23">
            <v>39417</v>
          </cell>
          <cell r="W23"/>
          <cell r="X23">
            <v>48</v>
          </cell>
          <cell r="Y23">
            <v>48</v>
          </cell>
          <cell r="Z23"/>
          <cell r="AA23"/>
          <cell r="AB23">
            <v>0</v>
          </cell>
          <cell r="AC23" t="str">
            <v/>
          </cell>
          <cell r="AD23" t="str">
            <v/>
          </cell>
          <cell r="AE23" t="str">
            <v/>
          </cell>
          <cell r="AF23">
            <v>39417</v>
          </cell>
          <cell r="AG23"/>
          <cell r="AH23">
            <v>30.691489361702128</v>
          </cell>
          <cell r="AI23">
            <v>30.691489361702128</v>
          </cell>
          <cell r="AJ23" t="str">
            <v/>
          </cell>
        </row>
        <row r="24">
          <cell r="D24">
            <v>39448</v>
          </cell>
          <cell r="E24">
            <v>46.54054054054054</v>
          </cell>
          <cell r="F24" t="str">
            <v>c</v>
          </cell>
          <cell r="G24" t="str">
            <v>c</v>
          </cell>
          <cell r="H24" t="str">
            <v>g</v>
          </cell>
          <cell r="I24">
            <v>35</v>
          </cell>
          <cell r="J24">
            <v>30</v>
          </cell>
          <cell r="K24">
            <v>46.54054054054054</v>
          </cell>
          <cell r="L24" t="str">
            <v>c</v>
          </cell>
          <cell r="M24" t="str">
            <v>c</v>
          </cell>
          <cell r="N24" t="str">
            <v>g</v>
          </cell>
          <cell r="O24">
            <v>35</v>
          </cell>
          <cell r="P24">
            <v>30</v>
          </cell>
          <cell r="Q24"/>
          <cell r="R24"/>
          <cell r="S24"/>
          <cell r="T24"/>
          <cell r="U24"/>
          <cell r="V24">
            <v>39448</v>
          </cell>
          <cell r="W24"/>
          <cell r="X24">
            <v>46.54054054054054</v>
          </cell>
          <cell r="Y24">
            <v>46.54054054054054</v>
          </cell>
          <cell r="Z24"/>
          <cell r="AA24"/>
          <cell r="AB24">
            <v>0</v>
          </cell>
          <cell r="AC24" t="str">
            <v/>
          </cell>
          <cell r="AD24" t="str">
            <v/>
          </cell>
          <cell r="AE24" t="str">
            <v/>
          </cell>
          <cell r="AF24">
            <v>39448</v>
          </cell>
          <cell r="AG24"/>
          <cell r="AH24">
            <v>46.54054054054054</v>
          </cell>
          <cell r="AI24">
            <v>46.54054054054054</v>
          </cell>
          <cell r="AJ24" t="str">
            <v/>
          </cell>
        </row>
        <row r="25">
          <cell r="D25">
            <v>39479</v>
          </cell>
          <cell r="E25">
            <v>35.200000000000003</v>
          </cell>
          <cell r="F25" t="str">
            <v>c</v>
          </cell>
          <cell r="G25" t="str">
            <v>c</v>
          </cell>
          <cell r="H25" t="str">
            <v>g</v>
          </cell>
          <cell r="I25">
            <v>35</v>
          </cell>
          <cell r="J25">
            <v>30</v>
          </cell>
          <cell r="K25">
            <v>44.127659574468083</v>
          </cell>
          <cell r="L25" t="str">
            <v>c</v>
          </cell>
          <cell r="M25" t="str">
            <v>c</v>
          </cell>
          <cell r="N25" t="str">
            <v>g</v>
          </cell>
          <cell r="O25">
            <v>35</v>
          </cell>
          <cell r="P25">
            <v>30</v>
          </cell>
          <cell r="Q25"/>
          <cell r="R25"/>
          <cell r="S25"/>
          <cell r="T25"/>
          <cell r="U25"/>
          <cell r="V25">
            <v>39479</v>
          </cell>
          <cell r="W25"/>
          <cell r="X25">
            <v>35.200000000000003</v>
          </cell>
          <cell r="Y25">
            <v>35.200000000000003</v>
          </cell>
          <cell r="Z25"/>
          <cell r="AA25"/>
          <cell r="AB25">
            <v>0</v>
          </cell>
          <cell r="AC25" t="str">
            <v/>
          </cell>
          <cell r="AD25" t="str">
            <v/>
          </cell>
          <cell r="AE25" t="str">
            <v/>
          </cell>
          <cell r="AF25">
            <v>39479</v>
          </cell>
          <cell r="AG25"/>
          <cell r="AH25">
            <v>44.127659574468083</v>
          </cell>
          <cell r="AI25">
            <v>44.127659574468083</v>
          </cell>
          <cell r="AJ25" t="str">
            <v/>
          </cell>
        </row>
        <row r="26">
          <cell r="D26">
            <v>39508</v>
          </cell>
          <cell r="E26">
            <v>49.545454545454547</v>
          </cell>
          <cell r="F26" t="str">
            <v>c</v>
          </cell>
          <cell r="G26" t="str">
            <v>c</v>
          </cell>
          <cell r="H26" t="str">
            <v>g</v>
          </cell>
          <cell r="I26">
            <v>35</v>
          </cell>
          <cell r="J26">
            <v>30</v>
          </cell>
          <cell r="K26">
            <v>45.155172413793103</v>
          </cell>
          <cell r="L26" t="str">
            <v>c</v>
          </cell>
          <cell r="M26" t="str">
            <v>c</v>
          </cell>
          <cell r="N26" t="str">
            <v>g</v>
          </cell>
          <cell r="O26">
            <v>35</v>
          </cell>
          <cell r="P26">
            <v>30</v>
          </cell>
          <cell r="Q26"/>
          <cell r="R26"/>
          <cell r="S26"/>
          <cell r="T26"/>
          <cell r="U26"/>
          <cell r="V26">
            <v>39508</v>
          </cell>
          <cell r="W26">
            <v>36.666666666666664</v>
          </cell>
          <cell r="X26">
            <v>49.545454545454547</v>
          </cell>
          <cell r="Y26">
            <v>12.878787878787882</v>
          </cell>
          <cell r="Z26">
            <v>0.35123966942148765</v>
          </cell>
          <cell r="AA26"/>
          <cell r="AB26">
            <v>0</v>
          </cell>
          <cell r="AC26" t="str">
            <v/>
          </cell>
          <cell r="AD26" t="str">
            <v/>
          </cell>
          <cell r="AE26" t="str">
            <v/>
          </cell>
          <cell r="AF26">
            <v>39508</v>
          </cell>
          <cell r="AG26"/>
          <cell r="AH26">
            <v>45.155172413793103</v>
          </cell>
          <cell r="AI26">
            <v>45.155172413793103</v>
          </cell>
          <cell r="AJ26" t="str">
            <v/>
          </cell>
        </row>
        <row r="27">
          <cell r="D27">
            <v>39539</v>
          </cell>
          <cell r="E27">
            <v>41.4</v>
          </cell>
          <cell r="F27" t="str">
            <v>c</v>
          </cell>
          <cell r="G27" t="str">
            <v>c</v>
          </cell>
          <cell r="H27" t="str">
            <v>g</v>
          </cell>
          <cell r="I27">
            <v>35</v>
          </cell>
          <cell r="J27">
            <v>30</v>
          </cell>
          <cell r="K27">
            <v>44.602941176470587</v>
          </cell>
          <cell r="L27" t="str">
            <v>c</v>
          </cell>
          <cell r="M27" t="str">
            <v>c</v>
          </cell>
          <cell r="N27" t="str">
            <v>g</v>
          </cell>
          <cell r="O27">
            <v>35</v>
          </cell>
          <cell r="P27">
            <v>30</v>
          </cell>
          <cell r="Q27"/>
          <cell r="R27"/>
          <cell r="S27"/>
          <cell r="T27"/>
          <cell r="U27"/>
          <cell r="V27">
            <v>39539</v>
          </cell>
          <cell r="W27">
            <v>36.5</v>
          </cell>
          <cell r="X27">
            <v>41.4</v>
          </cell>
          <cell r="Y27">
            <v>4.8999999999999986</v>
          </cell>
          <cell r="Z27">
            <v>0.13424657534246576</v>
          </cell>
          <cell r="AA27"/>
          <cell r="AB27">
            <v>0</v>
          </cell>
          <cell r="AC27" t="str">
            <v/>
          </cell>
          <cell r="AD27" t="str">
            <v/>
          </cell>
          <cell r="AE27" t="str">
            <v/>
          </cell>
          <cell r="AF27">
            <v>39539</v>
          </cell>
          <cell r="AG27"/>
          <cell r="AH27">
            <v>44.602941176470587</v>
          </cell>
          <cell r="AI27">
            <v>44.602941176470587</v>
          </cell>
          <cell r="AJ27" t="str">
            <v/>
          </cell>
        </row>
        <row r="28">
          <cell r="D28">
            <v>39569</v>
          </cell>
          <cell r="E28">
            <v>28</v>
          </cell>
          <cell r="F28" t="str">
            <v>g</v>
          </cell>
          <cell r="G28" t="str">
            <v>c</v>
          </cell>
          <cell r="H28" t="str">
            <v>c</v>
          </cell>
          <cell r="I28">
            <v>35</v>
          </cell>
          <cell r="J28">
            <v>30</v>
          </cell>
          <cell r="K28">
            <v>44.362318840579711</v>
          </cell>
          <cell r="L28" t="str">
            <v>c</v>
          </cell>
          <cell r="M28" t="str">
            <v>c</v>
          </cell>
          <cell r="N28" t="str">
            <v>g</v>
          </cell>
          <cell r="O28">
            <v>35</v>
          </cell>
          <cell r="P28">
            <v>30</v>
          </cell>
          <cell r="Q28"/>
          <cell r="R28"/>
          <cell r="S28"/>
          <cell r="T28"/>
          <cell r="U28"/>
          <cell r="V28">
            <v>39569</v>
          </cell>
          <cell r="W28">
            <v>42.81818181818182</v>
          </cell>
          <cell r="X28">
            <v>28</v>
          </cell>
          <cell r="Y28">
            <v>-14.81818181818182</v>
          </cell>
          <cell r="Z28">
            <v>-0.34607218683651808</v>
          </cell>
          <cell r="AA28"/>
          <cell r="AB28">
            <v>0</v>
          </cell>
          <cell r="AC28" t="str">
            <v/>
          </cell>
          <cell r="AD28" t="str">
            <v/>
          </cell>
          <cell r="AE28" t="str">
            <v/>
          </cell>
          <cell r="AF28">
            <v>39569</v>
          </cell>
          <cell r="AG28"/>
          <cell r="AH28">
            <v>44.362318840579711</v>
          </cell>
          <cell r="AI28">
            <v>44.362318840579711</v>
          </cell>
          <cell r="AJ28" t="str">
            <v/>
          </cell>
        </row>
        <row r="29">
          <cell r="D29">
            <v>39600</v>
          </cell>
          <cell r="E29">
            <v>40</v>
          </cell>
          <cell r="F29" t="str">
            <v>c</v>
          </cell>
          <cell r="G29" t="str">
            <v>c</v>
          </cell>
          <cell r="H29" t="str">
            <v>g</v>
          </cell>
          <cell r="I29">
            <v>35</v>
          </cell>
          <cell r="J29">
            <v>30</v>
          </cell>
          <cell r="K29">
            <v>44.067567567567565</v>
          </cell>
          <cell r="L29" t="str">
            <v>c</v>
          </cell>
          <cell r="M29" t="str">
            <v>c</v>
          </cell>
          <cell r="N29" t="str">
            <v>g</v>
          </cell>
          <cell r="O29">
            <v>35</v>
          </cell>
          <cell r="P29">
            <v>30</v>
          </cell>
          <cell r="Q29"/>
          <cell r="R29"/>
          <cell r="S29"/>
          <cell r="T29"/>
          <cell r="U29"/>
          <cell r="V29">
            <v>39600</v>
          </cell>
          <cell r="W29">
            <v>17.842105263157894</v>
          </cell>
          <cell r="X29">
            <v>40</v>
          </cell>
          <cell r="Y29">
            <v>22.157894736842106</v>
          </cell>
          <cell r="Z29">
            <v>1.2418879056047198</v>
          </cell>
          <cell r="AA29"/>
          <cell r="AB29">
            <v>0</v>
          </cell>
          <cell r="AC29" t="str">
            <v/>
          </cell>
          <cell r="AD29" t="str">
            <v/>
          </cell>
          <cell r="AE29" t="str">
            <v/>
          </cell>
          <cell r="AF29">
            <v>39600</v>
          </cell>
          <cell r="AG29"/>
          <cell r="AH29">
            <v>44.067567567567565</v>
          </cell>
          <cell r="AI29">
            <v>44.067567567567565</v>
          </cell>
          <cell r="AJ29" t="str">
            <v/>
          </cell>
        </row>
        <row r="30">
          <cell r="D30">
            <v>39630</v>
          </cell>
          <cell r="E30">
            <v>37.285714285714285</v>
          </cell>
          <cell r="F30" t="str">
            <v>c</v>
          </cell>
          <cell r="G30" t="str">
            <v>c</v>
          </cell>
          <cell r="H30" t="str">
            <v>g</v>
          </cell>
          <cell r="I30">
            <v>35</v>
          </cell>
          <cell r="J30">
            <v>30</v>
          </cell>
          <cell r="K30">
            <v>43.481481481481481</v>
          </cell>
          <cell r="L30" t="str">
            <v>c</v>
          </cell>
          <cell r="M30" t="str">
            <v>c</v>
          </cell>
          <cell r="N30" t="str">
            <v>g</v>
          </cell>
          <cell r="O30">
            <v>35</v>
          </cell>
          <cell r="P30">
            <v>30</v>
          </cell>
          <cell r="Q30"/>
          <cell r="R30"/>
          <cell r="S30"/>
          <cell r="T30"/>
          <cell r="U30"/>
          <cell r="V30">
            <v>39630</v>
          </cell>
          <cell r="W30">
            <v>47.1</v>
          </cell>
          <cell r="X30">
            <v>37.285714285714285</v>
          </cell>
          <cell r="Y30">
            <v>-9.8142857142857167</v>
          </cell>
          <cell r="Z30">
            <v>-0.20837124658780715</v>
          </cell>
          <cell r="AA30"/>
          <cell r="AB30">
            <v>0</v>
          </cell>
          <cell r="AC30" t="str">
            <v/>
          </cell>
          <cell r="AD30" t="str">
            <v/>
          </cell>
          <cell r="AE30" t="str">
            <v/>
          </cell>
          <cell r="AF30">
            <v>39630</v>
          </cell>
          <cell r="AG30"/>
          <cell r="AH30">
            <v>43.481481481481481</v>
          </cell>
          <cell r="AI30">
            <v>43.481481481481481</v>
          </cell>
          <cell r="AJ30" t="str">
            <v/>
          </cell>
        </row>
        <row r="31">
          <cell r="D31">
            <v>39661</v>
          </cell>
          <cell r="E31">
            <v>25.125</v>
          </cell>
          <cell r="F31" t="str">
            <v>g</v>
          </cell>
          <cell r="G31" t="str">
            <v>c</v>
          </cell>
          <cell r="H31" t="str">
            <v>c</v>
          </cell>
          <cell r="I31">
            <v>35</v>
          </cell>
          <cell r="J31">
            <v>30</v>
          </cell>
          <cell r="K31">
            <v>41.831460674157306</v>
          </cell>
          <cell r="L31" t="str">
            <v>c</v>
          </cell>
          <cell r="M31" t="str">
            <v>c</v>
          </cell>
          <cell r="N31" t="str">
            <v>g</v>
          </cell>
          <cell r="O31">
            <v>35</v>
          </cell>
          <cell r="P31">
            <v>30</v>
          </cell>
          <cell r="Q31"/>
          <cell r="R31"/>
          <cell r="S31"/>
          <cell r="T31"/>
          <cell r="U31"/>
          <cell r="V31">
            <v>39661</v>
          </cell>
          <cell r="W31">
            <v>26.142857142857142</v>
          </cell>
          <cell r="X31">
            <v>25.125</v>
          </cell>
          <cell r="Y31">
            <v>-1.0178571428571423</v>
          </cell>
          <cell r="Z31">
            <v>-3.8934426229508157E-2</v>
          </cell>
          <cell r="AA31"/>
          <cell r="AB31">
            <v>0</v>
          </cell>
          <cell r="AC31" t="str">
            <v/>
          </cell>
          <cell r="AD31" t="str">
            <v/>
          </cell>
          <cell r="AE31" t="str">
            <v/>
          </cell>
          <cell r="AF31">
            <v>39661</v>
          </cell>
          <cell r="AG31">
            <v>31.686567164179106</v>
          </cell>
          <cell r="AH31">
            <v>41.831460674157306</v>
          </cell>
          <cell r="AI31">
            <v>10.1448935099782</v>
          </cell>
          <cell r="AJ31">
            <v>0.32016385547269866</v>
          </cell>
        </row>
        <row r="32">
          <cell r="D32">
            <v>39692</v>
          </cell>
          <cell r="E32">
            <v>30</v>
          </cell>
          <cell r="F32" t="str">
            <v>g</v>
          </cell>
          <cell r="G32" t="str">
            <v>c</v>
          </cell>
          <cell r="H32" t="str">
            <v>c</v>
          </cell>
          <cell r="I32">
            <v>35</v>
          </cell>
          <cell r="J32">
            <v>30</v>
          </cell>
          <cell r="K32">
            <v>41.7</v>
          </cell>
          <cell r="L32" t="str">
            <v>c</v>
          </cell>
          <cell r="M32" t="str">
            <v>c</v>
          </cell>
          <cell r="N32" t="str">
            <v>g</v>
          </cell>
          <cell r="O32">
            <v>35</v>
          </cell>
          <cell r="P32">
            <v>30</v>
          </cell>
          <cell r="Q32"/>
          <cell r="R32"/>
          <cell r="S32"/>
          <cell r="T32"/>
          <cell r="U32"/>
          <cell r="V32">
            <v>39692</v>
          </cell>
          <cell r="W32">
            <v>24.90909090909091</v>
          </cell>
          <cell r="X32">
            <v>30</v>
          </cell>
          <cell r="Y32">
            <v>5.0909090909090899</v>
          </cell>
          <cell r="Z32">
            <v>0.20437956204379559</v>
          </cell>
          <cell r="AA32"/>
          <cell r="AB32">
            <v>0</v>
          </cell>
          <cell r="AC32" t="str">
            <v/>
          </cell>
          <cell r="AD32" t="str">
            <v/>
          </cell>
          <cell r="AE32" t="str">
            <v/>
          </cell>
          <cell r="AF32">
            <v>39692</v>
          </cell>
          <cell r="AG32">
            <v>30.73076923076923</v>
          </cell>
          <cell r="AH32">
            <v>41.7</v>
          </cell>
          <cell r="AI32"/>
          <cell r="AJ32">
            <v>0.35694618272841061</v>
          </cell>
        </row>
        <row r="33">
          <cell r="D33">
            <v>39722</v>
          </cell>
          <cell r="E33">
            <v>29.111111111111111</v>
          </cell>
          <cell r="F33" t="str">
            <v>g</v>
          </cell>
          <cell r="G33" t="str">
            <v>c</v>
          </cell>
          <cell r="H33" t="str">
            <v>c</v>
          </cell>
          <cell r="I33">
            <v>35</v>
          </cell>
          <cell r="J33">
            <v>30</v>
          </cell>
          <cell r="K33">
            <v>40.555555555555557</v>
          </cell>
          <cell r="L33" t="str">
            <v>c</v>
          </cell>
          <cell r="M33" t="str">
            <v>c</v>
          </cell>
          <cell r="N33" t="str">
            <v>g</v>
          </cell>
          <cell r="O33">
            <v>35</v>
          </cell>
          <cell r="P33">
            <v>30</v>
          </cell>
          <cell r="Q33"/>
          <cell r="R33"/>
          <cell r="S33"/>
          <cell r="T33"/>
          <cell r="U33"/>
          <cell r="V33">
            <v>39722</v>
          </cell>
          <cell r="W33">
            <v>25.142857142857142</v>
          </cell>
          <cell r="X33">
            <v>29.111111111111111</v>
          </cell>
          <cell r="Y33">
            <v>3.9682539682539684</v>
          </cell>
          <cell r="Z33">
            <v>0.15782828282828287</v>
          </cell>
          <cell r="AA33"/>
          <cell r="AB33">
            <v>0</v>
          </cell>
          <cell r="AC33" t="str">
            <v/>
          </cell>
          <cell r="AD33" t="str">
            <v/>
          </cell>
          <cell r="AE33" t="str">
            <v/>
          </cell>
          <cell r="AF33">
            <v>39722</v>
          </cell>
          <cell r="AG33">
            <v>30.270588235294117</v>
          </cell>
          <cell r="AH33">
            <v>40.555555555555557</v>
          </cell>
          <cell r="AI33"/>
          <cell r="AJ33">
            <v>0.33976767284190545</v>
          </cell>
        </row>
        <row r="34">
          <cell r="D34">
            <v>39753</v>
          </cell>
          <cell r="E34">
            <v>18.333333333333332</v>
          </cell>
          <cell r="F34" t="str">
            <v>g</v>
          </cell>
          <cell r="G34" t="str">
            <v>c</v>
          </cell>
          <cell r="H34" t="str">
            <v>c</v>
          </cell>
          <cell r="I34">
            <v>35</v>
          </cell>
          <cell r="J34">
            <v>30</v>
          </cell>
          <cell r="K34">
            <v>39.901960784313722</v>
          </cell>
          <cell r="L34" t="str">
            <v>c</v>
          </cell>
          <cell r="M34" t="str">
            <v>c</v>
          </cell>
          <cell r="N34" t="str">
            <v>g</v>
          </cell>
          <cell r="O34">
            <v>35</v>
          </cell>
          <cell r="P34">
            <v>30</v>
          </cell>
          <cell r="Q34"/>
          <cell r="R34"/>
          <cell r="S34"/>
          <cell r="T34"/>
          <cell r="U34"/>
          <cell r="V34">
            <v>39753</v>
          </cell>
          <cell r="W34">
            <v>30.857142857142858</v>
          </cell>
          <cell r="X34">
            <v>18</v>
          </cell>
          <cell r="Y34">
            <v>-12.857142857142858</v>
          </cell>
          <cell r="Z34">
            <v>-0.41666666666666663</v>
          </cell>
          <cell r="AA34"/>
          <cell r="AB34">
            <v>0</v>
          </cell>
          <cell r="AC34" t="str">
            <v/>
          </cell>
          <cell r="AD34" t="str">
            <v/>
          </cell>
          <cell r="AE34" t="str">
            <v/>
          </cell>
          <cell r="AF34">
            <v>39753</v>
          </cell>
          <cell r="AG34">
            <v>30.315217391304348</v>
          </cell>
          <cell r="AH34">
            <v>39.901960784313722</v>
          </cell>
          <cell r="AI34"/>
          <cell r="AJ34">
            <v>0.31623535036101202</v>
          </cell>
        </row>
        <row r="35">
          <cell r="D35">
            <v>39783</v>
          </cell>
          <cell r="E35">
            <v>7</v>
          </cell>
          <cell r="F35" t="str">
            <v>g</v>
          </cell>
          <cell r="G35" t="str">
            <v>c</v>
          </cell>
          <cell r="H35" t="str">
            <v>c</v>
          </cell>
          <cell r="I35">
            <v>35</v>
          </cell>
          <cell r="J35">
            <v>30</v>
          </cell>
          <cell r="K35">
            <v>39.582524271844662</v>
          </cell>
          <cell r="L35" t="str">
            <v>c</v>
          </cell>
          <cell r="M35" t="str">
            <v>c</v>
          </cell>
          <cell r="N35" t="str">
            <v>g</v>
          </cell>
          <cell r="O35">
            <v>35</v>
          </cell>
          <cell r="P35">
            <v>30</v>
          </cell>
          <cell r="Q35"/>
          <cell r="R35"/>
          <cell r="S35"/>
          <cell r="T35"/>
          <cell r="U35"/>
          <cell r="V35">
            <v>39783</v>
          </cell>
          <cell r="W35">
            <v>48</v>
          </cell>
          <cell r="X35">
            <v>7</v>
          </cell>
          <cell r="Y35">
            <v>-41</v>
          </cell>
          <cell r="Z35">
            <v>-0.85416666666666663</v>
          </cell>
          <cell r="AA35"/>
          <cell r="AB35">
            <v>0</v>
          </cell>
          <cell r="AC35" t="str">
            <v/>
          </cell>
          <cell r="AD35" t="str">
            <v/>
          </cell>
          <cell r="AE35" t="str">
            <v/>
          </cell>
          <cell r="AF35">
            <v>39783</v>
          </cell>
          <cell r="AG35">
            <v>30.691489361702128</v>
          </cell>
          <cell r="AH35">
            <v>39.582524271844662</v>
          </cell>
          <cell r="AI35"/>
          <cell r="AJ35">
            <v>0.28969056552977412</v>
          </cell>
        </row>
        <row r="36">
          <cell r="D36">
            <v>39814</v>
          </cell>
          <cell r="E36" t="str">
            <v/>
          </cell>
          <cell r="F36"/>
          <cell r="G36"/>
          <cell r="H36"/>
          <cell r="I36"/>
          <cell r="J36"/>
          <cell r="K36" t="str">
            <v/>
          </cell>
          <cell r="L36"/>
          <cell r="M36"/>
          <cell r="N36"/>
          <cell r="O36"/>
          <cell r="P36"/>
          <cell r="Q36"/>
          <cell r="R36"/>
          <cell r="S36"/>
          <cell r="T36"/>
          <cell r="U36"/>
          <cell r="V36">
            <v>39814</v>
          </cell>
          <cell r="W36">
            <v>46.54054054054054</v>
          </cell>
          <cell r="X36" t="str">
            <v/>
          </cell>
          <cell r="Y36" t="str">
            <v/>
          </cell>
          <cell r="Z36" t="str">
            <v/>
          </cell>
          <cell r="AA36"/>
          <cell r="AB36">
            <v>0</v>
          </cell>
          <cell r="AC36" t="str">
            <v/>
          </cell>
          <cell r="AD36" t="str">
            <v/>
          </cell>
          <cell r="AE36" t="str">
            <v/>
          </cell>
          <cell r="AF36">
            <v>39814</v>
          </cell>
          <cell r="AG36">
            <v>46.54054054054054</v>
          </cell>
          <cell r="AH36" t="str">
            <v/>
          </cell>
          <cell r="AI36"/>
          <cell r="AJ36" t="str">
            <v/>
          </cell>
        </row>
        <row r="37">
          <cell r="D37">
            <v>39845</v>
          </cell>
          <cell r="E37" t="str">
            <v/>
          </cell>
          <cell r="F37"/>
          <cell r="G37"/>
          <cell r="H37"/>
          <cell r="I37"/>
          <cell r="J37"/>
          <cell r="K37" t="str">
            <v/>
          </cell>
          <cell r="L37"/>
          <cell r="M37"/>
          <cell r="N37"/>
          <cell r="O37"/>
          <cell r="P37"/>
          <cell r="Q37"/>
          <cell r="R37"/>
          <cell r="S37"/>
          <cell r="T37"/>
          <cell r="U37"/>
          <cell r="V37">
            <v>39845</v>
          </cell>
          <cell r="W37">
            <v>35.200000000000003</v>
          </cell>
          <cell r="X37" t="str">
            <v/>
          </cell>
          <cell r="Y37" t="str">
            <v/>
          </cell>
          <cell r="Z37" t="str">
            <v/>
          </cell>
          <cell r="AA37"/>
          <cell r="AB37">
            <v>0</v>
          </cell>
          <cell r="AC37" t="str">
            <v/>
          </cell>
          <cell r="AD37" t="str">
            <v/>
          </cell>
          <cell r="AE37" t="str">
            <v/>
          </cell>
          <cell r="AF37">
            <v>39845</v>
          </cell>
          <cell r="AG37">
            <v>44.127659574468083</v>
          </cell>
          <cell r="AH37" t="str">
            <v/>
          </cell>
          <cell r="AI37"/>
          <cell r="AJ37" t="str">
            <v/>
          </cell>
        </row>
        <row r="38">
          <cell r="D38">
            <v>39873</v>
          </cell>
          <cell r="E38" t="str">
            <v/>
          </cell>
          <cell r="F38"/>
          <cell r="G38"/>
          <cell r="H38"/>
          <cell r="I38"/>
          <cell r="J38"/>
          <cell r="K38" t="str">
            <v/>
          </cell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>
            <v>39873</v>
          </cell>
          <cell r="W38">
            <v>49.545454545454547</v>
          </cell>
          <cell r="X38" t="str">
            <v/>
          </cell>
          <cell r="Y38" t="str">
            <v/>
          </cell>
          <cell r="Z38" t="str">
            <v/>
          </cell>
          <cell r="AA38"/>
          <cell r="AB38">
            <v>0</v>
          </cell>
          <cell r="AC38" t="str">
            <v/>
          </cell>
          <cell r="AD38" t="str">
            <v/>
          </cell>
          <cell r="AE38" t="str">
            <v/>
          </cell>
          <cell r="AF38">
            <v>39873</v>
          </cell>
          <cell r="AG38">
            <v>45.155172413793103</v>
          </cell>
          <cell r="AH38" t="str">
            <v/>
          </cell>
          <cell r="AI38"/>
          <cell r="AJ38" t="str">
            <v/>
          </cell>
        </row>
        <row r="39">
          <cell r="D39">
            <v>39904</v>
          </cell>
          <cell r="E39" t="str">
            <v/>
          </cell>
          <cell r="F39"/>
          <cell r="G39"/>
          <cell r="H39"/>
          <cell r="I39"/>
          <cell r="J39"/>
          <cell r="K39" t="str">
            <v/>
          </cell>
          <cell r="L39"/>
          <cell r="M39"/>
          <cell r="N39"/>
          <cell r="O39"/>
          <cell r="P39"/>
          <cell r="V39">
            <v>39904</v>
          </cell>
          <cell r="W39">
            <v>41.4</v>
          </cell>
          <cell r="X39" t="str">
            <v/>
          </cell>
          <cell r="Y39" t="str">
            <v/>
          </cell>
          <cell r="Z39" t="str">
            <v/>
          </cell>
          <cell r="AA39"/>
          <cell r="AB39">
            <v>0</v>
          </cell>
          <cell r="AC39" t="str">
            <v/>
          </cell>
          <cell r="AD39" t="str">
            <v/>
          </cell>
          <cell r="AE39" t="str">
            <v/>
          </cell>
          <cell r="AF39">
            <v>39904</v>
          </cell>
          <cell r="AG39">
            <v>44.602941176470587</v>
          </cell>
          <cell r="AH39" t="str">
            <v/>
          </cell>
          <cell r="AI39"/>
          <cell r="AJ39" t="str">
            <v/>
          </cell>
        </row>
        <row r="40">
          <cell r="D40">
            <v>39934</v>
          </cell>
          <cell r="E40" t="str">
            <v/>
          </cell>
          <cell r="F40"/>
          <cell r="G40"/>
          <cell r="H40"/>
          <cell r="I40"/>
          <cell r="J40"/>
          <cell r="K40" t="str">
            <v/>
          </cell>
          <cell r="L40"/>
          <cell r="M40"/>
          <cell r="N40"/>
          <cell r="O40"/>
          <cell r="P40"/>
          <cell r="V40">
            <v>39934</v>
          </cell>
          <cell r="W40"/>
          <cell r="X40" t="str">
            <v/>
          </cell>
          <cell r="Y40" t="str">
            <v/>
          </cell>
          <cell r="Z40" t="str">
            <v/>
          </cell>
          <cell r="AA40"/>
          <cell r="AB40">
            <v>0</v>
          </cell>
          <cell r="AC40" t="str">
            <v/>
          </cell>
          <cell r="AD40" t="str">
            <v/>
          </cell>
          <cell r="AE40" t="str">
            <v/>
          </cell>
          <cell r="AF40">
            <v>39934</v>
          </cell>
          <cell r="AG40"/>
          <cell r="AH40" t="str">
            <v/>
          </cell>
          <cell r="AI40"/>
          <cell r="AJ40" t="str">
            <v/>
          </cell>
        </row>
        <row r="41">
          <cell r="D41">
            <v>39965</v>
          </cell>
          <cell r="E41" t="str">
            <v/>
          </cell>
          <cell r="F41"/>
          <cell r="G41"/>
          <cell r="H41"/>
          <cell r="I41"/>
          <cell r="J41"/>
          <cell r="K41" t="str">
            <v/>
          </cell>
          <cell r="L41"/>
          <cell r="M41"/>
          <cell r="N41"/>
          <cell r="O41"/>
          <cell r="P41"/>
          <cell r="V41">
            <v>39965</v>
          </cell>
          <cell r="W41"/>
          <cell r="X41" t="str">
            <v/>
          </cell>
          <cell r="Y41" t="str">
            <v/>
          </cell>
          <cell r="Z41" t="str">
            <v/>
          </cell>
          <cell r="AA41"/>
          <cell r="AB41">
            <v>0</v>
          </cell>
          <cell r="AC41" t="str">
            <v/>
          </cell>
          <cell r="AD41" t="str">
            <v/>
          </cell>
          <cell r="AE41" t="str">
            <v/>
          </cell>
          <cell r="AF41">
            <v>39965</v>
          </cell>
          <cell r="AG41"/>
          <cell r="AH41" t="str">
            <v/>
          </cell>
          <cell r="AI41"/>
          <cell r="AJ41" t="str">
            <v/>
          </cell>
        </row>
        <row r="42">
          <cell r="D42">
            <v>39995</v>
          </cell>
          <cell r="E42" t="str">
            <v/>
          </cell>
          <cell r="F42"/>
          <cell r="G42"/>
          <cell r="H42"/>
          <cell r="I42"/>
          <cell r="J42"/>
          <cell r="K42" t="str">
            <v/>
          </cell>
          <cell r="L42"/>
          <cell r="M42"/>
          <cell r="N42"/>
          <cell r="O42"/>
          <cell r="P42"/>
          <cell r="V42">
            <v>39995</v>
          </cell>
          <cell r="W42"/>
          <cell r="X42" t="str">
            <v/>
          </cell>
          <cell r="Y42" t="str">
            <v/>
          </cell>
          <cell r="Z42" t="str">
            <v/>
          </cell>
          <cell r="AA42"/>
          <cell r="AB42">
            <v>0</v>
          </cell>
          <cell r="AC42" t="str">
            <v/>
          </cell>
          <cell r="AD42" t="str">
            <v/>
          </cell>
          <cell r="AE42" t="str">
            <v/>
          </cell>
          <cell r="AF42">
            <v>39995</v>
          </cell>
          <cell r="AG42"/>
          <cell r="AH42" t="str">
            <v/>
          </cell>
          <cell r="AI42"/>
          <cell r="AJ42" t="str">
            <v/>
          </cell>
        </row>
        <row r="43">
          <cell r="D43">
            <v>40026</v>
          </cell>
          <cell r="E43" t="str">
            <v/>
          </cell>
          <cell r="F43"/>
          <cell r="G43"/>
          <cell r="H43"/>
          <cell r="I43"/>
          <cell r="J43"/>
          <cell r="K43" t="str">
            <v/>
          </cell>
          <cell r="L43"/>
          <cell r="M43"/>
          <cell r="N43"/>
          <cell r="O43"/>
          <cell r="P43"/>
          <cell r="V43">
            <v>40026</v>
          </cell>
          <cell r="W43"/>
          <cell r="X43" t="str">
            <v/>
          </cell>
          <cell r="Y43" t="str">
            <v/>
          </cell>
          <cell r="Z43" t="str">
            <v/>
          </cell>
          <cell r="AA43"/>
          <cell r="AB43">
            <v>0</v>
          </cell>
          <cell r="AC43" t="str">
            <v/>
          </cell>
          <cell r="AD43" t="str">
            <v/>
          </cell>
          <cell r="AE43" t="str">
            <v/>
          </cell>
          <cell r="AF43">
            <v>40026</v>
          </cell>
          <cell r="AG43"/>
          <cell r="AH43" t="str">
            <v/>
          </cell>
          <cell r="AI43"/>
          <cell r="AJ43" t="str">
            <v/>
          </cell>
        </row>
        <row r="44">
          <cell r="D44">
            <v>40057</v>
          </cell>
          <cell r="E44" t="str">
            <v/>
          </cell>
          <cell r="F44"/>
          <cell r="G44"/>
          <cell r="H44"/>
          <cell r="I44"/>
          <cell r="J44"/>
          <cell r="K44" t="str">
            <v/>
          </cell>
          <cell r="L44"/>
          <cell r="M44"/>
          <cell r="N44"/>
          <cell r="O44"/>
          <cell r="P44"/>
          <cell r="V44">
            <v>40057</v>
          </cell>
          <cell r="W44"/>
          <cell r="X44" t="str">
            <v/>
          </cell>
          <cell r="Y44" t="str">
            <v/>
          </cell>
          <cell r="Z44" t="str">
            <v/>
          </cell>
          <cell r="AA44"/>
          <cell r="AB44">
            <v>0</v>
          </cell>
          <cell r="AC44" t="str">
            <v/>
          </cell>
          <cell r="AD44" t="str">
            <v/>
          </cell>
          <cell r="AE44" t="str">
            <v/>
          </cell>
          <cell r="AF44">
            <v>40057</v>
          </cell>
          <cell r="AG44"/>
          <cell r="AH44" t="str">
            <v/>
          </cell>
          <cell r="AI44"/>
          <cell r="AJ44" t="str">
            <v/>
          </cell>
        </row>
      </sheetData>
      <sheetData sheetId="16">
        <row r="9">
          <cell r="D9"/>
          <cell r="E9" t="str">
            <v>Mesual</v>
          </cell>
          <cell r="F9"/>
          <cell r="G9"/>
          <cell r="H9"/>
          <cell r="I9"/>
          <cell r="J9"/>
          <cell r="K9" t="str">
            <v>Acumulado</v>
          </cell>
          <cell r="L9"/>
          <cell r="M9"/>
          <cell r="N9"/>
          <cell r="O9"/>
          <cell r="P9"/>
          <cell r="V9" t="str">
            <v>Mes</v>
          </cell>
          <cell r="W9"/>
          <cell r="X9"/>
          <cell r="Y9"/>
          <cell r="Z9"/>
          <cell r="AA9"/>
          <cell r="AB9"/>
          <cell r="AC9"/>
          <cell r="AD9"/>
          <cell r="AE9"/>
          <cell r="AF9" t="str">
            <v>Mes</v>
          </cell>
          <cell r="AG9"/>
          <cell r="AH9"/>
          <cell r="AI9"/>
          <cell r="AJ9"/>
        </row>
        <row r="10">
          <cell r="D10" t="str">
            <v>Fecha</v>
          </cell>
          <cell r="E10" t="str">
            <v>Estimado</v>
          </cell>
          <cell r="F10" t="str">
            <v>Performance</v>
          </cell>
          <cell r="G10"/>
          <cell r="H10"/>
          <cell r="I10" t="str">
            <v>Limites</v>
          </cell>
          <cell r="J10"/>
          <cell r="K10" t="str">
            <v>Estimado</v>
          </cell>
          <cell r="L10" t="str">
            <v>Performance</v>
          </cell>
          <cell r="M10"/>
          <cell r="N10"/>
          <cell r="O10" t="str">
            <v>Limites</v>
          </cell>
          <cell r="P10"/>
          <cell r="Q10"/>
          <cell r="R10"/>
          <cell r="S10"/>
          <cell r="T10"/>
          <cell r="U10"/>
          <cell r="V10"/>
          <cell r="W10" t="str">
            <v>Valores</v>
          </cell>
          <cell r="X10"/>
          <cell r="Y10" t="str">
            <v>Var 1.</v>
          </cell>
          <cell r="Z10"/>
          <cell r="AA10" t="str">
            <v>Proyectado</v>
          </cell>
          <cell r="AB10" t="str">
            <v>Anual</v>
          </cell>
          <cell r="AC10" t="str">
            <v>Var 2.</v>
          </cell>
          <cell r="AD10"/>
          <cell r="AE10" t="str">
            <v>% Avance 
del Año</v>
          </cell>
          <cell r="AF10"/>
          <cell r="AG10" t="str">
            <v>Valores</v>
          </cell>
          <cell r="AH10"/>
          <cell r="AI10" t="str">
            <v>Var 1.</v>
          </cell>
          <cell r="AJ10"/>
        </row>
        <row r="11">
          <cell r="D11"/>
          <cell r="E11"/>
          <cell r="F11"/>
          <cell r="G11"/>
          <cell r="H11"/>
          <cell r="I11" t="str">
            <v>Sup</v>
          </cell>
          <cell r="J11" t="str">
            <v>Inf</v>
          </cell>
          <cell r="K11"/>
          <cell r="L11"/>
          <cell r="M11"/>
          <cell r="N11"/>
          <cell r="O11" t="str">
            <v>Sup</v>
          </cell>
          <cell r="P11" t="str">
            <v>Inf</v>
          </cell>
          <cell r="Q11"/>
          <cell r="R11"/>
          <cell r="S11"/>
          <cell r="T11"/>
          <cell r="U11"/>
          <cell r="V11" t="str">
            <v>Fecha</v>
          </cell>
          <cell r="W11" t="str">
            <v>Anteriores</v>
          </cell>
          <cell r="X11" t="str">
            <v>Real</v>
          </cell>
          <cell r="Y11" t="str">
            <v>Unidades</v>
          </cell>
          <cell r="Z11" t="str">
            <v>%</v>
          </cell>
          <cell r="AA11"/>
          <cell r="AB11" t="str">
            <v>Proyectado</v>
          </cell>
          <cell r="AC11" t="str">
            <v>Unidades</v>
          </cell>
          <cell r="AD11" t="str">
            <v>%</v>
          </cell>
          <cell r="AE11"/>
          <cell r="AF11" t="str">
            <v>Fecha</v>
          </cell>
          <cell r="AG11" t="str">
            <v>Anteriores</v>
          </cell>
          <cell r="AH11" t="str">
            <v>Real</v>
          </cell>
          <cell r="AI11" t="str">
            <v>Unidades</v>
          </cell>
          <cell r="AJ11" t="str">
            <v>%</v>
          </cell>
        </row>
        <row r="12">
          <cell r="D12">
            <v>39083</v>
          </cell>
          <cell r="E12"/>
          <cell r="F12" t="str">
            <v/>
          </cell>
          <cell r="G12" t="str">
            <v/>
          </cell>
          <cell r="H12" t="str">
            <v/>
          </cell>
          <cell r="I12"/>
          <cell r="J12"/>
          <cell r="K12"/>
          <cell r="L12" t="str">
            <v/>
          </cell>
          <cell r="M12" t="str">
            <v/>
          </cell>
          <cell r="N12" t="str">
            <v/>
          </cell>
          <cell r="O12"/>
          <cell r="P12"/>
          <cell r="Q12"/>
          <cell r="R12"/>
          <cell r="S12"/>
          <cell r="T12"/>
          <cell r="U12"/>
          <cell r="V12">
            <v>39083</v>
          </cell>
          <cell r="W12"/>
          <cell r="X12" t="str">
            <v/>
          </cell>
          <cell r="Y12" t="str">
            <v/>
          </cell>
          <cell r="Z12"/>
          <cell r="AA12"/>
          <cell r="AB12">
            <v>0</v>
          </cell>
          <cell r="AC12" t="str">
            <v/>
          </cell>
          <cell r="AD12" t="str">
            <v/>
          </cell>
          <cell r="AE12" t="str">
            <v/>
          </cell>
          <cell r="AF12">
            <v>39083</v>
          </cell>
          <cell r="AG12"/>
          <cell r="AH12" t="str">
            <v/>
          </cell>
          <cell r="AI12" t="str">
            <v/>
          </cell>
          <cell r="AJ12" t="str">
            <v/>
          </cell>
        </row>
        <row r="13">
          <cell r="D13">
            <v>39114</v>
          </cell>
          <cell r="E13"/>
          <cell r="F13" t="str">
            <v/>
          </cell>
          <cell r="G13" t="str">
            <v/>
          </cell>
          <cell r="H13" t="str">
            <v/>
          </cell>
          <cell r="I13"/>
          <cell r="J13"/>
          <cell r="K13"/>
          <cell r="L13" t="str">
            <v/>
          </cell>
          <cell r="M13" t="str">
            <v/>
          </cell>
          <cell r="N13" t="str">
            <v/>
          </cell>
          <cell r="O13"/>
          <cell r="P13"/>
          <cell r="Q13"/>
          <cell r="R13"/>
          <cell r="S13"/>
          <cell r="T13"/>
          <cell r="U13"/>
          <cell r="V13">
            <v>39114</v>
          </cell>
          <cell r="W13"/>
          <cell r="X13" t="str">
            <v/>
          </cell>
          <cell r="Y13" t="str">
            <v/>
          </cell>
          <cell r="Z13"/>
          <cell r="AA13"/>
          <cell r="AB13">
            <v>0</v>
          </cell>
          <cell r="AC13" t="str">
            <v/>
          </cell>
          <cell r="AD13" t="str">
            <v/>
          </cell>
          <cell r="AE13" t="str">
            <v/>
          </cell>
          <cell r="AF13">
            <v>39114</v>
          </cell>
          <cell r="AG13"/>
          <cell r="AH13" t="str">
            <v/>
          </cell>
          <cell r="AI13" t="str">
            <v/>
          </cell>
          <cell r="AJ13" t="str">
            <v/>
          </cell>
        </row>
        <row r="14">
          <cell r="D14">
            <v>39142</v>
          </cell>
          <cell r="E14"/>
          <cell r="F14" t="str">
            <v/>
          </cell>
          <cell r="G14" t="str">
            <v/>
          </cell>
          <cell r="H14" t="str">
            <v/>
          </cell>
          <cell r="I14"/>
          <cell r="J14"/>
          <cell r="K14"/>
          <cell r="L14" t="str">
            <v/>
          </cell>
          <cell r="M14" t="str">
            <v/>
          </cell>
          <cell r="N14" t="str">
            <v/>
          </cell>
          <cell r="O14"/>
          <cell r="P14"/>
          <cell r="Q14"/>
          <cell r="R14"/>
          <cell r="S14"/>
          <cell r="T14"/>
          <cell r="U14"/>
          <cell r="V14">
            <v>39142</v>
          </cell>
          <cell r="W14"/>
          <cell r="X14" t="str">
            <v/>
          </cell>
          <cell r="Y14" t="str">
            <v/>
          </cell>
          <cell r="Z14"/>
          <cell r="AA14"/>
          <cell r="AB14">
            <v>0</v>
          </cell>
          <cell r="AC14" t="str">
            <v/>
          </cell>
          <cell r="AD14" t="str">
            <v/>
          </cell>
          <cell r="AE14" t="str">
            <v/>
          </cell>
          <cell r="AF14">
            <v>39142</v>
          </cell>
          <cell r="AG14"/>
          <cell r="AH14" t="str">
            <v/>
          </cell>
          <cell r="AI14" t="str">
            <v/>
          </cell>
          <cell r="AJ14" t="str">
            <v/>
          </cell>
        </row>
        <row r="15">
          <cell r="D15">
            <v>39173</v>
          </cell>
          <cell r="E15"/>
          <cell r="F15" t="str">
            <v/>
          </cell>
          <cell r="G15" t="str">
            <v/>
          </cell>
          <cell r="H15" t="str">
            <v/>
          </cell>
          <cell r="I15"/>
          <cell r="J15"/>
          <cell r="K15"/>
          <cell r="L15" t="str">
            <v/>
          </cell>
          <cell r="M15" t="str">
            <v/>
          </cell>
          <cell r="N15" t="str">
            <v/>
          </cell>
          <cell r="O15"/>
          <cell r="P15"/>
          <cell r="Q15"/>
          <cell r="R15"/>
          <cell r="S15"/>
          <cell r="T15"/>
          <cell r="U15"/>
          <cell r="V15">
            <v>39173</v>
          </cell>
          <cell r="W15"/>
          <cell r="X15" t="str">
            <v/>
          </cell>
          <cell r="Y15" t="str">
            <v/>
          </cell>
          <cell r="Z15"/>
          <cell r="AA15"/>
          <cell r="AB15">
            <v>0</v>
          </cell>
          <cell r="AC15" t="str">
            <v/>
          </cell>
          <cell r="AD15" t="str">
            <v/>
          </cell>
          <cell r="AE15" t="str">
            <v/>
          </cell>
          <cell r="AF15">
            <v>39173</v>
          </cell>
          <cell r="AG15"/>
          <cell r="AH15" t="str">
            <v/>
          </cell>
          <cell r="AI15" t="str">
            <v/>
          </cell>
          <cell r="AJ15" t="str">
            <v/>
          </cell>
        </row>
        <row r="16">
          <cell r="D16">
            <v>39203</v>
          </cell>
          <cell r="E16"/>
          <cell r="F16" t="str">
            <v/>
          </cell>
          <cell r="G16" t="str">
            <v/>
          </cell>
          <cell r="H16" t="str">
            <v/>
          </cell>
          <cell r="I16"/>
          <cell r="J16"/>
          <cell r="K16"/>
          <cell r="L16" t="str">
            <v/>
          </cell>
          <cell r="M16" t="str">
            <v/>
          </cell>
          <cell r="N16" t="str">
            <v/>
          </cell>
          <cell r="O16"/>
          <cell r="P16"/>
          <cell r="Q16"/>
          <cell r="R16"/>
          <cell r="S16"/>
          <cell r="T16"/>
          <cell r="U16"/>
          <cell r="V16">
            <v>39203</v>
          </cell>
          <cell r="W16"/>
          <cell r="X16" t="str">
            <v/>
          </cell>
          <cell r="Y16" t="str">
            <v/>
          </cell>
          <cell r="Z16"/>
          <cell r="AA16"/>
          <cell r="AB16">
            <v>0</v>
          </cell>
          <cell r="AC16" t="str">
            <v/>
          </cell>
          <cell r="AD16" t="str">
            <v/>
          </cell>
          <cell r="AE16" t="str">
            <v/>
          </cell>
          <cell r="AF16">
            <v>39203</v>
          </cell>
          <cell r="AG16"/>
          <cell r="AH16" t="str">
            <v/>
          </cell>
          <cell r="AI16" t="str">
            <v/>
          </cell>
          <cell r="AJ16" t="str">
            <v/>
          </cell>
        </row>
        <row r="17">
          <cell r="D17">
            <v>39234</v>
          </cell>
          <cell r="E17"/>
          <cell r="F17" t="str">
            <v/>
          </cell>
          <cell r="G17" t="str">
            <v/>
          </cell>
          <cell r="H17" t="str">
            <v/>
          </cell>
          <cell r="I17"/>
          <cell r="J17"/>
          <cell r="K17"/>
          <cell r="L17" t="str">
            <v/>
          </cell>
          <cell r="M17" t="str">
            <v/>
          </cell>
          <cell r="N17" t="str">
            <v/>
          </cell>
          <cell r="O17"/>
          <cell r="P17"/>
          <cell r="Q17"/>
          <cell r="R17"/>
          <cell r="S17"/>
          <cell r="T17"/>
          <cell r="U17"/>
          <cell r="V17">
            <v>39234</v>
          </cell>
          <cell r="W17"/>
          <cell r="X17" t="str">
            <v/>
          </cell>
          <cell r="Y17" t="str">
            <v/>
          </cell>
          <cell r="Z17"/>
          <cell r="AA17"/>
          <cell r="AB17">
            <v>0</v>
          </cell>
          <cell r="AC17" t="str">
            <v/>
          </cell>
          <cell r="AD17" t="str">
            <v/>
          </cell>
          <cell r="AE17" t="str">
            <v/>
          </cell>
          <cell r="AF17">
            <v>39234</v>
          </cell>
          <cell r="AG17"/>
          <cell r="AH17" t="str">
            <v/>
          </cell>
          <cell r="AI17" t="str">
            <v/>
          </cell>
          <cell r="AJ17" t="str">
            <v/>
          </cell>
        </row>
        <row r="18">
          <cell r="D18">
            <v>39264</v>
          </cell>
          <cell r="E18"/>
          <cell r="F18" t="str">
            <v/>
          </cell>
          <cell r="G18" t="str">
            <v/>
          </cell>
          <cell r="H18" t="str">
            <v/>
          </cell>
          <cell r="I18"/>
          <cell r="J18"/>
          <cell r="K18"/>
          <cell r="L18" t="str">
            <v/>
          </cell>
          <cell r="M18" t="str">
            <v/>
          </cell>
          <cell r="N18" t="str">
            <v/>
          </cell>
          <cell r="O18"/>
          <cell r="P18"/>
          <cell r="Q18"/>
          <cell r="R18"/>
          <cell r="S18"/>
          <cell r="T18"/>
          <cell r="U18"/>
          <cell r="V18">
            <v>39264</v>
          </cell>
          <cell r="W18"/>
          <cell r="X18" t="str">
            <v/>
          </cell>
          <cell r="Y18" t="str">
            <v/>
          </cell>
          <cell r="Z18"/>
          <cell r="AA18"/>
          <cell r="AB18">
            <v>0</v>
          </cell>
          <cell r="AC18" t="str">
            <v/>
          </cell>
          <cell r="AD18" t="str">
            <v/>
          </cell>
          <cell r="AE18" t="str">
            <v/>
          </cell>
          <cell r="AF18">
            <v>39264</v>
          </cell>
          <cell r="AG18"/>
          <cell r="AH18" t="str">
            <v/>
          </cell>
          <cell r="AI18" t="str">
            <v/>
          </cell>
          <cell r="AJ18" t="str">
            <v/>
          </cell>
        </row>
        <row r="19">
          <cell r="D19">
            <v>39295</v>
          </cell>
          <cell r="E19"/>
          <cell r="F19" t="str">
            <v/>
          </cell>
          <cell r="G19" t="str">
            <v/>
          </cell>
          <cell r="H19" t="str">
            <v/>
          </cell>
          <cell r="I19"/>
          <cell r="J19"/>
          <cell r="K19"/>
          <cell r="L19" t="str">
            <v/>
          </cell>
          <cell r="M19" t="str">
            <v/>
          </cell>
          <cell r="N19" t="str">
            <v/>
          </cell>
          <cell r="O19"/>
          <cell r="P19"/>
          <cell r="Q19"/>
          <cell r="R19"/>
          <cell r="S19"/>
          <cell r="T19"/>
          <cell r="U19"/>
          <cell r="V19">
            <v>39295</v>
          </cell>
          <cell r="W19"/>
          <cell r="X19" t="str">
            <v/>
          </cell>
          <cell r="Y19" t="str">
            <v/>
          </cell>
          <cell r="Z19"/>
          <cell r="AA19"/>
          <cell r="AB19">
            <v>0</v>
          </cell>
          <cell r="AC19" t="str">
            <v/>
          </cell>
          <cell r="AD19" t="str">
            <v/>
          </cell>
          <cell r="AE19" t="str">
            <v/>
          </cell>
          <cell r="AF19">
            <v>39295</v>
          </cell>
          <cell r="AG19"/>
          <cell r="AH19" t="str">
            <v/>
          </cell>
          <cell r="AI19" t="str">
            <v/>
          </cell>
          <cell r="AJ19" t="str">
            <v/>
          </cell>
        </row>
        <row r="20">
          <cell r="D20">
            <v>39326</v>
          </cell>
          <cell r="E20"/>
          <cell r="F20" t="str">
            <v/>
          </cell>
          <cell r="G20" t="str">
            <v/>
          </cell>
          <cell r="H20" t="str">
            <v/>
          </cell>
          <cell r="I20"/>
          <cell r="J20"/>
          <cell r="K20"/>
          <cell r="L20" t="str">
            <v/>
          </cell>
          <cell r="M20" t="str">
            <v/>
          </cell>
          <cell r="N20" t="str">
            <v/>
          </cell>
          <cell r="O20"/>
          <cell r="P20"/>
          <cell r="Q20"/>
          <cell r="R20"/>
          <cell r="S20"/>
          <cell r="T20"/>
          <cell r="U20"/>
          <cell r="V20">
            <v>39326</v>
          </cell>
          <cell r="W20"/>
          <cell r="X20" t="str">
            <v/>
          </cell>
          <cell r="Y20" t="str">
            <v/>
          </cell>
          <cell r="Z20"/>
          <cell r="AA20"/>
          <cell r="AB20">
            <v>0</v>
          </cell>
          <cell r="AC20" t="str">
            <v/>
          </cell>
          <cell r="AD20" t="str">
            <v/>
          </cell>
          <cell r="AE20" t="str">
            <v/>
          </cell>
          <cell r="AF20">
            <v>39326</v>
          </cell>
          <cell r="AG20"/>
          <cell r="AH20" t="str">
            <v/>
          </cell>
          <cell r="AI20" t="str">
            <v/>
          </cell>
          <cell r="AJ20" t="str">
            <v/>
          </cell>
        </row>
        <row r="21">
          <cell r="D21">
            <v>39356</v>
          </cell>
          <cell r="E21"/>
          <cell r="F21" t="str">
            <v/>
          </cell>
          <cell r="G21" t="str">
            <v/>
          </cell>
          <cell r="H21" t="str">
            <v/>
          </cell>
          <cell r="I21"/>
          <cell r="J21"/>
          <cell r="K21"/>
          <cell r="L21" t="str">
            <v/>
          </cell>
          <cell r="M21" t="str">
            <v/>
          </cell>
          <cell r="N21" t="str">
            <v/>
          </cell>
          <cell r="O21"/>
          <cell r="P21"/>
          <cell r="Q21"/>
          <cell r="R21"/>
          <cell r="S21"/>
          <cell r="T21"/>
          <cell r="U21"/>
          <cell r="V21">
            <v>39356</v>
          </cell>
          <cell r="W21"/>
          <cell r="X21" t="str">
            <v/>
          </cell>
          <cell r="Y21" t="str">
            <v/>
          </cell>
          <cell r="Z21"/>
          <cell r="AA21"/>
          <cell r="AB21">
            <v>0</v>
          </cell>
          <cell r="AC21" t="str">
            <v/>
          </cell>
          <cell r="AD21" t="str">
            <v/>
          </cell>
          <cell r="AE21" t="str">
            <v/>
          </cell>
          <cell r="AF21">
            <v>39356</v>
          </cell>
          <cell r="AG21"/>
          <cell r="AH21" t="str">
            <v/>
          </cell>
          <cell r="AI21" t="str">
            <v/>
          </cell>
          <cell r="AJ21" t="str">
            <v/>
          </cell>
        </row>
        <row r="22">
          <cell r="D22">
            <v>39387</v>
          </cell>
          <cell r="E22"/>
          <cell r="F22" t="str">
            <v/>
          </cell>
          <cell r="G22" t="str">
            <v/>
          </cell>
          <cell r="H22" t="str">
            <v/>
          </cell>
          <cell r="I22"/>
          <cell r="J22"/>
          <cell r="K22"/>
          <cell r="L22" t="str">
            <v/>
          </cell>
          <cell r="M22" t="str">
            <v/>
          </cell>
          <cell r="N22" t="str">
            <v/>
          </cell>
          <cell r="O22"/>
          <cell r="P22"/>
          <cell r="Q22"/>
          <cell r="R22"/>
          <cell r="S22"/>
          <cell r="T22"/>
          <cell r="U22"/>
          <cell r="V22">
            <v>39387</v>
          </cell>
          <cell r="W22"/>
          <cell r="X22" t="str">
            <v/>
          </cell>
          <cell r="Y22" t="str">
            <v/>
          </cell>
          <cell r="Z22"/>
          <cell r="AA22"/>
          <cell r="AB22">
            <v>0</v>
          </cell>
          <cell r="AC22" t="str">
            <v/>
          </cell>
          <cell r="AD22" t="str">
            <v/>
          </cell>
          <cell r="AE22" t="str">
            <v/>
          </cell>
          <cell r="AF22">
            <v>39387</v>
          </cell>
          <cell r="AG22"/>
          <cell r="AH22" t="str">
            <v/>
          </cell>
          <cell r="AI22" t="str">
            <v/>
          </cell>
          <cell r="AJ22" t="str">
            <v/>
          </cell>
        </row>
        <row r="23">
          <cell r="D23">
            <v>39417</v>
          </cell>
          <cell r="E23"/>
          <cell r="F23" t="str">
            <v/>
          </cell>
          <cell r="G23" t="str">
            <v/>
          </cell>
          <cell r="H23" t="str">
            <v/>
          </cell>
          <cell r="I23"/>
          <cell r="J23"/>
          <cell r="K23"/>
          <cell r="L23" t="str">
            <v/>
          </cell>
          <cell r="M23" t="str">
            <v/>
          </cell>
          <cell r="N23" t="str">
            <v/>
          </cell>
          <cell r="O23"/>
          <cell r="P23"/>
          <cell r="Q23"/>
          <cell r="R23"/>
          <cell r="S23"/>
          <cell r="T23"/>
          <cell r="U23"/>
          <cell r="V23">
            <v>39417</v>
          </cell>
          <cell r="W23"/>
          <cell r="X23" t="str">
            <v/>
          </cell>
          <cell r="Y23" t="str">
            <v/>
          </cell>
          <cell r="Z23"/>
          <cell r="AA23"/>
          <cell r="AB23">
            <v>0</v>
          </cell>
          <cell r="AC23" t="str">
            <v/>
          </cell>
          <cell r="AD23" t="str">
            <v/>
          </cell>
          <cell r="AE23" t="str">
            <v/>
          </cell>
          <cell r="AF23">
            <v>39417</v>
          </cell>
          <cell r="AG23"/>
          <cell r="AH23" t="str">
            <v/>
          </cell>
          <cell r="AI23" t="str">
            <v/>
          </cell>
          <cell r="AJ23" t="str">
            <v/>
          </cell>
        </row>
        <row r="24">
          <cell r="D24">
            <v>39448</v>
          </cell>
          <cell r="E24"/>
          <cell r="F24" t="str">
            <v/>
          </cell>
          <cell r="G24" t="str">
            <v/>
          </cell>
          <cell r="H24" t="str">
            <v/>
          </cell>
          <cell r="I24">
            <v>1</v>
          </cell>
          <cell r="J24">
            <v>0.99</v>
          </cell>
          <cell r="K24"/>
          <cell r="L24" t="str">
            <v/>
          </cell>
          <cell r="M24" t="str">
            <v/>
          </cell>
          <cell r="N24" t="str">
            <v/>
          </cell>
          <cell r="O24">
            <v>1</v>
          </cell>
          <cell r="P24">
            <v>0.99</v>
          </cell>
          <cell r="Q24"/>
          <cell r="R24"/>
          <cell r="S24"/>
          <cell r="T24"/>
          <cell r="U24"/>
          <cell r="V24">
            <v>39448</v>
          </cell>
          <cell r="W24" t="str">
            <v/>
          </cell>
          <cell r="X24" t="str">
            <v/>
          </cell>
          <cell r="Y24" t="str">
            <v/>
          </cell>
          <cell r="Z24"/>
          <cell r="AA24"/>
          <cell r="AB24">
            <v>0</v>
          </cell>
          <cell r="AC24" t="str">
            <v/>
          </cell>
          <cell r="AD24" t="str">
            <v/>
          </cell>
          <cell r="AE24" t="str">
            <v/>
          </cell>
          <cell r="AF24">
            <v>39448</v>
          </cell>
          <cell r="AG24" t="str">
            <v/>
          </cell>
          <cell r="AH24" t="str">
            <v/>
          </cell>
          <cell r="AI24" t="str">
            <v/>
          </cell>
          <cell r="AJ24" t="str">
            <v/>
          </cell>
        </row>
        <row r="25">
          <cell r="D25">
            <v>39479</v>
          </cell>
          <cell r="E25"/>
          <cell r="F25" t="str">
            <v/>
          </cell>
          <cell r="G25" t="str">
            <v/>
          </cell>
          <cell r="H25" t="str">
            <v/>
          </cell>
          <cell r="I25">
            <v>1</v>
          </cell>
          <cell r="J25">
            <v>0.99</v>
          </cell>
          <cell r="K25"/>
          <cell r="L25" t="str">
            <v/>
          </cell>
          <cell r="M25" t="str">
            <v/>
          </cell>
          <cell r="N25" t="str">
            <v/>
          </cell>
          <cell r="O25">
            <v>1</v>
          </cell>
          <cell r="P25">
            <v>0.99</v>
          </cell>
          <cell r="Q25"/>
          <cell r="R25"/>
          <cell r="S25"/>
          <cell r="T25"/>
          <cell r="U25"/>
          <cell r="V25">
            <v>39479</v>
          </cell>
          <cell r="W25" t="str">
            <v/>
          </cell>
          <cell r="X25" t="str">
            <v/>
          </cell>
          <cell r="Y25" t="str">
            <v/>
          </cell>
          <cell r="Z25"/>
          <cell r="AA25"/>
          <cell r="AB25">
            <v>0</v>
          </cell>
          <cell r="AC25" t="str">
            <v/>
          </cell>
          <cell r="AD25" t="str">
            <v/>
          </cell>
          <cell r="AE25" t="str">
            <v/>
          </cell>
          <cell r="AF25">
            <v>39479</v>
          </cell>
          <cell r="AG25" t="str">
            <v/>
          </cell>
          <cell r="AH25" t="str">
            <v/>
          </cell>
          <cell r="AI25" t="str">
            <v/>
          </cell>
          <cell r="AJ25" t="str">
            <v/>
          </cell>
        </row>
        <row r="26">
          <cell r="D26">
            <v>39508</v>
          </cell>
          <cell r="E26"/>
          <cell r="F26" t="str">
            <v/>
          </cell>
          <cell r="G26" t="str">
            <v/>
          </cell>
          <cell r="H26" t="str">
            <v/>
          </cell>
          <cell r="I26">
            <v>1</v>
          </cell>
          <cell r="J26">
            <v>0.99</v>
          </cell>
          <cell r="K26"/>
          <cell r="L26" t="str">
            <v/>
          </cell>
          <cell r="M26" t="str">
            <v/>
          </cell>
          <cell r="N26" t="str">
            <v/>
          </cell>
          <cell r="O26">
            <v>1</v>
          </cell>
          <cell r="P26">
            <v>0.99</v>
          </cell>
          <cell r="Q26"/>
          <cell r="R26"/>
          <cell r="S26"/>
          <cell r="T26"/>
          <cell r="U26"/>
          <cell r="V26">
            <v>39508</v>
          </cell>
          <cell r="W26" t="str">
            <v/>
          </cell>
          <cell r="X26" t="str">
            <v/>
          </cell>
          <cell r="Y26" t="str">
            <v/>
          </cell>
          <cell r="Z26"/>
          <cell r="AA26"/>
          <cell r="AB26">
            <v>0</v>
          </cell>
          <cell r="AC26" t="str">
            <v/>
          </cell>
          <cell r="AD26" t="str">
            <v/>
          </cell>
          <cell r="AE26" t="str">
            <v/>
          </cell>
          <cell r="AF26">
            <v>39508</v>
          </cell>
          <cell r="AG26" t="str">
            <v/>
          </cell>
          <cell r="AH26" t="str">
            <v/>
          </cell>
          <cell r="AI26" t="str">
            <v/>
          </cell>
          <cell r="AJ26" t="str">
            <v/>
          </cell>
        </row>
        <row r="27">
          <cell r="D27">
            <v>39539</v>
          </cell>
          <cell r="E27"/>
          <cell r="F27" t="str">
            <v/>
          </cell>
          <cell r="G27" t="str">
            <v/>
          </cell>
          <cell r="H27" t="str">
            <v/>
          </cell>
          <cell r="I27">
            <v>1</v>
          </cell>
          <cell r="J27">
            <v>0.99</v>
          </cell>
          <cell r="K27"/>
          <cell r="L27" t="str">
            <v/>
          </cell>
          <cell r="M27" t="str">
            <v/>
          </cell>
          <cell r="N27" t="str">
            <v/>
          </cell>
          <cell r="O27">
            <v>1</v>
          </cell>
          <cell r="P27">
            <v>0.99</v>
          </cell>
          <cell r="Q27"/>
          <cell r="R27"/>
          <cell r="S27"/>
          <cell r="T27"/>
          <cell r="U27"/>
          <cell r="V27">
            <v>39539</v>
          </cell>
          <cell r="W27" t="str">
            <v/>
          </cell>
          <cell r="X27" t="str">
            <v/>
          </cell>
          <cell r="Y27" t="str">
            <v/>
          </cell>
          <cell r="Z27"/>
          <cell r="AA27"/>
          <cell r="AB27">
            <v>0</v>
          </cell>
          <cell r="AC27" t="str">
            <v/>
          </cell>
          <cell r="AD27" t="str">
            <v/>
          </cell>
          <cell r="AE27" t="str">
            <v/>
          </cell>
          <cell r="AF27">
            <v>39539</v>
          </cell>
          <cell r="AG27" t="str">
            <v/>
          </cell>
          <cell r="AH27" t="str">
            <v/>
          </cell>
          <cell r="AI27" t="str">
            <v/>
          </cell>
          <cell r="AJ27" t="str">
            <v/>
          </cell>
        </row>
        <row r="28">
          <cell r="D28">
            <v>39569</v>
          </cell>
          <cell r="E28"/>
          <cell r="F28" t="str">
            <v/>
          </cell>
          <cell r="G28" t="str">
            <v/>
          </cell>
          <cell r="H28" t="str">
            <v/>
          </cell>
          <cell r="I28">
            <v>1</v>
          </cell>
          <cell r="J28">
            <v>0.99</v>
          </cell>
          <cell r="K28"/>
          <cell r="L28" t="str">
            <v/>
          </cell>
          <cell r="M28" t="str">
            <v/>
          </cell>
          <cell r="N28" t="str">
            <v/>
          </cell>
          <cell r="O28">
            <v>1</v>
          </cell>
          <cell r="P28">
            <v>0.99</v>
          </cell>
          <cell r="Q28"/>
          <cell r="R28"/>
          <cell r="S28"/>
          <cell r="T28"/>
          <cell r="U28"/>
          <cell r="V28">
            <v>39569</v>
          </cell>
          <cell r="W28" t="str">
            <v/>
          </cell>
          <cell r="X28" t="str">
            <v/>
          </cell>
          <cell r="Y28" t="str">
            <v/>
          </cell>
          <cell r="Z28"/>
          <cell r="AA28"/>
          <cell r="AB28">
            <v>0</v>
          </cell>
          <cell r="AC28" t="str">
            <v/>
          </cell>
          <cell r="AD28" t="str">
            <v/>
          </cell>
          <cell r="AE28" t="str">
            <v/>
          </cell>
          <cell r="AF28">
            <v>39569</v>
          </cell>
          <cell r="AG28" t="str">
            <v/>
          </cell>
          <cell r="AH28" t="str">
            <v/>
          </cell>
          <cell r="AI28" t="str">
            <v/>
          </cell>
          <cell r="AJ28" t="str">
            <v/>
          </cell>
        </row>
        <row r="29">
          <cell r="D29">
            <v>39600</v>
          </cell>
          <cell r="E29"/>
          <cell r="F29" t="str">
            <v/>
          </cell>
          <cell r="G29" t="str">
            <v/>
          </cell>
          <cell r="H29" t="str">
            <v/>
          </cell>
          <cell r="I29">
            <v>1</v>
          </cell>
          <cell r="J29">
            <v>0.99</v>
          </cell>
          <cell r="K29"/>
          <cell r="L29" t="str">
            <v/>
          </cell>
          <cell r="M29" t="str">
            <v/>
          </cell>
          <cell r="N29" t="str">
            <v/>
          </cell>
          <cell r="O29">
            <v>1</v>
          </cell>
          <cell r="P29">
            <v>0.99</v>
          </cell>
          <cell r="Q29"/>
          <cell r="R29"/>
          <cell r="S29"/>
          <cell r="T29"/>
          <cell r="U29"/>
          <cell r="V29">
            <v>39600</v>
          </cell>
          <cell r="W29" t="str">
            <v/>
          </cell>
          <cell r="X29" t="str">
            <v/>
          </cell>
          <cell r="Y29" t="str">
            <v/>
          </cell>
          <cell r="Z29"/>
          <cell r="AA29"/>
          <cell r="AB29">
            <v>0</v>
          </cell>
          <cell r="AC29" t="str">
            <v/>
          </cell>
          <cell r="AD29" t="str">
            <v/>
          </cell>
          <cell r="AE29" t="str">
            <v/>
          </cell>
          <cell r="AF29">
            <v>39600</v>
          </cell>
          <cell r="AG29" t="str">
            <v/>
          </cell>
          <cell r="AH29" t="str">
            <v/>
          </cell>
          <cell r="AI29" t="str">
            <v/>
          </cell>
          <cell r="AJ29" t="str">
            <v/>
          </cell>
        </row>
        <row r="30">
          <cell r="D30">
            <v>39630</v>
          </cell>
          <cell r="E30">
            <v>6.7114093959731542E-3</v>
          </cell>
          <cell r="F30" t="str">
            <v>c</v>
          </cell>
          <cell r="G30" t="str">
            <v>c</v>
          </cell>
          <cell r="H30" t="str">
            <v>g</v>
          </cell>
          <cell r="I30">
            <v>1</v>
          </cell>
          <cell r="J30">
            <v>0.99</v>
          </cell>
          <cell r="K30">
            <v>6.7114093959731542E-3</v>
          </cell>
          <cell r="L30" t="str">
            <v>c</v>
          </cell>
          <cell r="M30" t="str">
            <v>c</v>
          </cell>
          <cell r="N30" t="str">
            <v>g</v>
          </cell>
          <cell r="O30">
            <v>1</v>
          </cell>
          <cell r="P30">
            <v>0.99</v>
          </cell>
          <cell r="Q30"/>
          <cell r="R30"/>
          <cell r="S30"/>
          <cell r="T30"/>
          <cell r="U30"/>
          <cell r="V30">
            <v>39630</v>
          </cell>
          <cell r="W30" t="str">
            <v/>
          </cell>
          <cell r="X30">
            <v>6.7114093959731542E-3</v>
          </cell>
          <cell r="Y30" t="e">
            <v>#VALUE!</v>
          </cell>
          <cell r="Z30"/>
          <cell r="AA30"/>
          <cell r="AB30">
            <v>0</v>
          </cell>
          <cell r="AC30" t="str">
            <v/>
          </cell>
          <cell r="AD30" t="str">
            <v/>
          </cell>
          <cell r="AE30" t="str">
            <v/>
          </cell>
          <cell r="AF30">
            <v>39630</v>
          </cell>
          <cell r="AG30" t="str">
            <v/>
          </cell>
          <cell r="AH30">
            <v>6.7114093959731542E-3</v>
          </cell>
          <cell r="AI30" t="e">
            <v>#VALUE!</v>
          </cell>
          <cell r="AJ30" t="str">
            <v/>
          </cell>
        </row>
        <row r="31">
          <cell r="D31">
            <v>39661</v>
          </cell>
          <cell r="E31">
            <v>3.3557046979865772E-2</v>
          </cell>
          <cell r="F31" t="str">
            <v>c</v>
          </cell>
          <cell r="G31" t="str">
            <v>c</v>
          </cell>
          <cell r="H31" t="str">
            <v>g</v>
          </cell>
          <cell r="I31">
            <v>1</v>
          </cell>
          <cell r="J31">
            <v>0.99</v>
          </cell>
          <cell r="K31">
            <v>4.0268456375838924E-2</v>
          </cell>
          <cell r="L31" t="str">
            <v>c</v>
          </cell>
          <cell r="M31" t="str">
            <v>c</v>
          </cell>
          <cell r="N31" t="str">
            <v>g</v>
          </cell>
          <cell r="O31">
            <v>1</v>
          </cell>
          <cell r="P31">
            <v>0.99</v>
          </cell>
          <cell r="Q31"/>
          <cell r="R31"/>
          <cell r="S31"/>
          <cell r="T31"/>
          <cell r="U31"/>
          <cell r="V31">
            <v>39661</v>
          </cell>
          <cell r="W31" t="str">
            <v/>
          </cell>
          <cell r="X31">
            <v>3.3557046979865772E-2</v>
          </cell>
          <cell r="Y31" t="e">
            <v>#VALUE!</v>
          </cell>
          <cell r="Z31" t="e">
            <v>#VALUE!</v>
          </cell>
          <cell r="AA31"/>
          <cell r="AB31">
            <v>0</v>
          </cell>
          <cell r="AC31" t="str">
            <v/>
          </cell>
          <cell r="AD31" t="str">
            <v/>
          </cell>
          <cell r="AE31" t="str">
            <v/>
          </cell>
          <cell r="AF31">
            <v>39661</v>
          </cell>
          <cell r="AG31" t="str">
            <v/>
          </cell>
          <cell r="AH31">
            <v>4.0268456375838924E-2</v>
          </cell>
          <cell r="AI31" t="e">
            <v>#VALUE!</v>
          </cell>
          <cell r="AJ31" t="str">
            <v/>
          </cell>
        </row>
        <row r="32">
          <cell r="D32">
            <v>39692</v>
          </cell>
          <cell r="E32">
            <v>6.7114093959731544E-2</v>
          </cell>
          <cell r="F32" t="str">
            <v>c</v>
          </cell>
          <cell r="G32" t="str">
            <v>c</v>
          </cell>
          <cell r="H32" t="str">
            <v>g</v>
          </cell>
          <cell r="I32">
            <v>1</v>
          </cell>
          <cell r="J32">
            <v>0.99</v>
          </cell>
          <cell r="K32">
            <v>0.10738255033557047</v>
          </cell>
          <cell r="L32" t="str">
            <v>c</v>
          </cell>
          <cell r="M32" t="str">
            <v>c</v>
          </cell>
          <cell r="N32" t="str">
            <v>g</v>
          </cell>
          <cell r="O32">
            <v>1</v>
          </cell>
          <cell r="P32">
            <v>0.99</v>
          </cell>
          <cell r="Q32"/>
          <cell r="R32"/>
          <cell r="S32"/>
          <cell r="T32"/>
          <cell r="U32"/>
          <cell r="V32">
            <v>39692</v>
          </cell>
          <cell r="W32" t="str">
            <v/>
          </cell>
          <cell r="X32"/>
          <cell r="Y32" t="str">
            <v/>
          </cell>
          <cell r="Z32" t="str">
            <v/>
          </cell>
          <cell r="AA32"/>
          <cell r="AB32">
            <v>0</v>
          </cell>
          <cell r="AC32" t="str">
            <v/>
          </cell>
          <cell r="AD32" t="str">
            <v/>
          </cell>
          <cell r="AE32" t="str">
            <v/>
          </cell>
          <cell r="AF32">
            <v>39692</v>
          </cell>
          <cell r="AG32" t="str">
            <v/>
          </cell>
          <cell r="AH32">
            <v>0.10738255033557047</v>
          </cell>
          <cell r="AI32"/>
          <cell r="AJ32" t="str">
            <v/>
          </cell>
        </row>
        <row r="33">
          <cell r="D33">
            <v>39722</v>
          </cell>
          <cell r="E33">
            <v>0.42857142857142855</v>
          </cell>
          <cell r="F33" t="str">
            <v>c</v>
          </cell>
          <cell r="G33" t="str">
            <v>c</v>
          </cell>
          <cell r="H33" t="str">
            <v>g</v>
          </cell>
          <cell r="I33">
            <v>1</v>
          </cell>
          <cell r="J33">
            <v>0.99</v>
          </cell>
          <cell r="K33">
            <v>0.52380952380952384</v>
          </cell>
          <cell r="L33" t="str">
            <v>c</v>
          </cell>
          <cell r="M33" t="str">
            <v>c</v>
          </cell>
          <cell r="N33" t="str">
            <v>g</v>
          </cell>
          <cell r="O33">
            <v>1</v>
          </cell>
          <cell r="P33">
            <v>0.99</v>
          </cell>
          <cell r="Q33"/>
          <cell r="R33"/>
          <cell r="S33"/>
          <cell r="T33"/>
          <cell r="U33"/>
          <cell r="V33">
            <v>39722</v>
          </cell>
          <cell r="W33" t="str">
            <v/>
          </cell>
          <cell r="X33"/>
          <cell r="Y33" t="str">
            <v/>
          </cell>
          <cell r="Z33" t="str">
            <v/>
          </cell>
          <cell r="AA33"/>
          <cell r="AB33">
            <v>0</v>
          </cell>
          <cell r="AC33" t="str">
            <v/>
          </cell>
          <cell r="AD33" t="str">
            <v/>
          </cell>
          <cell r="AE33" t="str">
            <v/>
          </cell>
          <cell r="AF33">
            <v>39722</v>
          </cell>
          <cell r="AG33" t="str">
            <v/>
          </cell>
          <cell r="AH33">
            <v>0.52380952380952384</v>
          </cell>
          <cell r="AI33"/>
          <cell r="AJ33" t="str">
            <v/>
          </cell>
        </row>
        <row r="34">
          <cell r="D34">
            <v>39753</v>
          </cell>
          <cell r="E34">
            <v>0.70833333333333337</v>
          </cell>
          <cell r="F34" t="str">
            <v>c</v>
          </cell>
          <cell r="G34" t="str">
            <v>c</v>
          </cell>
          <cell r="H34" t="str">
            <v>g</v>
          </cell>
          <cell r="I34">
            <v>1</v>
          </cell>
          <cell r="J34">
            <v>0.99</v>
          </cell>
          <cell r="K34">
            <v>1.2321428571428572</v>
          </cell>
          <cell r="L34" t="str">
            <v>g</v>
          </cell>
          <cell r="M34" t="str">
            <v>c</v>
          </cell>
          <cell r="N34" t="str">
            <v>c</v>
          </cell>
          <cell r="O34">
            <v>1</v>
          </cell>
          <cell r="P34">
            <v>0.99</v>
          </cell>
          <cell r="Q34"/>
          <cell r="R34"/>
          <cell r="S34"/>
          <cell r="T34"/>
          <cell r="U34"/>
          <cell r="V34">
            <v>39753</v>
          </cell>
          <cell r="W34" t="str">
            <v/>
          </cell>
          <cell r="X34"/>
          <cell r="Y34" t="str">
            <v/>
          </cell>
          <cell r="Z34" t="str">
            <v/>
          </cell>
          <cell r="AA34"/>
          <cell r="AB34">
            <v>0</v>
          </cell>
          <cell r="AC34" t="str">
            <v/>
          </cell>
          <cell r="AD34" t="str">
            <v/>
          </cell>
          <cell r="AE34" t="str">
            <v/>
          </cell>
          <cell r="AF34">
            <v>39753</v>
          </cell>
          <cell r="AG34" t="str">
            <v/>
          </cell>
          <cell r="AH34">
            <v>1.2321428571428572</v>
          </cell>
          <cell r="AI34"/>
          <cell r="AJ34" t="str">
            <v/>
          </cell>
        </row>
        <row r="35">
          <cell r="D35">
            <v>39783</v>
          </cell>
          <cell r="E35">
            <v>0.72784810126582278</v>
          </cell>
          <cell r="F35" t="str">
            <v>c</v>
          </cell>
          <cell r="G35" t="str">
            <v>c</v>
          </cell>
          <cell r="H35" t="str">
            <v>g</v>
          </cell>
          <cell r="I35">
            <v>1</v>
          </cell>
          <cell r="J35">
            <v>0.99</v>
          </cell>
          <cell r="K35">
            <v>2.037974683544304</v>
          </cell>
          <cell r="L35" t="str">
            <v>g</v>
          </cell>
          <cell r="M35" t="str">
            <v>c</v>
          </cell>
          <cell r="N35" t="str">
            <v>c</v>
          </cell>
          <cell r="O35">
            <v>1</v>
          </cell>
          <cell r="P35">
            <v>0.99</v>
          </cell>
          <cell r="Q35"/>
          <cell r="R35"/>
          <cell r="S35"/>
          <cell r="T35"/>
          <cell r="U35"/>
          <cell r="V35">
            <v>39783</v>
          </cell>
          <cell r="W35" t="str">
            <v/>
          </cell>
          <cell r="X35"/>
          <cell r="Y35" t="str">
            <v/>
          </cell>
          <cell r="Z35" t="str">
            <v/>
          </cell>
          <cell r="AA35"/>
          <cell r="AB35">
            <v>0</v>
          </cell>
          <cell r="AC35" t="str">
            <v/>
          </cell>
          <cell r="AD35" t="str">
            <v/>
          </cell>
          <cell r="AE35" t="str">
            <v/>
          </cell>
          <cell r="AF35">
            <v>39783</v>
          </cell>
          <cell r="AG35" t="str">
            <v/>
          </cell>
          <cell r="AH35">
            <v>2.037974683544304</v>
          </cell>
          <cell r="AI35"/>
          <cell r="AJ35" t="str">
            <v/>
          </cell>
        </row>
        <row r="36">
          <cell r="D36">
            <v>39814</v>
          </cell>
          <cell r="E36"/>
          <cell r="F36"/>
          <cell r="G36"/>
          <cell r="H36"/>
          <cell r="I36">
            <v>1</v>
          </cell>
          <cell r="J36">
            <v>0.99</v>
          </cell>
          <cell r="K36"/>
          <cell r="L36"/>
          <cell r="M36"/>
          <cell r="N36"/>
          <cell r="O36">
            <v>1</v>
          </cell>
          <cell r="P36">
            <v>0.99</v>
          </cell>
          <cell r="Q36"/>
          <cell r="R36"/>
          <cell r="S36"/>
          <cell r="T36"/>
          <cell r="U36"/>
          <cell r="V36">
            <v>39814</v>
          </cell>
          <cell r="W36" t="str">
            <v/>
          </cell>
          <cell r="X36"/>
          <cell r="Y36" t="str">
            <v/>
          </cell>
          <cell r="Z36" t="str">
            <v/>
          </cell>
          <cell r="AA36"/>
          <cell r="AB36">
            <v>0</v>
          </cell>
          <cell r="AC36" t="str">
            <v/>
          </cell>
          <cell r="AD36" t="str">
            <v/>
          </cell>
          <cell r="AE36" t="str">
            <v/>
          </cell>
          <cell r="AF36">
            <v>39814</v>
          </cell>
          <cell r="AG36" t="str">
            <v/>
          </cell>
          <cell r="AH36" t="str">
            <v/>
          </cell>
          <cell r="AI36"/>
          <cell r="AJ36" t="str">
            <v/>
          </cell>
        </row>
        <row r="37">
          <cell r="D37">
            <v>39845</v>
          </cell>
          <cell r="E37"/>
          <cell r="F37"/>
          <cell r="G37"/>
          <cell r="H37"/>
          <cell r="I37">
            <v>1</v>
          </cell>
          <cell r="J37">
            <v>0.99</v>
          </cell>
          <cell r="K37"/>
          <cell r="L37"/>
          <cell r="M37"/>
          <cell r="N37"/>
          <cell r="O37">
            <v>1</v>
          </cell>
          <cell r="P37">
            <v>0.99</v>
          </cell>
          <cell r="Q37"/>
          <cell r="R37"/>
          <cell r="S37"/>
          <cell r="T37"/>
          <cell r="U37"/>
          <cell r="V37">
            <v>39845</v>
          </cell>
          <cell r="W37" t="str">
            <v/>
          </cell>
          <cell r="X37"/>
          <cell r="Y37" t="str">
            <v/>
          </cell>
          <cell r="Z37" t="str">
            <v/>
          </cell>
          <cell r="AA37"/>
          <cell r="AB37">
            <v>0</v>
          </cell>
          <cell r="AC37" t="str">
            <v/>
          </cell>
          <cell r="AD37" t="str">
            <v/>
          </cell>
          <cell r="AE37" t="str">
            <v/>
          </cell>
          <cell r="AF37">
            <v>39845</v>
          </cell>
          <cell r="AG37" t="str">
            <v/>
          </cell>
          <cell r="AH37" t="str">
            <v/>
          </cell>
          <cell r="AI37"/>
          <cell r="AJ37" t="str">
            <v/>
          </cell>
        </row>
        <row r="38">
          <cell r="D38">
            <v>39873</v>
          </cell>
          <cell r="E38"/>
          <cell r="F38"/>
          <cell r="G38"/>
          <cell r="H38"/>
          <cell r="I38">
            <v>1</v>
          </cell>
          <cell r="J38">
            <v>0.99</v>
          </cell>
          <cell r="K38"/>
          <cell r="L38"/>
          <cell r="M38"/>
          <cell r="N38"/>
          <cell r="O38">
            <v>1</v>
          </cell>
          <cell r="P38">
            <v>0.99</v>
          </cell>
          <cell r="Q38"/>
          <cell r="R38"/>
          <cell r="S38"/>
          <cell r="T38"/>
          <cell r="U38"/>
          <cell r="V38">
            <v>39873</v>
          </cell>
          <cell r="W38" t="str">
            <v/>
          </cell>
          <cell r="X38"/>
          <cell r="Y38" t="str">
            <v/>
          </cell>
          <cell r="Z38" t="str">
            <v/>
          </cell>
          <cell r="AA38"/>
          <cell r="AB38">
            <v>0</v>
          </cell>
          <cell r="AC38" t="str">
            <v/>
          </cell>
          <cell r="AD38" t="str">
            <v/>
          </cell>
          <cell r="AE38" t="str">
            <v/>
          </cell>
          <cell r="AF38">
            <v>39873</v>
          </cell>
          <cell r="AG38" t="str">
            <v/>
          </cell>
          <cell r="AH38" t="str">
            <v/>
          </cell>
          <cell r="AI38"/>
          <cell r="AJ38" t="str">
            <v/>
          </cell>
        </row>
        <row r="39">
          <cell r="D39">
            <v>39904</v>
          </cell>
          <cell r="E39"/>
          <cell r="F39"/>
          <cell r="G39"/>
          <cell r="H39"/>
          <cell r="I39">
            <v>1</v>
          </cell>
          <cell r="J39">
            <v>0.99</v>
          </cell>
          <cell r="K39"/>
          <cell r="L39"/>
          <cell r="M39"/>
          <cell r="N39"/>
          <cell r="O39">
            <v>1</v>
          </cell>
          <cell r="P39">
            <v>0.99</v>
          </cell>
          <cell r="V39">
            <v>39904</v>
          </cell>
          <cell r="W39" t="str">
            <v/>
          </cell>
          <cell r="X39"/>
          <cell r="Y39" t="str">
            <v/>
          </cell>
          <cell r="Z39" t="str">
            <v/>
          </cell>
          <cell r="AA39"/>
          <cell r="AB39">
            <v>0</v>
          </cell>
          <cell r="AC39" t="str">
            <v/>
          </cell>
          <cell r="AD39" t="str">
            <v/>
          </cell>
          <cell r="AE39" t="str">
            <v/>
          </cell>
          <cell r="AF39">
            <v>39904</v>
          </cell>
          <cell r="AG39" t="str">
            <v/>
          </cell>
          <cell r="AH39" t="str">
            <v/>
          </cell>
          <cell r="AI39"/>
          <cell r="AJ39" t="str">
            <v/>
          </cell>
        </row>
        <row r="40">
          <cell r="D40">
            <v>39934</v>
          </cell>
          <cell r="E40"/>
          <cell r="F40"/>
          <cell r="G40"/>
          <cell r="H40"/>
          <cell r="I40">
            <v>1</v>
          </cell>
          <cell r="J40">
            <v>0.99</v>
          </cell>
          <cell r="K40"/>
          <cell r="L40"/>
          <cell r="M40"/>
          <cell r="N40"/>
          <cell r="O40">
            <v>1</v>
          </cell>
          <cell r="P40">
            <v>0.99</v>
          </cell>
          <cell r="V40">
            <v>39934</v>
          </cell>
          <cell r="W40"/>
          <cell r="X40"/>
          <cell r="Y40" t="str">
            <v/>
          </cell>
          <cell r="Z40" t="str">
            <v/>
          </cell>
          <cell r="AA40"/>
          <cell r="AB40">
            <v>0</v>
          </cell>
          <cell r="AC40" t="str">
            <v/>
          </cell>
          <cell r="AD40" t="str">
            <v/>
          </cell>
          <cell r="AE40" t="str">
            <v/>
          </cell>
          <cell r="AF40">
            <v>39934</v>
          </cell>
          <cell r="AG40"/>
          <cell r="AH40" t="str">
            <v/>
          </cell>
          <cell r="AI40"/>
          <cell r="AJ40" t="str">
            <v/>
          </cell>
        </row>
        <row r="41">
          <cell r="D41">
            <v>39965</v>
          </cell>
          <cell r="E41"/>
          <cell r="F41"/>
          <cell r="G41"/>
          <cell r="H41"/>
          <cell r="I41">
            <v>1</v>
          </cell>
          <cell r="J41">
            <v>0.99</v>
          </cell>
          <cell r="K41"/>
          <cell r="L41"/>
          <cell r="M41"/>
          <cell r="N41"/>
          <cell r="O41">
            <v>1</v>
          </cell>
          <cell r="P41">
            <v>0.99</v>
          </cell>
          <cell r="V41">
            <v>39965</v>
          </cell>
          <cell r="W41"/>
          <cell r="X41"/>
          <cell r="Y41" t="str">
            <v/>
          </cell>
          <cell r="Z41" t="str">
            <v/>
          </cell>
          <cell r="AA41"/>
          <cell r="AB41">
            <v>0</v>
          </cell>
          <cell r="AC41" t="str">
            <v/>
          </cell>
          <cell r="AD41" t="str">
            <v/>
          </cell>
          <cell r="AE41" t="str">
            <v/>
          </cell>
          <cell r="AF41">
            <v>39965</v>
          </cell>
          <cell r="AG41"/>
          <cell r="AH41" t="str">
            <v/>
          </cell>
          <cell r="AI41"/>
          <cell r="AJ41" t="str">
            <v/>
          </cell>
        </row>
        <row r="42">
          <cell r="D42">
            <v>39995</v>
          </cell>
          <cell r="E42"/>
          <cell r="F42"/>
          <cell r="G42"/>
          <cell r="H42"/>
          <cell r="I42">
            <v>1</v>
          </cell>
          <cell r="J42">
            <v>0.99</v>
          </cell>
          <cell r="K42"/>
          <cell r="L42"/>
          <cell r="M42"/>
          <cell r="N42"/>
          <cell r="O42">
            <v>1</v>
          </cell>
          <cell r="P42">
            <v>0.99</v>
          </cell>
          <cell r="V42">
            <v>39995</v>
          </cell>
          <cell r="W42"/>
          <cell r="X42"/>
          <cell r="Y42" t="str">
            <v/>
          </cell>
          <cell r="Z42" t="str">
            <v/>
          </cell>
          <cell r="AA42"/>
          <cell r="AB42">
            <v>0</v>
          </cell>
          <cell r="AC42" t="str">
            <v/>
          </cell>
          <cell r="AD42" t="str">
            <v/>
          </cell>
          <cell r="AE42" t="str">
            <v/>
          </cell>
          <cell r="AF42">
            <v>39995</v>
          </cell>
          <cell r="AG42"/>
          <cell r="AH42" t="str">
            <v/>
          </cell>
          <cell r="AI42"/>
          <cell r="AJ42" t="str">
            <v/>
          </cell>
        </row>
        <row r="43">
          <cell r="D43">
            <v>40026</v>
          </cell>
          <cell r="E43"/>
          <cell r="F43"/>
          <cell r="G43"/>
          <cell r="H43"/>
          <cell r="I43">
            <v>1</v>
          </cell>
          <cell r="J43">
            <v>0.99</v>
          </cell>
          <cell r="K43"/>
          <cell r="L43"/>
          <cell r="M43"/>
          <cell r="N43"/>
          <cell r="O43">
            <v>1</v>
          </cell>
          <cell r="P43">
            <v>0.99</v>
          </cell>
          <cell r="V43">
            <v>40026</v>
          </cell>
          <cell r="W43"/>
          <cell r="X43"/>
          <cell r="Y43" t="str">
            <v/>
          </cell>
          <cell r="Z43" t="str">
            <v/>
          </cell>
          <cell r="AA43"/>
          <cell r="AB43">
            <v>0</v>
          </cell>
          <cell r="AC43" t="str">
            <v/>
          </cell>
          <cell r="AD43" t="str">
            <v/>
          </cell>
          <cell r="AE43" t="str">
            <v/>
          </cell>
          <cell r="AF43">
            <v>40026</v>
          </cell>
          <cell r="AG43"/>
          <cell r="AH43" t="str">
            <v/>
          </cell>
          <cell r="AI43"/>
          <cell r="AJ43" t="str">
            <v/>
          </cell>
        </row>
        <row r="44">
          <cell r="D44">
            <v>40057</v>
          </cell>
          <cell r="E44"/>
          <cell r="F44"/>
          <cell r="G44"/>
          <cell r="H44"/>
          <cell r="I44">
            <v>1</v>
          </cell>
          <cell r="J44">
            <v>0.99</v>
          </cell>
          <cell r="K44"/>
          <cell r="L44"/>
          <cell r="M44"/>
          <cell r="N44"/>
          <cell r="O44">
            <v>1</v>
          </cell>
          <cell r="P44">
            <v>0.99</v>
          </cell>
          <cell r="V44">
            <v>40057</v>
          </cell>
          <cell r="W44"/>
          <cell r="X44"/>
          <cell r="Y44" t="str">
            <v/>
          </cell>
          <cell r="Z44" t="str">
            <v/>
          </cell>
          <cell r="AA44"/>
          <cell r="AB44">
            <v>0</v>
          </cell>
          <cell r="AC44" t="str">
            <v/>
          </cell>
          <cell r="AD44" t="str">
            <v/>
          </cell>
          <cell r="AE44" t="str">
            <v/>
          </cell>
          <cell r="AF44">
            <v>40057</v>
          </cell>
          <cell r="AG44"/>
          <cell r="AH44" t="str">
            <v/>
          </cell>
          <cell r="AI44"/>
          <cell r="AJ44" t="str">
            <v/>
          </cell>
        </row>
      </sheetData>
      <sheetData sheetId="17">
        <row r="9">
          <cell r="D9"/>
          <cell r="E9" t="str">
            <v>Mesual</v>
          </cell>
          <cell r="F9"/>
          <cell r="G9"/>
          <cell r="H9"/>
          <cell r="I9"/>
          <cell r="J9"/>
          <cell r="K9" t="str">
            <v>Acumulado</v>
          </cell>
          <cell r="L9"/>
          <cell r="M9"/>
          <cell r="N9"/>
          <cell r="O9"/>
          <cell r="P9"/>
          <cell r="V9" t="str">
            <v>Mes</v>
          </cell>
          <cell r="W9"/>
          <cell r="X9"/>
          <cell r="Y9"/>
          <cell r="Z9"/>
          <cell r="AA9"/>
          <cell r="AB9"/>
          <cell r="AC9"/>
          <cell r="AD9"/>
          <cell r="AE9"/>
          <cell r="AF9" t="str">
            <v>Mes</v>
          </cell>
          <cell r="AG9"/>
          <cell r="AH9"/>
          <cell r="AI9"/>
          <cell r="AJ9"/>
        </row>
        <row r="10">
          <cell r="D10" t="str">
            <v>Fecha</v>
          </cell>
          <cell r="E10" t="str">
            <v>Estimado</v>
          </cell>
          <cell r="F10" t="str">
            <v>Performance</v>
          </cell>
          <cell r="G10"/>
          <cell r="H10"/>
          <cell r="I10" t="str">
            <v>Limites</v>
          </cell>
          <cell r="J10"/>
          <cell r="K10" t="str">
            <v>Estimado</v>
          </cell>
          <cell r="L10" t="str">
            <v>Performance</v>
          </cell>
          <cell r="M10"/>
          <cell r="N10"/>
          <cell r="O10" t="str">
            <v>Limites</v>
          </cell>
          <cell r="P10"/>
          <cell r="Q10"/>
          <cell r="R10"/>
          <cell r="S10"/>
          <cell r="T10"/>
          <cell r="U10"/>
          <cell r="V10"/>
          <cell r="W10" t="str">
            <v>Valores</v>
          </cell>
          <cell r="X10"/>
          <cell r="Y10" t="str">
            <v>Var 1.</v>
          </cell>
          <cell r="Z10"/>
          <cell r="AA10" t="str">
            <v>Proyectado</v>
          </cell>
          <cell r="AB10" t="str">
            <v>Anual</v>
          </cell>
          <cell r="AC10" t="str">
            <v>Var 2.</v>
          </cell>
          <cell r="AD10"/>
          <cell r="AE10" t="str">
            <v>% Avance 
del Año</v>
          </cell>
          <cell r="AF10"/>
          <cell r="AG10" t="str">
            <v>Valores</v>
          </cell>
          <cell r="AH10"/>
          <cell r="AI10" t="str">
            <v>Var 1.</v>
          </cell>
          <cell r="AJ10"/>
        </row>
        <row r="11">
          <cell r="D11"/>
          <cell r="E11"/>
          <cell r="F11"/>
          <cell r="G11"/>
          <cell r="H11"/>
          <cell r="I11" t="str">
            <v>Sup</v>
          </cell>
          <cell r="J11" t="str">
            <v>Inf</v>
          </cell>
          <cell r="K11"/>
          <cell r="L11"/>
          <cell r="M11"/>
          <cell r="N11"/>
          <cell r="O11" t="str">
            <v>Sup</v>
          </cell>
          <cell r="P11" t="str">
            <v>Inf</v>
          </cell>
          <cell r="Q11"/>
          <cell r="R11"/>
          <cell r="S11"/>
          <cell r="T11"/>
          <cell r="U11"/>
          <cell r="V11" t="str">
            <v>Fecha</v>
          </cell>
          <cell r="W11" t="str">
            <v>Anteriores</v>
          </cell>
          <cell r="X11" t="str">
            <v>Real</v>
          </cell>
          <cell r="Y11" t="str">
            <v>Unidades</v>
          </cell>
          <cell r="Z11" t="str">
            <v>%</v>
          </cell>
          <cell r="AA11"/>
          <cell r="AB11" t="str">
            <v>Proyectado</v>
          </cell>
          <cell r="AC11" t="str">
            <v>Unidades</v>
          </cell>
          <cell r="AD11" t="str">
            <v>%</v>
          </cell>
          <cell r="AE11"/>
          <cell r="AF11" t="str">
            <v>Fecha</v>
          </cell>
          <cell r="AG11" t="str">
            <v>Anteriores</v>
          </cell>
          <cell r="AH11" t="str">
            <v>Real</v>
          </cell>
          <cell r="AI11" t="str">
            <v>Unidades</v>
          </cell>
          <cell r="AJ11" t="str">
            <v>%</v>
          </cell>
        </row>
        <row r="12">
          <cell r="D12">
            <v>39083</v>
          </cell>
          <cell r="E12"/>
          <cell r="F12" t="str">
            <v/>
          </cell>
          <cell r="G12" t="str">
            <v/>
          </cell>
          <cell r="H12" t="str">
            <v/>
          </cell>
          <cell r="I12"/>
          <cell r="J12"/>
          <cell r="K12"/>
          <cell r="L12" t="str">
            <v/>
          </cell>
          <cell r="M12" t="str">
            <v/>
          </cell>
          <cell r="N12" t="str">
            <v/>
          </cell>
          <cell r="O12"/>
          <cell r="P12"/>
          <cell r="Q12"/>
          <cell r="R12"/>
          <cell r="S12"/>
          <cell r="T12"/>
          <cell r="U12"/>
          <cell r="V12">
            <v>39083</v>
          </cell>
          <cell r="W12"/>
          <cell r="X12" t="str">
            <v/>
          </cell>
          <cell r="Y12" t="str">
            <v/>
          </cell>
          <cell r="Z12"/>
          <cell r="AA12"/>
          <cell r="AB12">
            <v>0</v>
          </cell>
          <cell r="AC12" t="str">
            <v/>
          </cell>
          <cell r="AD12" t="str">
            <v/>
          </cell>
          <cell r="AE12" t="str">
            <v/>
          </cell>
          <cell r="AF12">
            <v>39083</v>
          </cell>
          <cell r="AG12"/>
          <cell r="AH12" t="str">
            <v/>
          </cell>
          <cell r="AI12" t="str">
            <v/>
          </cell>
          <cell r="AJ12" t="str">
            <v/>
          </cell>
        </row>
        <row r="13">
          <cell r="D13">
            <v>39114</v>
          </cell>
          <cell r="E13"/>
          <cell r="F13" t="str">
            <v/>
          </cell>
          <cell r="G13" t="str">
            <v/>
          </cell>
          <cell r="H13" t="str">
            <v/>
          </cell>
          <cell r="I13"/>
          <cell r="J13"/>
          <cell r="K13"/>
          <cell r="L13" t="str">
            <v/>
          </cell>
          <cell r="M13" t="str">
            <v/>
          </cell>
          <cell r="N13" t="str">
            <v/>
          </cell>
          <cell r="O13"/>
          <cell r="P13"/>
          <cell r="Q13"/>
          <cell r="R13"/>
          <cell r="S13"/>
          <cell r="T13"/>
          <cell r="U13"/>
          <cell r="V13">
            <v>39114</v>
          </cell>
          <cell r="W13"/>
          <cell r="X13" t="str">
            <v/>
          </cell>
          <cell r="Y13" t="str">
            <v/>
          </cell>
          <cell r="Z13"/>
          <cell r="AA13"/>
          <cell r="AB13">
            <v>0</v>
          </cell>
          <cell r="AC13" t="str">
            <v/>
          </cell>
          <cell r="AD13" t="str">
            <v/>
          </cell>
          <cell r="AE13" t="str">
            <v/>
          </cell>
          <cell r="AF13">
            <v>39114</v>
          </cell>
          <cell r="AG13"/>
          <cell r="AH13" t="str">
            <v/>
          </cell>
          <cell r="AI13" t="str">
            <v/>
          </cell>
          <cell r="AJ13" t="str">
            <v/>
          </cell>
        </row>
        <row r="14">
          <cell r="D14">
            <v>39142</v>
          </cell>
          <cell r="E14"/>
          <cell r="F14" t="str">
            <v/>
          </cell>
          <cell r="G14" t="str">
            <v/>
          </cell>
          <cell r="H14" t="str">
            <v/>
          </cell>
          <cell r="I14"/>
          <cell r="J14"/>
          <cell r="K14"/>
          <cell r="L14" t="str">
            <v/>
          </cell>
          <cell r="M14" t="str">
            <v/>
          </cell>
          <cell r="N14" t="str">
            <v/>
          </cell>
          <cell r="O14"/>
          <cell r="P14"/>
          <cell r="Q14"/>
          <cell r="R14"/>
          <cell r="S14"/>
          <cell r="T14"/>
          <cell r="U14"/>
          <cell r="V14">
            <v>39142</v>
          </cell>
          <cell r="W14"/>
          <cell r="X14" t="str">
            <v/>
          </cell>
          <cell r="Y14" t="str">
            <v/>
          </cell>
          <cell r="Z14"/>
          <cell r="AA14"/>
          <cell r="AB14">
            <v>0</v>
          </cell>
          <cell r="AC14" t="str">
            <v/>
          </cell>
          <cell r="AD14" t="str">
            <v/>
          </cell>
          <cell r="AE14" t="str">
            <v/>
          </cell>
          <cell r="AF14">
            <v>39142</v>
          </cell>
          <cell r="AG14"/>
          <cell r="AH14" t="str">
            <v/>
          </cell>
          <cell r="AI14" t="str">
            <v/>
          </cell>
          <cell r="AJ14" t="str">
            <v/>
          </cell>
        </row>
        <row r="15">
          <cell r="D15">
            <v>39173</v>
          </cell>
          <cell r="E15"/>
          <cell r="F15" t="str">
            <v/>
          </cell>
          <cell r="G15" t="str">
            <v/>
          </cell>
          <cell r="H15" t="str">
            <v/>
          </cell>
          <cell r="I15"/>
          <cell r="J15"/>
          <cell r="K15"/>
          <cell r="L15" t="str">
            <v/>
          </cell>
          <cell r="M15" t="str">
            <v/>
          </cell>
          <cell r="N15" t="str">
            <v/>
          </cell>
          <cell r="O15"/>
          <cell r="P15"/>
          <cell r="Q15"/>
          <cell r="R15"/>
          <cell r="S15"/>
          <cell r="T15"/>
          <cell r="U15"/>
          <cell r="V15">
            <v>39173</v>
          </cell>
          <cell r="W15"/>
          <cell r="X15" t="str">
            <v/>
          </cell>
          <cell r="Y15" t="str">
            <v/>
          </cell>
          <cell r="Z15"/>
          <cell r="AA15"/>
          <cell r="AB15">
            <v>0</v>
          </cell>
          <cell r="AC15" t="str">
            <v/>
          </cell>
          <cell r="AD15" t="str">
            <v/>
          </cell>
          <cell r="AE15" t="str">
            <v/>
          </cell>
          <cell r="AF15">
            <v>39173</v>
          </cell>
          <cell r="AG15"/>
          <cell r="AH15" t="str">
            <v/>
          </cell>
          <cell r="AI15" t="str">
            <v/>
          </cell>
          <cell r="AJ15" t="str">
            <v/>
          </cell>
        </row>
        <row r="16">
          <cell r="D16">
            <v>39203</v>
          </cell>
          <cell r="E16"/>
          <cell r="F16" t="str">
            <v/>
          </cell>
          <cell r="G16" t="str">
            <v/>
          </cell>
          <cell r="H16" t="str">
            <v/>
          </cell>
          <cell r="I16"/>
          <cell r="J16"/>
          <cell r="K16"/>
          <cell r="L16" t="str">
            <v/>
          </cell>
          <cell r="M16" t="str">
            <v/>
          </cell>
          <cell r="N16" t="str">
            <v/>
          </cell>
          <cell r="O16"/>
          <cell r="P16"/>
          <cell r="Q16"/>
          <cell r="R16"/>
          <cell r="S16"/>
          <cell r="T16"/>
          <cell r="U16"/>
          <cell r="V16">
            <v>39203</v>
          </cell>
          <cell r="W16"/>
          <cell r="X16" t="str">
            <v/>
          </cell>
          <cell r="Y16" t="str">
            <v/>
          </cell>
          <cell r="Z16"/>
          <cell r="AA16"/>
          <cell r="AB16">
            <v>0</v>
          </cell>
          <cell r="AC16" t="str">
            <v/>
          </cell>
          <cell r="AD16" t="str">
            <v/>
          </cell>
          <cell r="AE16" t="str">
            <v/>
          </cell>
          <cell r="AF16">
            <v>39203</v>
          </cell>
          <cell r="AG16"/>
          <cell r="AH16" t="str">
            <v/>
          </cell>
          <cell r="AI16" t="str">
            <v/>
          </cell>
          <cell r="AJ16" t="str">
            <v/>
          </cell>
        </row>
        <row r="17">
          <cell r="D17">
            <v>39234</v>
          </cell>
          <cell r="E17"/>
          <cell r="F17" t="str">
            <v/>
          </cell>
          <cell r="G17" t="str">
            <v/>
          </cell>
          <cell r="H17" t="str">
            <v/>
          </cell>
          <cell r="I17"/>
          <cell r="J17"/>
          <cell r="K17"/>
          <cell r="L17" t="str">
            <v/>
          </cell>
          <cell r="M17" t="str">
            <v/>
          </cell>
          <cell r="N17" t="str">
            <v/>
          </cell>
          <cell r="O17"/>
          <cell r="P17"/>
          <cell r="Q17"/>
          <cell r="R17"/>
          <cell r="S17"/>
          <cell r="T17"/>
          <cell r="U17"/>
          <cell r="V17">
            <v>39234</v>
          </cell>
          <cell r="W17"/>
          <cell r="X17" t="str">
            <v/>
          </cell>
          <cell r="Y17" t="str">
            <v/>
          </cell>
          <cell r="Z17"/>
          <cell r="AA17"/>
          <cell r="AB17">
            <v>0</v>
          </cell>
          <cell r="AC17" t="str">
            <v/>
          </cell>
          <cell r="AD17" t="str">
            <v/>
          </cell>
          <cell r="AE17" t="str">
            <v/>
          </cell>
          <cell r="AF17">
            <v>39234</v>
          </cell>
          <cell r="AG17"/>
          <cell r="AH17" t="str">
            <v/>
          </cell>
          <cell r="AI17" t="str">
            <v/>
          </cell>
          <cell r="AJ17" t="str">
            <v/>
          </cell>
        </row>
        <row r="18">
          <cell r="D18">
            <v>39264</v>
          </cell>
          <cell r="E18"/>
          <cell r="F18" t="str">
            <v/>
          </cell>
          <cell r="G18" t="str">
            <v/>
          </cell>
          <cell r="H18" t="str">
            <v/>
          </cell>
          <cell r="I18"/>
          <cell r="J18"/>
          <cell r="K18"/>
          <cell r="L18" t="str">
            <v/>
          </cell>
          <cell r="M18" t="str">
            <v/>
          </cell>
          <cell r="N18" t="str">
            <v/>
          </cell>
          <cell r="O18"/>
          <cell r="P18"/>
          <cell r="Q18"/>
          <cell r="R18"/>
          <cell r="S18"/>
          <cell r="T18"/>
          <cell r="U18"/>
          <cell r="V18">
            <v>39264</v>
          </cell>
          <cell r="W18"/>
          <cell r="X18" t="str">
            <v/>
          </cell>
          <cell r="Y18" t="str">
            <v/>
          </cell>
          <cell r="Z18"/>
          <cell r="AA18"/>
          <cell r="AB18">
            <v>0</v>
          </cell>
          <cell r="AC18" t="str">
            <v/>
          </cell>
          <cell r="AD18" t="str">
            <v/>
          </cell>
          <cell r="AE18" t="str">
            <v/>
          </cell>
          <cell r="AF18">
            <v>39264</v>
          </cell>
          <cell r="AG18"/>
          <cell r="AH18" t="str">
            <v/>
          </cell>
          <cell r="AI18" t="str">
            <v/>
          </cell>
          <cell r="AJ18" t="str">
            <v/>
          </cell>
        </row>
        <row r="19">
          <cell r="D19">
            <v>39295</v>
          </cell>
          <cell r="E19"/>
          <cell r="F19" t="str">
            <v/>
          </cell>
          <cell r="G19" t="str">
            <v/>
          </cell>
          <cell r="H19" t="str">
            <v/>
          </cell>
          <cell r="I19"/>
          <cell r="J19"/>
          <cell r="K19"/>
          <cell r="L19" t="str">
            <v/>
          </cell>
          <cell r="M19" t="str">
            <v/>
          </cell>
          <cell r="N19" t="str">
            <v/>
          </cell>
          <cell r="O19"/>
          <cell r="P19"/>
          <cell r="Q19"/>
          <cell r="R19"/>
          <cell r="S19"/>
          <cell r="T19"/>
          <cell r="U19"/>
          <cell r="V19">
            <v>39295</v>
          </cell>
          <cell r="W19"/>
          <cell r="X19" t="str">
            <v/>
          </cell>
          <cell r="Y19" t="str">
            <v/>
          </cell>
          <cell r="Z19"/>
          <cell r="AA19"/>
          <cell r="AB19">
            <v>0</v>
          </cell>
          <cell r="AC19" t="str">
            <v/>
          </cell>
          <cell r="AD19" t="str">
            <v/>
          </cell>
          <cell r="AE19" t="str">
            <v/>
          </cell>
          <cell r="AF19">
            <v>39295</v>
          </cell>
          <cell r="AG19"/>
          <cell r="AH19" t="str">
            <v/>
          </cell>
          <cell r="AI19" t="str">
            <v/>
          </cell>
          <cell r="AJ19" t="str">
            <v/>
          </cell>
        </row>
        <row r="20">
          <cell r="D20">
            <v>39326</v>
          </cell>
          <cell r="E20"/>
          <cell r="F20" t="str">
            <v/>
          </cell>
          <cell r="G20" t="str">
            <v/>
          </cell>
          <cell r="H20" t="str">
            <v/>
          </cell>
          <cell r="I20"/>
          <cell r="J20"/>
          <cell r="K20"/>
          <cell r="L20" t="str">
            <v/>
          </cell>
          <cell r="M20" t="str">
            <v/>
          </cell>
          <cell r="N20" t="str">
            <v/>
          </cell>
          <cell r="O20"/>
          <cell r="P20"/>
          <cell r="Q20"/>
          <cell r="R20"/>
          <cell r="S20"/>
          <cell r="T20"/>
          <cell r="U20"/>
          <cell r="V20">
            <v>39326</v>
          </cell>
          <cell r="W20"/>
          <cell r="X20" t="str">
            <v/>
          </cell>
          <cell r="Y20" t="str">
            <v/>
          </cell>
          <cell r="Z20"/>
          <cell r="AA20"/>
          <cell r="AB20">
            <v>0</v>
          </cell>
          <cell r="AC20" t="str">
            <v/>
          </cell>
          <cell r="AD20" t="str">
            <v/>
          </cell>
          <cell r="AE20" t="str">
            <v/>
          </cell>
          <cell r="AF20">
            <v>39326</v>
          </cell>
          <cell r="AG20"/>
          <cell r="AH20" t="str">
            <v/>
          </cell>
          <cell r="AI20" t="str">
            <v/>
          </cell>
          <cell r="AJ20" t="str">
            <v/>
          </cell>
        </row>
        <row r="21">
          <cell r="D21">
            <v>39356</v>
          </cell>
          <cell r="E21"/>
          <cell r="F21" t="str">
            <v/>
          </cell>
          <cell r="G21" t="str">
            <v/>
          </cell>
          <cell r="H21" t="str">
            <v/>
          </cell>
          <cell r="I21"/>
          <cell r="J21"/>
          <cell r="K21"/>
          <cell r="L21" t="str">
            <v/>
          </cell>
          <cell r="M21" t="str">
            <v/>
          </cell>
          <cell r="N21" t="str">
            <v/>
          </cell>
          <cell r="O21"/>
          <cell r="P21"/>
          <cell r="Q21"/>
          <cell r="R21"/>
          <cell r="S21"/>
          <cell r="T21"/>
          <cell r="U21"/>
          <cell r="V21">
            <v>39356</v>
          </cell>
          <cell r="W21"/>
          <cell r="X21" t="str">
            <v/>
          </cell>
          <cell r="Y21" t="str">
            <v/>
          </cell>
          <cell r="Z21"/>
          <cell r="AA21"/>
          <cell r="AB21">
            <v>0</v>
          </cell>
          <cell r="AC21" t="str">
            <v/>
          </cell>
          <cell r="AD21" t="str">
            <v/>
          </cell>
          <cell r="AE21" t="str">
            <v/>
          </cell>
          <cell r="AF21">
            <v>39356</v>
          </cell>
          <cell r="AG21"/>
          <cell r="AH21" t="str">
            <v/>
          </cell>
          <cell r="AI21" t="str">
            <v/>
          </cell>
          <cell r="AJ21" t="str">
            <v/>
          </cell>
        </row>
        <row r="22">
          <cell r="D22">
            <v>39387</v>
          </cell>
          <cell r="E22"/>
          <cell r="F22" t="str">
            <v/>
          </cell>
          <cell r="G22" t="str">
            <v/>
          </cell>
          <cell r="H22" t="str">
            <v/>
          </cell>
          <cell r="I22"/>
          <cell r="J22"/>
          <cell r="K22"/>
          <cell r="L22" t="str">
            <v/>
          </cell>
          <cell r="M22" t="str">
            <v/>
          </cell>
          <cell r="N22" t="str">
            <v/>
          </cell>
          <cell r="O22"/>
          <cell r="P22"/>
          <cell r="Q22"/>
          <cell r="R22"/>
          <cell r="S22"/>
          <cell r="T22"/>
          <cell r="U22"/>
          <cell r="V22">
            <v>39387</v>
          </cell>
          <cell r="W22"/>
          <cell r="X22" t="str">
            <v/>
          </cell>
          <cell r="Y22" t="str">
            <v/>
          </cell>
          <cell r="Z22"/>
          <cell r="AA22"/>
          <cell r="AB22">
            <v>0</v>
          </cell>
          <cell r="AC22" t="str">
            <v/>
          </cell>
          <cell r="AD22" t="str">
            <v/>
          </cell>
          <cell r="AE22" t="str">
            <v/>
          </cell>
          <cell r="AF22">
            <v>39387</v>
          </cell>
          <cell r="AG22"/>
          <cell r="AH22" t="str">
            <v/>
          </cell>
          <cell r="AI22" t="str">
            <v/>
          </cell>
          <cell r="AJ22" t="str">
            <v/>
          </cell>
        </row>
        <row r="23">
          <cell r="D23">
            <v>39417</v>
          </cell>
          <cell r="E23"/>
          <cell r="F23" t="str">
            <v/>
          </cell>
          <cell r="G23" t="str">
            <v/>
          </cell>
          <cell r="H23" t="str">
            <v/>
          </cell>
          <cell r="I23"/>
          <cell r="J23"/>
          <cell r="K23"/>
          <cell r="L23" t="str">
            <v/>
          </cell>
          <cell r="M23" t="str">
            <v/>
          </cell>
          <cell r="N23" t="str">
            <v/>
          </cell>
          <cell r="O23"/>
          <cell r="P23"/>
          <cell r="Q23"/>
          <cell r="R23"/>
          <cell r="S23"/>
          <cell r="T23"/>
          <cell r="U23"/>
          <cell r="V23">
            <v>39417</v>
          </cell>
          <cell r="W23"/>
          <cell r="X23" t="str">
            <v/>
          </cell>
          <cell r="Y23" t="str">
            <v/>
          </cell>
          <cell r="Z23"/>
          <cell r="AA23"/>
          <cell r="AB23">
            <v>0</v>
          </cell>
          <cell r="AC23" t="str">
            <v/>
          </cell>
          <cell r="AD23" t="str">
            <v/>
          </cell>
          <cell r="AE23" t="str">
            <v/>
          </cell>
          <cell r="AF23">
            <v>39417</v>
          </cell>
          <cell r="AG23"/>
          <cell r="AH23" t="str">
            <v/>
          </cell>
          <cell r="AI23" t="str">
            <v/>
          </cell>
          <cell r="AJ23" t="str">
            <v/>
          </cell>
        </row>
        <row r="24">
          <cell r="D24">
            <v>39448</v>
          </cell>
          <cell r="E24"/>
          <cell r="F24" t="str">
            <v/>
          </cell>
          <cell r="G24" t="str">
            <v/>
          </cell>
          <cell r="H24" t="str">
            <v/>
          </cell>
          <cell r="I24"/>
          <cell r="J24"/>
          <cell r="K24"/>
          <cell r="L24" t="str">
            <v/>
          </cell>
          <cell r="M24" t="str">
            <v/>
          </cell>
          <cell r="N24" t="str">
            <v/>
          </cell>
          <cell r="O24"/>
          <cell r="P24"/>
          <cell r="Q24"/>
          <cell r="R24"/>
          <cell r="S24"/>
          <cell r="T24"/>
          <cell r="U24"/>
          <cell r="V24">
            <v>39448</v>
          </cell>
          <cell r="W24" t="str">
            <v/>
          </cell>
          <cell r="X24" t="str">
            <v/>
          </cell>
          <cell r="Y24" t="str">
            <v/>
          </cell>
          <cell r="Z24"/>
          <cell r="AA24"/>
          <cell r="AB24">
            <v>0</v>
          </cell>
          <cell r="AC24" t="str">
            <v/>
          </cell>
          <cell r="AD24" t="str">
            <v/>
          </cell>
          <cell r="AE24" t="str">
            <v/>
          </cell>
          <cell r="AF24">
            <v>39448</v>
          </cell>
          <cell r="AG24" t="str">
            <v/>
          </cell>
          <cell r="AH24" t="str">
            <v/>
          </cell>
          <cell r="AI24" t="str">
            <v/>
          </cell>
          <cell r="AJ24" t="str">
            <v/>
          </cell>
        </row>
        <row r="25">
          <cell r="D25">
            <v>39479</v>
          </cell>
          <cell r="E25"/>
          <cell r="F25" t="str">
            <v/>
          </cell>
          <cell r="G25" t="str">
            <v/>
          </cell>
          <cell r="H25" t="str">
            <v/>
          </cell>
          <cell r="I25"/>
          <cell r="J25"/>
          <cell r="K25"/>
          <cell r="L25" t="str">
            <v/>
          </cell>
          <cell r="M25" t="str">
            <v/>
          </cell>
          <cell r="N25" t="str">
            <v/>
          </cell>
          <cell r="O25"/>
          <cell r="P25"/>
          <cell r="Q25"/>
          <cell r="R25"/>
          <cell r="S25"/>
          <cell r="T25"/>
          <cell r="U25"/>
          <cell r="V25">
            <v>39479</v>
          </cell>
          <cell r="W25" t="str">
            <v/>
          </cell>
          <cell r="X25" t="str">
            <v/>
          </cell>
          <cell r="Y25" t="str">
            <v/>
          </cell>
          <cell r="Z25"/>
          <cell r="AA25"/>
          <cell r="AB25">
            <v>0</v>
          </cell>
          <cell r="AC25" t="str">
            <v/>
          </cell>
          <cell r="AD25" t="str">
            <v/>
          </cell>
          <cell r="AE25" t="str">
            <v/>
          </cell>
          <cell r="AF25">
            <v>39479</v>
          </cell>
          <cell r="AG25" t="str">
            <v/>
          </cell>
          <cell r="AH25" t="str">
            <v/>
          </cell>
          <cell r="AI25" t="str">
            <v/>
          </cell>
          <cell r="AJ25" t="str">
            <v/>
          </cell>
        </row>
        <row r="26">
          <cell r="D26">
            <v>39508</v>
          </cell>
          <cell r="E26"/>
          <cell r="F26" t="str">
            <v/>
          </cell>
          <cell r="G26" t="str">
            <v/>
          </cell>
          <cell r="H26" t="str">
            <v/>
          </cell>
          <cell r="I26"/>
          <cell r="J26"/>
          <cell r="K26"/>
          <cell r="L26" t="str">
            <v/>
          </cell>
          <cell r="M26" t="str">
            <v/>
          </cell>
          <cell r="N26" t="str">
            <v/>
          </cell>
          <cell r="O26"/>
          <cell r="P26"/>
          <cell r="Q26"/>
          <cell r="R26"/>
          <cell r="S26"/>
          <cell r="T26"/>
          <cell r="U26"/>
          <cell r="V26">
            <v>39508</v>
          </cell>
          <cell r="W26" t="str">
            <v/>
          </cell>
          <cell r="X26" t="str">
            <v/>
          </cell>
          <cell r="Y26" t="str">
            <v/>
          </cell>
          <cell r="Z26"/>
          <cell r="AA26"/>
          <cell r="AB26">
            <v>0</v>
          </cell>
          <cell r="AC26" t="str">
            <v/>
          </cell>
          <cell r="AD26" t="str">
            <v/>
          </cell>
          <cell r="AE26" t="str">
            <v/>
          </cell>
          <cell r="AF26">
            <v>39508</v>
          </cell>
          <cell r="AG26" t="str">
            <v/>
          </cell>
          <cell r="AH26" t="str">
            <v/>
          </cell>
          <cell r="AI26" t="str">
            <v/>
          </cell>
          <cell r="AJ26" t="str">
            <v/>
          </cell>
        </row>
        <row r="27">
          <cell r="D27">
            <v>39539</v>
          </cell>
          <cell r="E27"/>
          <cell r="F27" t="str">
            <v/>
          </cell>
          <cell r="G27" t="str">
            <v/>
          </cell>
          <cell r="H27" t="str">
            <v/>
          </cell>
          <cell r="I27"/>
          <cell r="J27"/>
          <cell r="K27"/>
          <cell r="L27" t="str">
            <v/>
          </cell>
          <cell r="M27" t="str">
            <v/>
          </cell>
          <cell r="N27" t="str">
            <v/>
          </cell>
          <cell r="O27"/>
          <cell r="P27"/>
          <cell r="Q27"/>
          <cell r="R27"/>
          <cell r="S27"/>
          <cell r="T27"/>
          <cell r="U27"/>
          <cell r="V27">
            <v>39539</v>
          </cell>
          <cell r="W27" t="str">
            <v/>
          </cell>
          <cell r="X27" t="str">
            <v/>
          </cell>
          <cell r="Y27" t="str">
            <v/>
          </cell>
          <cell r="Z27"/>
          <cell r="AA27"/>
          <cell r="AB27">
            <v>0</v>
          </cell>
          <cell r="AC27" t="str">
            <v/>
          </cell>
          <cell r="AD27" t="str">
            <v/>
          </cell>
          <cell r="AE27" t="str">
            <v/>
          </cell>
          <cell r="AF27">
            <v>39539</v>
          </cell>
          <cell r="AG27" t="str">
            <v/>
          </cell>
          <cell r="AH27" t="str">
            <v/>
          </cell>
          <cell r="AI27" t="str">
            <v/>
          </cell>
          <cell r="AJ27" t="str">
            <v/>
          </cell>
        </row>
        <row r="28">
          <cell r="D28">
            <v>39569</v>
          </cell>
          <cell r="E28"/>
          <cell r="F28" t="str">
            <v/>
          </cell>
          <cell r="G28" t="str">
            <v/>
          </cell>
          <cell r="H28" t="str">
            <v/>
          </cell>
          <cell r="I28"/>
          <cell r="J28"/>
          <cell r="K28"/>
          <cell r="L28" t="str">
            <v/>
          </cell>
          <cell r="M28" t="str">
            <v/>
          </cell>
          <cell r="N28" t="str">
            <v/>
          </cell>
          <cell r="O28"/>
          <cell r="P28"/>
          <cell r="Q28"/>
          <cell r="R28"/>
          <cell r="S28"/>
          <cell r="T28"/>
          <cell r="U28"/>
          <cell r="V28">
            <v>39569</v>
          </cell>
          <cell r="W28" t="str">
            <v/>
          </cell>
          <cell r="X28" t="str">
            <v/>
          </cell>
          <cell r="Y28" t="str">
            <v/>
          </cell>
          <cell r="Z28"/>
          <cell r="AA28"/>
          <cell r="AB28">
            <v>0</v>
          </cell>
          <cell r="AC28" t="str">
            <v/>
          </cell>
          <cell r="AD28" t="str">
            <v/>
          </cell>
          <cell r="AE28" t="str">
            <v/>
          </cell>
          <cell r="AF28">
            <v>39569</v>
          </cell>
          <cell r="AG28" t="str">
            <v/>
          </cell>
          <cell r="AH28" t="str">
            <v/>
          </cell>
          <cell r="AI28" t="str">
            <v/>
          </cell>
          <cell r="AJ28" t="str">
            <v/>
          </cell>
        </row>
        <row r="29">
          <cell r="D29">
            <v>39600</v>
          </cell>
          <cell r="E29"/>
          <cell r="F29" t="str">
            <v/>
          </cell>
          <cell r="G29" t="str">
            <v/>
          </cell>
          <cell r="H29" t="str">
            <v/>
          </cell>
          <cell r="I29"/>
          <cell r="J29"/>
          <cell r="K29"/>
          <cell r="L29" t="str">
            <v/>
          </cell>
          <cell r="M29" t="str">
            <v/>
          </cell>
          <cell r="N29" t="str">
            <v/>
          </cell>
          <cell r="O29"/>
          <cell r="P29"/>
          <cell r="Q29"/>
          <cell r="R29"/>
          <cell r="S29"/>
          <cell r="T29"/>
          <cell r="U29"/>
          <cell r="V29">
            <v>39600</v>
          </cell>
          <cell r="W29" t="str">
            <v/>
          </cell>
          <cell r="X29" t="str">
            <v/>
          </cell>
          <cell r="Y29" t="str">
            <v/>
          </cell>
          <cell r="Z29"/>
          <cell r="AA29"/>
          <cell r="AB29">
            <v>0</v>
          </cell>
          <cell r="AC29" t="str">
            <v/>
          </cell>
          <cell r="AD29" t="str">
            <v/>
          </cell>
          <cell r="AE29" t="str">
            <v/>
          </cell>
          <cell r="AF29">
            <v>39600</v>
          </cell>
          <cell r="AG29" t="str">
            <v/>
          </cell>
          <cell r="AH29" t="str">
            <v/>
          </cell>
          <cell r="AI29" t="str">
            <v/>
          </cell>
          <cell r="AJ29" t="str">
            <v/>
          </cell>
        </row>
        <row r="30">
          <cell r="D30">
            <v>39630</v>
          </cell>
          <cell r="E30"/>
          <cell r="F30" t="str">
            <v/>
          </cell>
          <cell r="G30" t="str">
            <v/>
          </cell>
          <cell r="H30" t="str">
            <v/>
          </cell>
          <cell r="I30"/>
          <cell r="J30"/>
          <cell r="K30"/>
          <cell r="L30" t="str">
            <v/>
          </cell>
          <cell r="M30" t="str">
            <v/>
          </cell>
          <cell r="N30" t="str">
            <v/>
          </cell>
          <cell r="O30"/>
          <cell r="P30"/>
          <cell r="Q30"/>
          <cell r="R30"/>
          <cell r="S30"/>
          <cell r="T30"/>
          <cell r="U30"/>
          <cell r="V30">
            <v>39630</v>
          </cell>
          <cell r="W30" t="str">
            <v/>
          </cell>
          <cell r="X30" t="str">
            <v/>
          </cell>
          <cell r="Y30" t="str">
            <v/>
          </cell>
          <cell r="Z30"/>
          <cell r="AA30"/>
          <cell r="AB30">
            <v>0</v>
          </cell>
          <cell r="AC30" t="str">
            <v/>
          </cell>
          <cell r="AD30" t="str">
            <v/>
          </cell>
          <cell r="AE30" t="str">
            <v/>
          </cell>
          <cell r="AF30">
            <v>39630</v>
          </cell>
          <cell r="AG30" t="str">
            <v/>
          </cell>
          <cell r="AH30" t="str">
            <v/>
          </cell>
          <cell r="AI30" t="str">
            <v/>
          </cell>
          <cell r="AJ30" t="str">
            <v/>
          </cell>
        </row>
        <row r="31">
          <cell r="D31">
            <v>39661</v>
          </cell>
          <cell r="E31"/>
          <cell r="F31" t="str">
            <v/>
          </cell>
          <cell r="G31" t="str">
            <v/>
          </cell>
          <cell r="H31" t="str">
            <v/>
          </cell>
          <cell r="I31"/>
          <cell r="J31"/>
          <cell r="K31"/>
          <cell r="L31" t="str">
            <v/>
          </cell>
          <cell r="M31" t="str">
            <v/>
          </cell>
          <cell r="N31" t="str">
            <v/>
          </cell>
          <cell r="O31"/>
          <cell r="P31"/>
          <cell r="Q31"/>
          <cell r="R31"/>
          <cell r="S31"/>
          <cell r="T31"/>
          <cell r="U31"/>
          <cell r="V31">
            <v>39661</v>
          </cell>
          <cell r="W31" t="str">
            <v/>
          </cell>
          <cell r="X31" t="str">
            <v/>
          </cell>
          <cell r="Y31" t="str">
            <v/>
          </cell>
          <cell r="Z31" t="str">
            <v/>
          </cell>
          <cell r="AA31"/>
          <cell r="AB31">
            <v>0</v>
          </cell>
          <cell r="AC31" t="str">
            <v/>
          </cell>
          <cell r="AD31" t="str">
            <v/>
          </cell>
          <cell r="AE31" t="str">
            <v/>
          </cell>
          <cell r="AF31">
            <v>39661</v>
          </cell>
          <cell r="AG31" t="str">
            <v/>
          </cell>
          <cell r="AH31" t="str">
            <v/>
          </cell>
          <cell r="AI31" t="str">
            <v/>
          </cell>
          <cell r="AJ31" t="str">
            <v/>
          </cell>
        </row>
        <row r="32">
          <cell r="D32">
            <v>39692</v>
          </cell>
          <cell r="E32"/>
          <cell r="F32"/>
          <cell r="G32"/>
          <cell r="H32"/>
          <cell r="I32"/>
          <cell r="J32"/>
          <cell r="K32"/>
          <cell r="L32"/>
          <cell r="M32"/>
          <cell r="N32"/>
          <cell r="O32"/>
          <cell r="P32"/>
          <cell r="Q32"/>
          <cell r="R32"/>
          <cell r="S32"/>
          <cell r="T32"/>
          <cell r="U32"/>
          <cell r="V32">
            <v>39692</v>
          </cell>
          <cell r="W32" t="str">
            <v/>
          </cell>
          <cell r="X32"/>
          <cell r="Y32" t="str">
            <v/>
          </cell>
          <cell r="Z32" t="str">
            <v/>
          </cell>
          <cell r="AA32"/>
          <cell r="AB32">
            <v>0</v>
          </cell>
          <cell r="AC32" t="str">
            <v/>
          </cell>
          <cell r="AD32" t="str">
            <v/>
          </cell>
          <cell r="AE32" t="str">
            <v/>
          </cell>
          <cell r="AF32">
            <v>39692</v>
          </cell>
          <cell r="AG32" t="str">
            <v/>
          </cell>
          <cell r="AH32" t="str">
            <v/>
          </cell>
          <cell r="AI32"/>
          <cell r="AJ32" t="str">
            <v/>
          </cell>
        </row>
        <row r="33">
          <cell r="D33">
            <v>39722</v>
          </cell>
          <cell r="E33"/>
          <cell r="F33"/>
          <cell r="G33"/>
          <cell r="H33"/>
          <cell r="I33"/>
          <cell r="J33"/>
          <cell r="K33"/>
          <cell r="L33"/>
          <cell r="M33"/>
          <cell r="N33"/>
          <cell r="O33"/>
          <cell r="P33"/>
          <cell r="Q33"/>
          <cell r="R33"/>
          <cell r="S33"/>
          <cell r="T33"/>
          <cell r="U33"/>
          <cell r="V33">
            <v>39722</v>
          </cell>
          <cell r="W33" t="str">
            <v/>
          </cell>
          <cell r="X33"/>
          <cell r="Y33" t="str">
            <v/>
          </cell>
          <cell r="Z33" t="str">
            <v/>
          </cell>
          <cell r="AA33"/>
          <cell r="AB33">
            <v>0</v>
          </cell>
          <cell r="AC33" t="str">
            <v/>
          </cell>
          <cell r="AD33" t="str">
            <v/>
          </cell>
          <cell r="AE33" t="str">
            <v/>
          </cell>
          <cell r="AF33">
            <v>39722</v>
          </cell>
          <cell r="AG33" t="str">
            <v/>
          </cell>
          <cell r="AH33" t="str">
            <v/>
          </cell>
          <cell r="AI33"/>
          <cell r="AJ33" t="str">
            <v/>
          </cell>
        </row>
        <row r="34">
          <cell r="D34">
            <v>39753</v>
          </cell>
          <cell r="E34"/>
          <cell r="F34"/>
          <cell r="G34"/>
          <cell r="H34"/>
          <cell r="I34"/>
          <cell r="J34"/>
          <cell r="K34"/>
          <cell r="L34"/>
          <cell r="M34"/>
          <cell r="N34"/>
          <cell r="O34"/>
          <cell r="P34"/>
          <cell r="Q34"/>
          <cell r="R34"/>
          <cell r="S34"/>
          <cell r="T34"/>
          <cell r="U34"/>
          <cell r="V34">
            <v>39753</v>
          </cell>
          <cell r="W34" t="str">
            <v/>
          </cell>
          <cell r="X34"/>
          <cell r="Y34" t="str">
            <v/>
          </cell>
          <cell r="Z34" t="str">
            <v/>
          </cell>
          <cell r="AA34"/>
          <cell r="AB34">
            <v>0</v>
          </cell>
          <cell r="AC34" t="str">
            <v/>
          </cell>
          <cell r="AD34" t="str">
            <v/>
          </cell>
          <cell r="AE34" t="str">
            <v/>
          </cell>
          <cell r="AF34">
            <v>39753</v>
          </cell>
          <cell r="AG34" t="str">
            <v/>
          </cell>
          <cell r="AH34" t="str">
            <v/>
          </cell>
          <cell r="AI34"/>
          <cell r="AJ34" t="str">
            <v/>
          </cell>
        </row>
        <row r="35">
          <cell r="D35">
            <v>39783</v>
          </cell>
          <cell r="E35"/>
          <cell r="F35"/>
          <cell r="G35"/>
          <cell r="H35"/>
          <cell r="I35"/>
          <cell r="J35"/>
          <cell r="K35"/>
          <cell r="L35"/>
          <cell r="M35"/>
          <cell r="N35"/>
          <cell r="O35"/>
          <cell r="P35"/>
          <cell r="Q35"/>
          <cell r="R35"/>
          <cell r="S35"/>
          <cell r="T35"/>
          <cell r="U35"/>
          <cell r="V35">
            <v>39783</v>
          </cell>
          <cell r="W35" t="str">
            <v/>
          </cell>
          <cell r="X35"/>
          <cell r="Y35" t="str">
            <v/>
          </cell>
          <cell r="Z35" t="str">
            <v/>
          </cell>
          <cell r="AA35"/>
          <cell r="AB35">
            <v>0</v>
          </cell>
          <cell r="AC35" t="str">
            <v/>
          </cell>
          <cell r="AD35" t="str">
            <v/>
          </cell>
          <cell r="AE35" t="str">
            <v/>
          </cell>
          <cell r="AF35">
            <v>39783</v>
          </cell>
          <cell r="AG35" t="str">
            <v/>
          </cell>
          <cell r="AH35" t="str">
            <v/>
          </cell>
          <cell r="AI35"/>
          <cell r="AJ35" t="str">
            <v/>
          </cell>
        </row>
        <row r="36">
          <cell r="D36">
            <v>39814</v>
          </cell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/>
          <cell r="P36"/>
          <cell r="Q36"/>
          <cell r="R36"/>
          <cell r="S36"/>
          <cell r="T36"/>
          <cell r="U36"/>
          <cell r="V36">
            <v>39814</v>
          </cell>
          <cell r="W36" t="str">
            <v/>
          </cell>
          <cell r="X36"/>
          <cell r="Y36" t="str">
            <v/>
          </cell>
          <cell r="Z36" t="str">
            <v/>
          </cell>
          <cell r="AA36"/>
          <cell r="AB36">
            <v>0</v>
          </cell>
          <cell r="AC36" t="str">
            <v/>
          </cell>
          <cell r="AD36" t="str">
            <v/>
          </cell>
          <cell r="AE36" t="str">
            <v/>
          </cell>
          <cell r="AF36">
            <v>39814</v>
          </cell>
          <cell r="AG36" t="str">
            <v/>
          </cell>
          <cell r="AH36" t="str">
            <v/>
          </cell>
          <cell r="AI36"/>
          <cell r="AJ36" t="str">
            <v/>
          </cell>
        </row>
        <row r="37">
          <cell r="D37">
            <v>39845</v>
          </cell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/>
          <cell r="P37"/>
          <cell r="Q37"/>
          <cell r="R37"/>
          <cell r="S37"/>
          <cell r="T37"/>
          <cell r="U37"/>
          <cell r="V37">
            <v>39845</v>
          </cell>
          <cell r="W37" t="str">
            <v/>
          </cell>
          <cell r="X37"/>
          <cell r="Y37" t="str">
            <v/>
          </cell>
          <cell r="Z37" t="str">
            <v/>
          </cell>
          <cell r="AA37"/>
          <cell r="AB37">
            <v>0</v>
          </cell>
          <cell r="AC37" t="str">
            <v/>
          </cell>
          <cell r="AD37" t="str">
            <v/>
          </cell>
          <cell r="AE37" t="str">
            <v/>
          </cell>
          <cell r="AF37">
            <v>39845</v>
          </cell>
          <cell r="AG37" t="str">
            <v/>
          </cell>
          <cell r="AH37" t="str">
            <v/>
          </cell>
          <cell r="AI37"/>
          <cell r="AJ37" t="str">
            <v/>
          </cell>
        </row>
        <row r="38">
          <cell r="D38">
            <v>39873</v>
          </cell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>
            <v>39873</v>
          </cell>
          <cell r="W38" t="str">
            <v/>
          </cell>
          <cell r="X38"/>
          <cell r="Y38" t="str">
            <v/>
          </cell>
          <cell r="Z38" t="str">
            <v/>
          </cell>
          <cell r="AA38"/>
          <cell r="AB38">
            <v>0</v>
          </cell>
          <cell r="AC38" t="str">
            <v/>
          </cell>
          <cell r="AD38" t="str">
            <v/>
          </cell>
          <cell r="AE38" t="str">
            <v/>
          </cell>
          <cell r="AF38">
            <v>39873</v>
          </cell>
          <cell r="AG38" t="str">
            <v/>
          </cell>
          <cell r="AH38" t="str">
            <v/>
          </cell>
          <cell r="AI38"/>
          <cell r="AJ38" t="str">
            <v/>
          </cell>
        </row>
        <row r="39">
          <cell r="D39">
            <v>39904</v>
          </cell>
          <cell r="E39"/>
          <cell r="F39"/>
          <cell r="G39"/>
          <cell r="H39"/>
          <cell r="I39"/>
          <cell r="J39"/>
          <cell r="K39"/>
          <cell r="L39"/>
          <cell r="M39"/>
          <cell r="N39"/>
          <cell r="O39"/>
          <cell r="P39"/>
          <cell r="V39">
            <v>39904</v>
          </cell>
          <cell r="W39" t="str">
            <v/>
          </cell>
          <cell r="X39"/>
          <cell r="Y39" t="str">
            <v/>
          </cell>
          <cell r="Z39" t="str">
            <v/>
          </cell>
          <cell r="AA39"/>
          <cell r="AB39">
            <v>0</v>
          </cell>
          <cell r="AC39" t="str">
            <v/>
          </cell>
          <cell r="AD39" t="str">
            <v/>
          </cell>
          <cell r="AE39" t="str">
            <v/>
          </cell>
          <cell r="AF39">
            <v>39904</v>
          </cell>
          <cell r="AG39" t="str">
            <v/>
          </cell>
          <cell r="AH39" t="str">
            <v/>
          </cell>
          <cell r="AI39"/>
          <cell r="AJ39" t="str">
            <v/>
          </cell>
        </row>
        <row r="40">
          <cell r="D40">
            <v>39934</v>
          </cell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/>
          <cell r="P40"/>
          <cell r="V40">
            <v>39934</v>
          </cell>
          <cell r="W40"/>
          <cell r="X40"/>
          <cell r="Y40" t="str">
            <v/>
          </cell>
          <cell r="Z40" t="str">
            <v/>
          </cell>
          <cell r="AA40"/>
          <cell r="AB40">
            <v>0</v>
          </cell>
          <cell r="AC40" t="str">
            <v/>
          </cell>
          <cell r="AD40" t="str">
            <v/>
          </cell>
          <cell r="AE40" t="str">
            <v/>
          </cell>
          <cell r="AF40">
            <v>39934</v>
          </cell>
          <cell r="AG40"/>
          <cell r="AH40" t="str">
            <v/>
          </cell>
          <cell r="AI40"/>
          <cell r="AJ40" t="str">
            <v/>
          </cell>
        </row>
        <row r="41">
          <cell r="D41">
            <v>39965</v>
          </cell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/>
          <cell r="P41"/>
          <cell r="V41">
            <v>39965</v>
          </cell>
          <cell r="W41"/>
          <cell r="X41"/>
          <cell r="Y41" t="str">
            <v/>
          </cell>
          <cell r="Z41" t="str">
            <v/>
          </cell>
          <cell r="AA41"/>
          <cell r="AB41">
            <v>0</v>
          </cell>
          <cell r="AC41" t="str">
            <v/>
          </cell>
          <cell r="AD41" t="str">
            <v/>
          </cell>
          <cell r="AE41" t="str">
            <v/>
          </cell>
          <cell r="AF41">
            <v>39965</v>
          </cell>
          <cell r="AG41"/>
          <cell r="AH41" t="str">
            <v/>
          </cell>
          <cell r="AI41"/>
          <cell r="AJ41" t="str">
            <v/>
          </cell>
        </row>
        <row r="42">
          <cell r="D42">
            <v>39995</v>
          </cell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V42">
            <v>39995</v>
          </cell>
          <cell r="W42"/>
          <cell r="X42"/>
          <cell r="Y42" t="str">
            <v/>
          </cell>
          <cell r="Z42" t="str">
            <v/>
          </cell>
          <cell r="AA42"/>
          <cell r="AB42">
            <v>0</v>
          </cell>
          <cell r="AC42" t="str">
            <v/>
          </cell>
          <cell r="AD42" t="str">
            <v/>
          </cell>
          <cell r="AE42" t="str">
            <v/>
          </cell>
          <cell r="AF42">
            <v>39995</v>
          </cell>
          <cell r="AG42"/>
          <cell r="AH42" t="str">
            <v/>
          </cell>
          <cell r="AI42"/>
          <cell r="AJ42" t="str">
            <v/>
          </cell>
        </row>
        <row r="43">
          <cell r="D43">
            <v>40026</v>
          </cell>
          <cell r="E43"/>
          <cell r="F43"/>
          <cell r="G43"/>
          <cell r="H43"/>
          <cell r="I43"/>
          <cell r="J43"/>
          <cell r="K43"/>
          <cell r="L43"/>
          <cell r="M43"/>
          <cell r="N43"/>
          <cell r="O43"/>
          <cell r="P43"/>
          <cell r="V43">
            <v>40026</v>
          </cell>
          <cell r="W43"/>
          <cell r="X43"/>
          <cell r="Y43" t="str">
            <v/>
          </cell>
          <cell r="Z43" t="str">
            <v/>
          </cell>
          <cell r="AA43"/>
          <cell r="AB43">
            <v>0</v>
          </cell>
          <cell r="AC43" t="str">
            <v/>
          </cell>
          <cell r="AD43" t="str">
            <v/>
          </cell>
          <cell r="AE43" t="str">
            <v/>
          </cell>
          <cell r="AF43">
            <v>40026</v>
          </cell>
          <cell r="AG43"/>
          <cell r="AH43" t="str">
            <v/>
          </cell>
          <cell r="AI43"/>
          <cell r="AJ43" t="str">
            <v/>
          </cell>
        </row>
        <row r="44">
          <cell r="D44">
            <v>40057</v>
          </cell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/>
          <cell r="P44"/>
          <cell r="V44">
            <v>40057</v>
          </cell>
          <cell r="W44"/>
          <cell r="X44"/>
          <cell r="Y44" t="str">
            <v/>
          </cell>
          <cell r="Z44" t="str">
            <v/>
          </cell>
          <cell r="AA44"/>
          <cell r="AB44">
            <v>0</v>
          </cell>
          <cell r="AC44" t="str">
            <v/>
          </cell>
          <cell r="AD44" t="str">
            <v/>
          </cell>
          <cell r="AE44" t="str">
            <v/>
          </cell>
          <cell r="AF44">
            <v>40057</v>
          </cell>
          <cell r="AG44"/>
          <cell r="AH44" t="str">
            <v/>
          </cell>
          <cell r="AI44"/>
          <cell r="AJ44" t="str">
            <v/>
          </cell>
        </row>
      </sheetData>
      <sheetData sheetId="18">
        <row r="9">
          <cell r="D9"/>
          <cell r="E9" t="str">
            <v>Mesual</v>
          </cell>
          <cell r="F9"/>
          <cell r="G9"/>
          <cell r="H9"/>
          <cell r="I9"/>
          <cell r="J9"/>
          <cell r="K9" t="str">
            <v>Acumulado</v>
          </cell>
          <cell r="L9"/>
          <cell r="M9"/>
          <cell r="N9"/>
          <cell r="O9"/>
          <cell r="P9"/>
          <cell r="V9" t="str">
            <v>Mes</v>
          </cell>
          <cell r="W9"/>
          <cell r="X9"/>
          <cell r="Y9"/>
          <cell r="Z9"/>
          <cell r="AA9"/>
          <cell r="AB9"/>
          <cell r="AC9"/>
          <cell r="AD9"/>
          <cell r="AE9"/>
          <cell r="AF9" t="str">
            <v>Mes</v>
          </cell>
          <cell r="AG9"/>
          <cell r="AH9"/>
          <cell r="AI9"/>
          <cell r="AJ9"/>
        </row>
        <row r="10">
          <cell r="D10" t="str">
            <v>Fecha</v>
          </cell>
          <cell r="E10" t="str">
            <v>Estimado</v>
          </cell>
          <cell r="F10" t="str">
            <v>Performance</v>
          </cell>
          <cell r="G10"/>
          <cell r="H10"/>
          <cell r="I10" t="str">
            <v>Limites</v>
          </cell>
          <cell r="J10"/>
          <cell r="K10" t="str">
            <v>Estimado</v>
          </cell>
          <cell r="L10" t="str">
            <v>Performance</v>
          </cell>
          <cell r="M10"/>
          <cell r="N10"/>
          <cell r="O10" t="str">
            <v>Limites</v>
          </cell>
          <cell r="P10"/>
          <cell r="Q10"/>
          <cell r="R10"/>
          <cell r="S10"/>
          <cell r="T10"/>
          <cell r="U10"/>
          <cell r="V10"/>
          <cell r="W10" t="str">
            <v>Valores</v>
          </cell>
          <cell r="X10"/>
          <cell r="Y10" t="str">
            <v>Var 1.</v>
          </cell>
          <cell r="Z10"/>
          <cell r="AA10" t="str">
            <v>Proyectado</v>
          </cell>
          <cell r="AB10" t="str">
            <v>Anual</v>
          </cell>
          <cell r="AC10" t="str">
            <v>Var 2.</v>
          </cell>
          <cell r="AD10"/>
          <cell r="AE10" t="str">
            <v>% Avance 
del Año</v>
          </cell>
          <cell r="AF10"/>
          <cell r="AG10" t="str">
            <v>Valores</v>
          </cell>
          <cell r="AH10"/>
          <cell r="AI10" t="str">
            <v>Var 1.</v>
          </cell>
          <cell r="AJ10"/>
        </row>
        <row r="11">
          <cell r="D11"/>
          <cell r="E11"/>
          <cell r="F11"/>
          <cell r="G11"/>
          <cell r="H11"/>
          <cell r="I11" t="str">
            <v>Sup</v>
          </cell>
          <cell r="J11" t="str">
            <v>Inf</v>
          </cell>
          <cell r="K11"/>
          <cell r="L11"/>
          <cell r="M11"/>
          <cell r="N11"/>
          <cell r="O11" t="str">
            <v>Sup</v>
          </cell>
          <cell r="P11" t="str">
            <v>Inf</v>
          </cell>
          <cell r="Q11"/>
          <cell r="R11"/>
          <cell r="S11"/>
          <cell r="T11"/>
          <cell r="U11"/>
          <cell r="V11" t="str">
            <v>Fecha</v>
          </cell>
          <cell r="W11" t="str">
            <v>Anteriores</v>
          </cell>
          <cell r="X11" t="str">
            <v>Real</v>
          </cell>
          <cell r="Y11" t="str">
            <v>Unidades</v>
          </cell>
          <cell r="Z11" t="str">
            <v>%</v>
          </cell>
          <cell r="AA11"/>
          <cell r="AB11" t="str">
            <v>Proyectado</v>
          </cell>
          <cell r="AC11" t="str">
            <v>Unidades</v>
          </cell>
          <cell r="AD11" t="str">
            <v>%</v>
          </cell>
          <cell r="AE11"/>
          <cell r="AF11" t="str">
            <v>Fecha</v>
          </cell>
          <cell r="AG11" t="str">
            <v>Anteriores</v>
          </cell>
          <cell r="AH11" t="str">
            <v>Real</v>
          </cell>
          <cell r="AI11" t="str">
            <v>Unidades</v>
          </cell>
          <cell r="AJ11" t="str">
            <v>%</v>
          </cell>
        </row>
        <row r="12">
          <cell r="D12">
            <v>39083</v>
          </cell>
          <cell r="E12"/>
          <cell r="F12" t="str">
            <v/>
          </cell>
          <cell r="G12" t="str">
            <v/>
          </cell>
          <cell r="H12" t="str">
            <v/>
          </cell>
          <cell r="I12"/>
          <cell r="J12"/>
          <cell r="K12"/>
          <cell r="L12" t="str">
            <v/>
          </cell>
          <cell r="M12" t="str">
            <v/>
          </cell>
          <cell r="N12" t="str">
            <v/>
          </cell>
          <cell r="O12"/>
          <cell r="P12"/>
          <cell r="Q12"/>
          <cell r="R12"/>
          <cell r="S12"/>
          <cell r="T12"/>
          <cell r="U12"/>
          <cell r="V12">
            <v>39083</v>
          </cell>
          <cell r="W12"/>
          <cell r="X12" t="str">
            <v/>
          </cell>
          <cell r="Y12" t="str">
            <v/>
          </cell>
          <cell r="Z12"/>
          <cell r="AA12"/>
          <cell r="AB12">
            <v>0</v>
          </cell>
          <cell r="AC12" t="str">
            <v/>
          </cell>
          <cell r="AD12" t="str">
            <v/>
          </cell>
          <cell r="AE12" t="str">
            <v/>
          </cell>
          <cell r="AF12">
            <v>39083</v>
          </cell>
          <cell r="AG12"/>
          <cell r="AH12" t="str">
            <v/>
          </cell>
          <cell r="AI12" t="str">
            <v/>
          </cell>
          <cell r="AJ12" t="str">
            <v/>
          </cell>
        </row>
        <row r="13">
          <cell r="D13">
            <v>39114</v>
          </cell>
          <cell r="E13"/>
          <cell r="F13" t="str">
            <v/>
          </cell>
          <cell r="G13" t="str">
            <v/>
          </cell>
          <cell r="H13" t="str">
            <v/>
          </cell>
          <cell r="I13"/>
          <cell r="J13"/>
          <cell r="K13"/>
          <cell r="L13" t="str">
            <v/>
          </cell>
          <cell r="M13" t="str">
            <v/>
          </cell>
          <cell r="N13" t="str">
            <v/>
          </cell>
          <cell r="O13"/>
          <cell r="P13"/>
          <cell r="Q13"/>
          <cell r="R13"/>
          <cell r="S13"/>
          <cell r="T13"/>
          <cell r="U13"/>
          <cell r="V13">
            <v>39114</v>
          </cell>
          <cell r="W13"/>
          <cell r="X13" t="str">
            <v/>
          </cell>
          <cell r="Y13" t="str">
            <v/>
          </cell>
          <cell r="Z13"/>
          <cell r="AA13"/>
          <cell r="AB13">
            <v>0</v>
          </cell>
          <cell r="AC13" t="str">
            <v/>
          </cell>
          <cell r="AD13" t="str">
            <v/>
          </cell>
          <cell r="AE13" t="str">
            <v/>
          </cell>
          <cell r="AF13">
            <v>39114</v>
          </cell>
          <cell r="AG13"/>
          <cell r="AH13" t="str">
            <v/>
          </cell>
          <cell r="AI13" t="str">
            <v/>
          </cell>
          <cell r="AJ13" t="str">
            <v/>
          </cell>
        </row>
        <row r="14">
          <cell r="D14">
            <v>39142</v>
          </cell>
          <cell r="E14"/>
          <cell r="F14" t="str">
            <v/>
          </cell>
          <cell r="G14" t="str">
            <v/>
          </cell>
          <cell r="H14" t="str">
            <v/>
          </cell>
          <cell r="I14"/>
          <cell r="J14"/>
          <cell r="K14"/>
          <cell r="L14" t="str">
            <v/>
          </cell>
          <cell r="M14" t="str">
            <v/>
          </cell>
          <cell r="N14" t="str">
            <v/>
          </cell>
          <cell r="O14"/>
          <cell r="P14"/>
          <cell r="Q14"/>
          <cell r="R14"/>
          <cell r="S14"/>
          <cell r="T14"/>
          <cell r="U14"/>
          <cell r="V14">
            <v>39142</v>
          </cell>
          <cell r="W14"/>
          <cell r="X14" t="str">
            <v/>
          </cell>
          <cell r="Y14" t="str">
            <v/>
          </cell>
          <cell r="Z14"/>
          <cell r="AA14"/>
          <cell r="AB14">
            <v>0</v>
          </cell>
          <cell r="AC14" t="str">
            <v/>
          </cell>
          <cell r="AD14" t="str">
            <v/>
          </cell>
          <cell r="AE14" t="str">
            <v/>
          </cell>
          <cell r="AF14">
            <v>39142</v>
          </cell>
          <cell r="AG14"/>
          <cell r="AH14" t="str">
            <v/>
          </cell>
          <cell r="AI14" t="str">
            <v/>
          </cell>
          <cell r="AJ14" t="str">
            <v/>
          </cell>
        </row>
        <row r="15">
          <cell r="D15">
            <v>39173</v>
          </cell>
          <cell r="E15"/>
          <cell r="F15" t="str">
            <v/>
          </cell>
          <cell r="G15" t="str">
            <v/>
          </cell>
          <cell r="H15" t="str">
            <v/>
          </cell>
          <cell r="I15"/>
          <cell r="J15"/>
          <cell r="K15"/>
          <cell r="L15" t="str">
            <v/>
          </cell>
          <cell r="M15" t="str">
            <v/>
          </cell>
          <cell r="N15" t="str">
            <v/>
          </cell>
          <cell r="O15"/>
          <cell r="P15"/>
          <cell r="Q15"/>
          <cell r="R15"/>
          <cell r="S15"/>
          <cell r="T15"/>
          <cell r="U15"/>
          <cell r="V15">
            <v>39173</v>
          </cell>
          <cell r="W15"/>
          <cell r="X15" t="str">
            <v/>
          </cell>
          <cell r="Y15" t="str">
            <v/>
          </cell>
          <cell r="Z15"/>
          <cell r="AA15"/>
          <cell r="AB15">
            <v>0</v>
          </cell>
          <cell r="AC15" t="str">
            <v/>
          </cell>
          <cell r="AD15" t="str">
            <v/>
          </cell>
          <cell r="AE15" t="str">
            <v/>
          </cell>
          <cell r="AF15">
            <v>39173</v>
          </cell>
          <cell r="AG15"/>
          <cell r="AH15" t="str">
            <v/>
          </cell>
          <cell r="AI15" t="str">
            <v/>
          </cell>
          <cell r="AJ15" t="str">
            <v/>
          </cell>
        </row>
        <row r="16">
          <cell r="D16">
            <v>39203</v>
          </cell>
          <cell r="E16"/>
          <cell r="F16" t="str">
            <v/>
          </cell>
          <cell r="G16" t="str">
            <v/>
          </cell>
          <cell r="H16" t="str">
            <v/>
          </cell>
          <cell r="I16"/>
          <cell r="J16"/>
          <cell r="K16"/>
          <cell r="L16" t="str">
            <v/>
          </cell>
          <cell r="M16" t="str">
            <v/>
          </cell>
          <cell r="N16" t="str">
            <v/>
          </cell>
          <cell r="O16"/>
          <cell r="P16"/>
          <cell r="Q16"/>
          <cell r="R16"/>
          <cell r="S16"/>
          <cell r="T16"/>
          <cell r="U16"/>
          <cell r="V16">
            <v>39203</v>
          </cell>
          <cell r="W16"/>
          <cell r="X16" t="str">
            <v/>
          </cell>
          <cell r="Y16" t="str">
            <v/>
          </cell>
          <cell r="Z16"/>
          <cell r="AA16"/>
          <cell r="AB16">
            <v>0</v>
          </cell>
          <cell r="AC16" t="str">
            <v/>
          </cell>
          <cell r="AD16" t="str">
            <v/>
          </cell>
          <cell r="AE16" t="str">
            <v/>
          </cell>
          <cell r="AF16">
            <v>39203</v>
          </cell>
          <cell r="AG16"/>
          <cell r="AH16" t="str">
            <v/>
          </cell>
          <cell r="AI16" t="str">
            <v/>
          </cell>
          <cell r="AJ16" t="str">
            <v/>
          </cell>
        </row>
        <row r="17">
          <cell r="D17">
            <v>39234</v>
          </cell>
          <cell r="E17"/>
          <cell r="F17" t="str">
            <v/>
          </cell>
          <cell r="G17" t="str">
            <v/>
          </cell>
          <cell r="H17" t="str">
            <v/>
          </cell>
          <cell r="I17"/>
          <cell r="J17"/>
          <cell r="K17"/>
          <cell r="L17" t="str">
            <v/>
          </cell>
          <cell r="M17" t="str">
            <v/>
          </cell>
          <cell r="N17" t="str">
            <v/>
          </cell>
          <cell r="O17"/>
          <cell r="P17"/>
          <cell r="Q17"/>
          <cell r="R17"/>
          <cell r="S17"/>
          <cell r="T17"/>
          <cell r="U17"/>
          <cell r="V17">
            <v>39234</v>
          </cell>
          <cell r="W17"/>
          <cell r="X17" t="str">
            <v/>
          </cell>
          <cell r="Y17" t="str">
            <v/>
          </cell>
          <cell r="Z17"/>
          <cell r="AA17"/>
          <cell r="AB17">
            <v>0</v>
          </cell>
          <cell r="AC17" t="str">
            <v/>
          </cell>
          <cell r="AD17" t="str">
            <v/>
          </cell>
          <cell r="AE17" t="str">
            <v/>
          </cell>
          <cell r="AF17">
            <v>39234</v>
          </cell>
          <cell r="AG17"/>
          <cell r="AH17" t="str">
            <v/>
          </cell>
          <cell r="AI17" t="str">
            <v/>
          </cell>
          <cell r="AJ17" t="str">
            <v/>
          </cell>
        </row>
        <row r="18">
          <cell r="D18">
            <v>39264</v>
          </cell>
          <cell r="E18"/>
          <cell r="F18" t="str">
            <v/>
          </cell>
          <cell r="G18" t="str">
            <v/>
          </cell>
          <cell r="H18" t="str">
            <v/>
          </cell>
          <cell r="I18"/>
          <cell r="J18"/>
          <cell r="K18"/>
          <cell r="L18" t="str">
            <v/>
          </cell>
          <cell r="M18" t="str">
            <v/>
          </cell>
          <cell r="N18" t="str">
            <v/>
          </cell>
          <cell r="O18"/>
          <cell r="P18"/>
          <cell r="Q18"/>
          <cell r="R18"/>
          <cell r="S18"/>
          <cell r="T18"/>
          <cell r="U18"/>
          <cell r="V18">
            <v>39264</v>
          </cell>
          <cell r="W18"/>
          <cell r="X18" t="str">
            <v/>
          </cell>
          <cell r="Y18" t="str">
            <v/>
          </cell>
          <cell r="Z18"/>
          <cell r="AA18"/>
          <cell r="AB18">
            <v>0</v>
          </cell>
          <cell r="AC18" t="str">
            <v/>
          </cell>
          <cell r="AD18" t="str">
            <v/>
          </cell>
          <cell r="AE18" t="str">
            <v/>
          </cell>
          <cell r="AF18">
            <v>39264</v>
          </cell>
          <cell r="AG18"/>
          <cell r="AH18" t="str">
            <v/>
          </cell>
          <cell r="AI18" t="str">
            <v/>
          </cell>
          <cell r="AJ18" t="str">
            <v/>
          </cell>
        </row>
        <row r="19">
          <cell r="D19">
            <v>39295</v>
          </cell>
          <cell r="E19"/>
          <cell r="F19" t="str">
            <v/>
          </cell>
          <cell r="G19" t="str">
            <v/>
          </cell>
          <cell r="H19" t="str">
            <v/>
          </cell>
          <cell r="I19"/>
          <cell r="J19"/>
          <cell r="K19"/>
          <cell r="L19" t="str">
            <v/>
          </cell>
          <cell r="M19" t="str">
            <v/>
          </cell>
          <cell r="N19" t="str">
            <v/>
          </cell>
          <cell r="O19"/>
          <cell r="P19"/>
          <cell r="Q19"/>
          <cell r="R19"/>
          <cell r="S19"/>
          <cell r="T19"/>
          <cell r="U19"/>
          <cell r="V19">
            <v>39295</v>
          </cell>
          <cell r="W19"/>
          <cell r="X19" t="str">
            <v/>
          </cell>
          <cell r="Y19" t="str">
            <v/>
          </cell>
          <cell r="Z19"/>
          <cell r="AA19"/>
          <cell r="AB19">
            <v>0</v>
          </cell>
          <cell r="AC19" t="str">
            <v/>
          </cell>
          <cell r="AD19" t="str">
            <v/>
          </cell>
          <cell r="AE19" t="str">
            <v/>
          </cell>
          <cell r="AF19">
            <v>39295</v>
          </cell>
          <cell r="AG19"/>
          <cell r="AH19" t="str">
            <v/>
          </cell>
          <cell r="AI19" t="str">
            <v/>
          </cell>
          <cell r="AJ19" t="str">
            <v/>
          </cell>
        </row>
        <row r="20">
          <cell r="D20">
            <v>39326</v>
          </cell>
          <cell r="E20"/>
          <cell r="F20" t="str">
            <v/>
          </cell>
          <cell r="G20" t="str">
            <v/>
          </cell>
          <cell r="H20" t="str">
            <v/>
          </cell>
          <cell r="I20"/>
          <cell r="J20"/>
          <cell r="K20"/>
          <cell r="L20" t="str">
            <v/>
          </cell>
          <cell r="M20" t="str">
            <v/>
          </cell>
          <cell r="N20" t="str">
            <v/>
          </cell>
          <cell r="O20"/>
          <cell r="P20"/>
          <cell r="Q20"/>
          <cell r="R20"/>
          <cell r="S20"/>
          <cell r="T20"/>
          <cell r="U20"/>
          <cell r="V20">
            <v>39326</v>
          </cell>
          <cell r="W20"/>
          <cell r="X20" t="str">
            <v/>
          </cell>
          <cell r="Y20" t="str">
            <v/>
          </cell>
          <cell r="Z20"/>
          <cell r="AA20"/>
          <cell r="AB20">
            <v>0</v>
          </cell>
          <cell r="AC20" t="str">
            <v/>
          </cell>
          <cell r="AD20" t="str">
            <v/>
          </cell>
          <cell r="AE20" t="str">
            <v/>
          </cell>
          <cell r="AF20">
            <v>39326</v>
          </cell>
          <cell r="AG20"/>
          <cell r="AH20" t="str">
            <v/>
          </cell>
          <cell r="AI20" t="str">
            <v/>
          </cell>
          <cell r="AJ20" t="str">
            <v/>
          </cell>
        </row>
        <row r="21">
          <cell r="D21">
            <v>39356</v>
          </cell>
          <cell r="E21"/>
          <cell r="F21" t="str">
            <v/>
          </cell>
          <cell r="G21" t="str">
            <v/>
          </cell>
          <cell r="H21" t="str">
            <v/>
          </cell>
          <cell r="I21"/>
          <cell r="J21"/>
          <cell r="K21"/>
          <cell r="L21" t="str">
            <v/>
          </cell>
          <cell r="M21" t="str">
            <v/>
          </cell>
          <cell r="N21" t="str">
            <v/>
          </cell>
          <cell r="O21"/>
          <cell r="P21"/>
          <cell r="Q21"/>
          <cell r="R21"/>
          <cell r="S21"/>
          <cell r="T21"/>
          <cell r="U21"/>
          <cell r="V21">
            <v>39356</v>
          </cell>
          <cell r="W21"/>
          <cell r="X21" t="str">
            <v/>
          </cell>
          <cell r="Y21" t="str">
            <v/>
          </cell>
          <cell r="Z21"/>
          <cell r="AA21"/>
          <cell r="AB21">
            <v>0</v>
          </cell>
          <cell r="AC21" t="str">
            <v/>
          </cell>
          <cell r="AD21" t="str">
            <v/>
          </cell>
          <cell r="AE21" t="str">
            <v/>
          </cell>
          <cell r="AF21">
            <v>39356</v>
          </cell>
          <cell r="AG21"/>
          <cell r="AH21" t="str">
            <v/>
          </cell>
          <cell r="AI21" t="str">
            <v/>
          </cell>
          <cell r="AJ21" t="str">
            <v/>
          </cell>
        </row>
        <row r="22">
          <cell r="D22">
            <v>39387</v>
          </cell>
          <cell r="E22"/>
          <cell r="F22" t="str">
            <v/>
          </cell>
          <cell r="G22" t="str">
            <v/>
          </cell>
          <cell r="H22" t="str">
            <v/>
          </cell>
          <cell r="I22"/>
          <cell r="J22"/>
          <cell r="K22"/>
          <cell r="L22" t="str">
            <v/>
          </cell>
          <cell r="M22" t="str">
            <v/>
          </cell>
          <cell r="N22" t="str">
            <v/>
          </cell>
          <cell r="O22"/>
          <cell r="P22"/>
          <cell r="Q22"/>
          <cell r="R22"/>
          <cell r="S22"/>
          <cell r="T22"/>
          <cell r="U22"/>
          <cell r="V22">
            <v>39387</v>
          </cell>
          <cell r="W22"/>
          <cell r="X22" t="str">
            <v/>
          </cell>
          <cell r="Y22" t="str">
            <v/>
          </cell>
          <cell r="Z22"/>
          <cell r="AA22"/>
          <cell r="AB22">
            <v>0</v>
          </cell>
          <cell r="AC22" t="str">
            <v/>
          </cell>
          <cell r="AD22" t="str">
            <v/>
          </cell>
          <cell r="AE22" t="str">
            <v/>
          </cell>
          <cell r="AF22">
            <v>39387</v>
          </cell>
          <cell r="AG22"/>
          <cell r="AH22" t="str">
            <v/>
          </cell>
          <cell r="AI22" t="str">
            <v/>
          </cell>
          <cell r="AJ22" t="str">
            <v/>
          </cell>
        </row>
        <row r="23">
          <cell r="D23">
            <v>39417</v>
          </cell>
          <cell r="E23"/>
          <cell r="F23" t="str">
            <v/>
          </cell>
          <cell r="G23" t="str">
            <v/>
          </cell>
          <cell r="H23" t="str">
            <v/>
          </cell>
          <cell r="I23"/>
          <cell r="J23"/>
          <cell r="K23"/>
          <cell r="L23" t="str">
            <v/>
          </cell>
          <cell r="M23" t="str">
            <v/>
          </cell>
          <cell r="N23" t="str">
            <v/>
          </cell>
          <cell r="O23"/>
          <cell r="P23"/>
          <cell r="Q23"/>
          <cell r="R23"/>
          <cell r="S23"/>
          <cell r="T23"/>
          <cell r="U23"/>
          <cell r="V23">
            <v>39417</v>
          </cell>
          <cell r="W23"/>
          <cell r="X23" t="str">
            <v/>
          </cell>
          <cell r="Y23" t="str">
            <v/>
          </cell>
          <cell r="Z23"/>
          <cell r="AA23"/>
          <cell r="AB23">
            <v>0</v>
          </cell>
          <cell r="AC23" t="str">
            <v/>
          </cell>
          <cell r="AD23" t="str">
            <v/>
          </cell>
          <cell r="AE23" t="str">
            <v/>
          </cell>
          <cell r="AF23">
            <v>39417</v>
          </cell>
          <cell r="AG23"/>
          <cell r="AH23" t="str">
            <v/>
          </cell>
          <cell r="AI23" t="str">
            <v/>
          </cell>
          <cell r="AJ23" t="str">
            <v/>
          </cell>
        </row>
        <row r="24">
          <cell r="D24">
            <v>39448</v>
          </cell>
          <cell r="E24"/>
          <cell r="F24" t="str">
            <v/>
          </cell>
          <cell r="G24" t="str">
            <v/>
          </cell>
          <cell r="H24" t="str">
            <v/>
          </cell>
          <cell r="I24"/>
          <cell r="J24"/>
          <cell r="K24"/>
          <cell r="L24" t="str">
            <v/>
          </cell>
          <cell r="M24" t="str">
            <v/>
          </cell>
          <cell r="N24" t="str">
            <v/>
          </cell>
          <cell r="O24"/>
          <cell r="P24"/>
          <cell r="Q24"/>
          <cell r="R24"/>
          <cell r="S24"/>
          <cell r="T24"/>
          <cell r="U24"/>
          <cell r="V24">
            <v>39448</v>
          </cell>
          <cell r="W24" t="str">
            <v/>
          </cell>
          <cell r="X24" t="str">
            <v/>
          </cell>
          <cell r="Y24" t="str">
            <v/>
          </cell>
          <cell r="Z24"/>
          <cell r="AA24"/>
          <cell r="AB24">
            <v>0</v>
          </cell>
          <cell r="AC24" t="str">
            <v/>
          </cell>
          <cell r="AD24" t="str">
            <v/>
          </cell>
          <cell r="AE24" t="str">
            <v/>
          </cell>
          <cell r="AF24">
            <v>39448</v>
          </cell>
          <cell r="AG24" t="str">
            <v/>
          </cell>
          <cell r="AH24" t="str">
            <v/>
          </cell>
          <cell r="AI24" t="str">
            <v/>
          </cell>
          <cell r="AJ24" t="str">
            <v/>
          </cell>
        </row>
        <row r="25">
          <cell r="D25">
            <v>39479</v>
          </cell>
          <cell r="E25"/>
          <cell r="F25" t="str">
            <v/>
          </cell>
          <cell r="G25" t="str">
            <v/>
          </cell>
          <cell r="H25" t="str">
            <v/>
          </cell>
          <cell r="I25"/>
          <cell r="J25"/>
          <cell r="K25"/>
          <cell r="L25" t="str">
            <v/>
          </cell>
          <cell r="M25" t="str">
            <v/>
          </cell>
          <cell r="N25" t="str">
            <v/>
          </cell>
          <cell r="O25"/>
          <cell r="P25"/>
          <cell r="Q25"/>
          <cell r="R25"/>
          <cell r="S25"/>
          <cell r="T25"/>
          <cell r="U25"/>
          <cell r="V25">
            <v>39479</v>
          </cell>
          <cell r="W25" t="str">
            <v/>
          </cell>
          <cell r="X25" t="str">
            <v/>
          </cell>
          <cell r="Y25" t="str">
            <v/>
          </cell>
          <cell r="Z25"/>
          <cell r="AA25"/>
          <cell r="AB25">
            <v>0</v>
          </cell>
          <cell r="AC25" t="str">
            <v/>
          </cell>
          <cell r="AD25" t="str">
            <v/>
          </cell>
          <cell r="AE25" t="str">
            <v/>
          </cell>
          <cell r="AF25">
            <v>39479</v>
          </cell>
          <cell r="AG25" t="str">
            <v/>
          </cell>
          <cell r="AH25" t="str">
            <v/>
          </cell>
          <cell r="AI25" t="str">
            <v/>
          </cell>
          <cell r="AJ25" t="str">
            <v/>
          </cell>
        </row>
        <row r="26">
          <cell r="D26">
            <v>39508</v>
          </cell>
          <cell r="E26"/>
          <cell r="F26" t="str">
            <v/>
          </cell>
          <cell r="G26" t="str">
            <v/>
          </cell>
          <cell r="H26" t="str">
            <v/>
          </cell>
          <cell r="I26"/>
          <cell r="J26"/>
          <cell r="K26"/>
          <cell r="L26" t="str">
            <v/>
          </cell>
          <cell r="M26" t="str">
            <v/>
          </cell>
          <cell r="N26" t="str">
            <v/>
          </cell>
          <cell r="O26"/>
          <cell r="P26"/>
          <cell r="Q26"/>
          <cell r="R26"/>
          <cell r="S26"/>
          <cell r="T26"/>
          <cell r="U26"/>
          <cell r="V26">
            <v>39508</v>
          </cell>
          <cell r="W26" t="str">
            <v/>
          </cell>
          <cell r="X26" t="str">
            <v/>
          </cell>
          <cell r="Y26" t="str">
            <v/>
          </cell>
          <cell r="Z26"/>
          <cell r="AA26"/>
          <cell r="AB26">
            <v>0</v>
          </cell>
          <cell r="AC26" t="str">
            <v/>
          </cell>
          <cell r="AD26" t="str">
            <v/>
          </cell>
          <cell r="AE26" t="str">
            <v/>
          </cell>
          <cell r="AF26">
            <v>39508</v>
          </cell>
          <cell r="AG26" t="str">
            <v/>
          </cell>
          <cell r="AH26" t="str">
            <v/>
          </cell>
          <cell r="AI26" t="str">
            <v/>
          </cell>
          <cell r="AJ26" t="str">
            <v/>
          </cell>
        </row>
        <row r="27">
          <cell r="D27">
            <v>39539</v>
          </cell>
          <cell r="E27"/>
          <cell r="F27" t="str">
            <v/>
          </cell>
          <cell r="G27" t="str">
            <v/>
          </cell>
          <cell r="H27" t="str">
            <v/>
          </cell>
          <cell r="I27"/>
          <cell r="J27"/>
          <cell r="K27"/>
          <cell r="L27" t="str">
            <v/>
          </cell>
          <cell r="M27" t="str">
            <v/>
          </cell>
          <cell r="N27" t="str">
            <v/>
          </cell>
          <cell r="O27"/>
          <cell r="P27"/>
          <cell r="Q27"/>
          <cell r="R27"/>
          <cell r="S27"/>
          <cell r="T27"/>
          <cell r="U27"/>
          <cell r="V27">
            <v>39539</v>
          </cell>
          <cell r="W27" t="str">
            <v/>
          </cell>
          <cell r="X27" t="str">
            <v/>
          </cell>
          <cell r="Y27" t="str">
            <v/>
          </cell>
          <cell r="Z27"/>
          <cell r="AA27"/>
          <cell r="AB27">
            <v>0</v>
          </cell>
          <cell r="AC27" t="str">
            <v/>
          </cell>
          <cell r="AD27" t="str">
            <v/>
          </cell>
          <cell r="AE27" t="str">
            <v/>
          </cell>
          <cell r="AF27">
            <v>39539</v>
          </cell>
          <cell r="AG27" t="str">
            <v/>
          </cell>
          <cell r="AH27" t="str">
            <v/>
          </cell>
          <cell r="AI27" t="str">
            <v/>
          </cell>
          <cell r="AJ27" t="str">
            <v/>
          </cell>
        </row>
        <row r="28">
          <cell r="D28">
            <v>39569</v>
          </cell>
          <cell r="E28"/>
          <cell r="F28" t="str">
            <v/>
          </cell>
          <cell r="G28" t="str">
            <v/>
          </cell>
          <cell r="H28" t="str">
            <v/>
          </cell>
          <cell r="I28"/>
          <cell r="J28"/>
          <cell r="K28"/>
          <cell r="L28" t="str">
            <v/>
          </cell>
          <cell r="M28" t="str">
            <v/>
          </cell>
          <cell r="N28" t="str">
            <v/>
          </cell>
          <cell r="O28"/>
          <cell r="P28"/>
          <cell r="Q28"/>
          <cell r="R28"/>
          <cell r="S28"/>
          <cell r="T28"/>
          <cell r="U28"/>
          <cell r="V28">
            <v>39569</v>
          </cell>
          <cell r="W28" t="str">
            <v/>
          </cell>
          <cell r="X28" t="str">
            <v/>
          </cell>
          <cell r="Y28" t="str">
            <v/>
          </cell>
          <cell r="Z28"/>
          <cell r="AA28"/>
          <cell r="AB28">
            <v>0</v>
          </cell>
          <cell r="AC28" t="str">
            <v/>
          </cell>
          <cell r="AD28" t="str">
            <v/>
          </cell>
          <cell r="AE28" t="str">
            <v/>
          </cell>
          <cell r="AF28">
            <v>39569</v>
          </cell>
          <cell r="AG28" t="str">
            <v/>
          </cell>
          <cell r="AH28" t="str">
            <v/>
          </cell>
          <cell r="AI28" t="str">
            <v/>
          </cell>
          <cell r="AJ28" t="str">
            <v/>
          </cell>
        </row>
        <row r="29">
          <cell r="D29">
            <v>39600</v>
          </cell>
          <cell r="E29"/>
          <cell r="F29" t="str">
            <v/>
          </cell>
          <cell r="G29" t="str">
            <v/>
          </cell>
          <cell r="H29" t="str">
            <v/>
          </cell>
          <cell r="I29"/>
          <cell r="J29"/>
          <cell r="K29"/>
          <cell r="L29" t="str">
            <v/>
          </cell>
          <cell r="M29" t="str">
            <v/>
          </cell>
          <cell r="N29" t="str">
            <v/>
          </cell>
          <cell r="O29"/>
          <cell r="P29"/>
          <cell r="Q29"/>
          <cell r="R29"/>
          <cell r="S29"/>
          <cell r="T29"/>
          <cell r="U29"/>
          <cell r="V29">
            <v>39600</v>
          </cell>
          <cell r="W29" t="str">
            <v/>
          </cell>
          <cell r="X29" t="str">
            <v/>
          </cell>
          <cell r="Y29" t="str">
            <v/>
          </cell>
          <cell r="Z29"/>
          <cell r="AA29"/>
          <cell r="AB29">
            <v>0</v>
          </cell>
          <cell r="AC29" t="str">
            <v/>
          </cell>
          <cell r="AD29" t="str">
            <v/>
          </cell>
          <cell r="AE29" t="str">
            <v/>
          </cell>
          <cell r="AF29">
            <v>39600</v>
          </cell>
          <cell r="AG29" t="str">
            <v/>
          </cell>
          <cell r="AH29" t="str">
            <v/>
          </cell>
          <cell r="AI29" t="str">
            <v/>
          </cell>
          <cell r="AJ29" t="str">
            <v/>
          </cell>
        </row>
        <row r="30">
          <cell r="D30">
            <v>39630</v>
          </cell>
          <cell r="E30"/>
          <cell r="F30" t="str">
            <v/>
          </cell>
          <cell r="G30" t="str">
            <v/>
          </cell>
          <cell r="H30" t="str">
            <v/>
          </cell>
          <cell r="I30"/>
          <cell r="J30"/>
          <cell r="K30"/>
          <cell r="L30" t="str">
            <v/>
          </cell>
          <cell r="M30" t="str">
            <v/>
          </cell>
          <cell r="N30" t="str">
            <v/>
          </cell>
          <cell r="O30"/>
          <cell r="P30"/>
          <cell r="Q30"/>
          <cell r="R30"/>
          <cell r="S30"/>
          <cell r="T30"/>
          <cell r="U30"/>
          <cell r="V30">
            <v>39630</v>
          </cell>
          <cell r="W30" t="str">
            <v/>
          </cell>
          <cell r="X30" t="str">
            <v/>
          </cell>
          <cell r="Y30" t="str">
            <v/>
          </cell>
          <cell r="Z30"/>
          <cell r="AA30"/>
          <cell r="AB30">
            <v>0</v>
          </cell>
          <cell r="AC30" t="str">
            <v/>
          </cell>
          <cell r="AD30" t="str">
            <v/>
          </cell>
          <cell r="AE30" t="str">
            <v/>
          </cell>
          <cell r="AF30">
            <v>39630</v>
          </cell>
          <cell r="AG30" t="str">
            <v/>
          </cell>
          <cell r="AH30" t="str">
            <v/>
          </cell>
          <cell r="AI30" t="str">
            <v/>
          </cell>
          <cell r="AJ30" t="str">
            <v/>
          </cell>
        </row>
        <row r="31">
          <cell r="D31">
            <v>39661</v>
          </cell>
          <cell r="E31"/>
          <cell r="F31" t="str">
            <v/>
          </cell>
          <cell r="G31" t="str">
            <v/>
          </cell>
          <cell r="H31" t="str">
            <v/>
          </cell>
          <cell r="I31"/>
          <cell r="J31"/>
          <cell r="K31"/>
          <cell r="L31" t="str">
            <v/>
          </cell>
          <cell r="M31" t="str">
            <v/>
          </cell>
          <cell r="N31" t="str">
            <v/>
          </cell>
          <cell r="O31"/>
          <cell r="P31"/>
          <cell r="Q31"/>
          <cell r="R31"/>
          <cell r="S31"/>
          <cell r="T31"/>
          <cell r="U31"/>
          <cell r="V31">
            <v>39661</v>
          </cell>
          <cell r="W31" t="str">
            <v/>
          </cell>
          <cell r="X31" t="str">
            <v/>
          </cell>
          <cell r="Y31" t="str">
            <v/>
          </cell>
          <cell r="Z31" t="str">
            <v/>
          </cell>
          <cell r="AA31"/>
          <cell r="AB31">
            <v>0</v>
          </cell>
          <cell r="AC31" t="str">
            <v/>
          </cell>
          <cell r="AD31" t="str">
            <v/>
          </cell>
          <cell r="AE31" t="str">
            <v/>
          </cell>
          <cell r="AF31">
            <v>39661</v>
          </cell>
          <cell r="AG31" t="str">
            <v/>
          </cell>
          <cell r="AH31" t="str">
            <v/>
          </cell>
          <cell r="AI31" t="str">
            <v/>
          </cell>
          <cell r="AJ31" t="str">
            <v/>
          </cell>
        </row>
        <row r="32">
          <cell r="D32">
            <v>39692</v>
          </cell>
          <cell r="E32"/>
          <cell r="F32"/>
          <cell r="G32"/>
          <cell r="H32"/>
          <cell r="I32"/>
          <cell r="J32"/>
          <cell r="K32"/>
          <cell r="L32"/>
          <cell r="M32"/>
          <cell r="N32"/>
          <cell r="O32"/>
          <cell r="P32"/>
          <cell r="Q32"/>
          <cell r="R32"/>
          <cell r="S32"/>
          <cell r="T32"/>
          <cell r="U32"/>
          <cell r="V32">
            <v>39692</v>
          </cell>
          <cell r="W32" t="str">
            <v/>
          </cell>
          <cell r="X32"/>
          <cell r="Y32" t="str">
            <v/>
          </cell>
          <cell r="Z32" t="str">
            <v/>
          </cell>
          <cell r="AA32"/>
          <cell r="AB32">
            <v>0</v>
          </cell>
          <cell r="AC32" t="str">
            <v/>
          </cell>
          <cell r="AD32" t="str">
            <v/>
          </cell>
          <cell r="AE32" t="str">
            <v/>
          </cell>
          <cell r="AF32">
            <v>39692</v>
          </cell>
          <cell r="AG32" t="str">
            <v/>
          </cell>
          <cell r="AH32" t="str">
            <v/>
          </cell>
          <cell r="AI32"/>
          <cell r="AJ32" t="str">
            <v/>
          </cell>
        </row>
        <row r="33">
          <cell r="D33">
            <v>39722</v>
          </cell>
          <cell r="E33"/>
          <cell r="F33"/>
          <cell r="G33"/>
          <cell r="H33"/>
          <cell r="I33"/>
          <cell r="J33"/>
          <cell r="K33"/>
          <cell r="L33"/>
          <cell r="M33"/>
          <cell r="N33"/>
          <cell r="O33"/>
          <cell r="P33"/>
          <cell r="Q33"/>
          <cell r="R33"/>
          <cell r="S33"/>
          <cell r="T33"/>
          <cell r="U33"/>
          <cell r="V33">
            <v>39722</v>
          </cell>
          <cell r="W33" t="str">
            <v/>
          </cell>
          <cell r="X33"/>
          <cell r="Y33" t="str">
            <v/>
          </cell>
          <cell r="Z33" t="str">
            <v/>
          </cell>
          <cell r="AA33"/>
          <cell r="AB33">
            <v>0</v>
          </cell>
          <cell r="AC33" t="str">
            <v/>
          </cell>
          <cell r="AD33" t="str">
            <v/>
          </cell>
          <cell r="AE33" t="str">
            <v/>
          </cell>
          <cell r="AF33">
            <v>39722</v>
          </cell>
          <cell r="AG33" t="str">
            <v/>
          </cell>
          <cell r="AH33" t="str">
            <v/>
          </cell>
          <cell r="AI33"/>
          <cell r="AJ33" t="str">
            <v/>
          </cell>
        </row>
        <row r="34">
          <cell r="D34">
            <v>39753</v>
          </cell>
          <cell r="E34"/>
          <cell r="F34"/>
          <cell r="G34"/>
          <cell r="H34"/>
          <cell r="I34"/>
          <cell r="J34"/>
          <cell r="K34"/>
          <cell r="L34"/>
          <cell r="M34"/>
          <cell r="N34"/>
          <cell r="O34"/>
          <cell r="P34"/>
          <cell r="Q34"/>
          <cell r="R34"/>
          <cell r="S34"/>
          <cell r="T34"/>
          <cell r="U34"/>
          <cell r="V34">
            <v>39753</v>
          </cell>
          <cell r="W34" t="str">
            <v/>
          </cell>
          <cell r="X34"/>
          <cell r="Y34" t="str">
            <v/>
          </cell>
          <cell r="Z34" t="str">
            <v/>
          </cell>
          <cell r="AA34"/>
          <cell r="AB34">
            <v>0</v>
          </cell>
          <cell r="AC34" t="str">
            <v/>
          </cell>
          <cell r="AD34" t="str">
            <v/>
          </cell>
          <cell r="AE34" t="str">
            <v/>
          </cell>
          <cell r="AF34">
            <v>39753</v>
          </cell>
          <cell r="AG34" t="str">
            <v/>
          </cell>
          <cell r="AH34" t="str">
            <v/>
          </cell>
          <cell r="AI34"/>
          <cell r="AJ34" t="str">
            <v/>
          </cell>
        </row>
        <row r="35">
          <cell r="D35">
            <v>39783</v>
          </cell>
          <cell r="E35"/>
          <cell r="F35"/>
          <cell r="G35"/>
          <cell r="H35"/>
          <cell r="I35"/>
          <cell r="J35"/>
          <cell r="K35"/>
          <cell r="L35"/>
          <cell r="M35"/>
          <cell r="N35"/>
          <cell r="O35"/>
          <cell r="P35"/>
          <cell r="Q35"/>
          <cell r="R35"/>
          <cell r="S35"/>
          <cell r="T35"/>
          <cell r="U35"/>
          <cell r="V35">
            <v>39783</v>
          </cell>
          <cell r="W35" t="str">
            <v/>
          </cell>
          <cell r="X35"/>
          <cell r="Y35" t="str">
            <v/>
          </cell>
          <cell r="Z35" t="str">
            <v/>
          </cell>
          <cell r="AA35"/>
          <cell r="AB35">
            <v>0</v>
          </cell>
          <cell r="AC35" t="str">
            <v/>
          </cell>
          <cell r="AD35" t="str">
            <v/>
          </cell>
          <cell r="AE35" t="str">
            <v/>
          </cell>
          <cell r="AF35">
            <v>39783</v>
          </cell>
          <cell r="AG35" t="str">
            <v/>
          </cell>
          <cell r="AH35" t="str">
            <v/>
          </cell>
          <cell r="AI35"/>
          <cell r="AJ35" t="str">
            <v/>
          </cell>
        </row>
        <row r="36">
          <cell r="D36">
            <v>39814</v>
          </cell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/>
          <cell r="P36"/>
          <cell r="Q36"/>
          <cell r="R36"/>
          <cell r="S36"/>
          <cell r="T36"/>
          <cell r="U36"/>
          <cell r="V36">
            <v>39814</v>
          </cell>
          <cell r="W36" t="str">
            <v/>
          </cell>
          <cell r="X36"/>
          <cell r="Y36" t="str">
            <v/>
          </cell>
          <cell r="Z36" t="str">
            <v/>
          </cell>
          <cell r="AA36"/>
          <cell r="AB36">
            <v>0</v>
          </cell>
          <cell r="AC36" t="str">
            <v/>
          </cell>
          <cell r="AD36" t="str">
            <v/>
          </cell>
          <cell r="AE36" t="str">
            <v/>
          </cell>
          <cell r="AF36">
            <v>39814</v>
          </cell>
          <cell r="AG36" t="str">
            <v/>
          </cell>
          <cell r="AH36" t="str">
            <v/>
          </cell>
          <cell r="AI36"/>
          <cell r="AJ36" t="str">
            <v/>
          </cell>
        </row>
        <row r="37">
          <cell r="D37">
            <v>39845</v>
          </cell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/>
          <cell r="P37"/>
          <cell r="Q37"/>
          <cell r="R37"/>
          <cell r="S37"/>
          <cell r="T37"/>
          <cell r="U37"/>
          <cell r="V37">
            <v>39845</v>
          </cell>
          <cell r="W37" t="str">
            <v/>
          </cell>
          <cell r="X37"/>
          <cell r="Y37" t="str">
            <v/>
          </cell>
          <cell r="Z37" t="str">
            <v/>
          </cell>
          <cell r="AA37"/>
          <cell r="AB37">
            <v>0</v>
          </cell>
          <cell r="AC37" t="str">
            <v/>
          </cell>
          <cell r="AD37" t="str">
            <v/>
          </cell>
          <cell r="AE37" t="str">
            <v/>
          </cell>
          <cell r="AF37">
            <v>39845</v>
          </cell>
          <cell r="AG37" t="str">
            <v/>
          </cell>
          <cell r="AH37" t="str">
            <v/>
          </cell>
          <cell r="AI37"/>
          <cell r="AJ37" t="str">
            <v/>
          </cell>
        </row>
        <row r="38">
          <cell r="D38">
            <v>39873</v>
          </cell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>
            <v>39873</v>
          </cell>
          <cell r="W38" t="str">
            <v/>
          </cell>
          <cell r="X38"/>
          <cell r="Y38" t="str">
            <v/>
          </cell>
          <cell r="Z38" t="str">
            <v/>
          </cell>
          <cell r="AA38"/>
          <cell r="AB38">
            <v>0</v>
          </cell>
          <cell r="AC38" t="str">
            <v/>
          </cell>
          <cell r="AD38" t="str">
            <v/>
          </cell>
          <cell r="AE38" t="str">
            <v/>
          </cell>
          <cell r="AF38">
            <v>39873</v>
          </cell>
          <cell r="AG38" t="str">
            <v/>
          </cell>
          <cell r="AH38" t="str">
            <v/>
          </cell>
          <cell r="AI38"/>
          <cell r="AJ38" t="str">
            <v/>
          </cell>
        </row>
        <row r="39">
          <cell r="D39">
            <v>39904</v>
          </cell>
          <cell r="E39"/>
          <cell r="F39"/>
          <cell r="G39"/>
          <cell r="H39"/>
          <cell r="I39"/>
          <cell r="J39"/>
          <cell r="K39"/>
          <cell r="L39"/>
          <cell r="M39"/>
          <cell r="N39"/>
          <cell r="O39"/>
          <cell r="P39"/>
          <cell r="V39">
            <v>39904</v>
          </cell>
          <cell r="W39" t="str">
            <v/>
          </cell>
          <cell r="X39"/>
          <cell r="Y39" t="str">
            <v/>
          </cell>
          <cell r="Z39" t="str">
            <v/>
          </cell>
          <cell r="AA39"/>
          <cell r="AB39">
            <v>0</v>
          </cell>
          <cell r="AC39" t="str">
            <v/>
          </cell>
          <cell r="AD39" t="str">
            <v/>
          </cell>
          <cell r="AE39" t="str">
            <v/>
          </cell>
          <cell r="AF39">
            <v>39904</v>
          </cell>
          <cell r="AG39" t="str">
            <v/>
          </cell>
          <cell r="AH39" t="str">
            <v/>
          </cell>
          <cell r="AI39"/>
          <cell r="AJ39" t="str">
            <v/>
          </cell>
        </row>
        <row r="40">
          <cell r="D40">
            <v>39934</v>
          </cell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/>
          <cell r="P40"/>
          <cell r="V40">
            <v>39934</v>
          </cell>
          <cell r="W40"/>
          <cell r="X40"/>
          <cell r="Y40" t="str">
            <v/>
          </cell>
          <cell r="Z40" t="str">
            <v/>
          </cell>
          <cell r="AA40"/>
          <cell r="AB40">
            <v>0</v>
          </cell>
          <cell r="AC40" t="str">
            <v/>
          </cell>
          <cell r="AD40" t="str">
            <v/>
          </cell>
          <cell r="AE40" t="str">
            <v/>
          </cell>
          <cell r="AF40">
            <v>39934</v>
          </cell>
          <cell r="AG40"/>
          <cell r="AH40" t="str">
            <v/>
          </cell>
          <cell r="AI40"/>
          <cell r="AJ40" t="str">
            <v/>
          </cell>
        </row>
        <row r="41">
          <cell r="D41">
            <v>39965</v>
          </cell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/>
          <cell r="P41"/>
          <cell r="V41">
            <v>39965</v>
          </cell>
          <cell r="W41"/>
          <cell r="X41"/>
          <cell r="Y41" t="str">
            <v/>
          </cell>
          <cell r="Z41" t="str">
            <v/>
          </cell>
          <cell r="AA41"/>
          <cell r="AB41">
            <v>0</v>
          </cell>
          <cell r="AC41" t="str">
            <v/>
          </cell>
          <cell r="AD41" t="str">
            <v/>
          </cell>
          <cell r="AE41" t="str">
            <v/>
          </cell>
          <cell r="AF41">
            <v>39965</v>
          </cell>
          <cell r="AG41"/>
          <cell r="AH41" t="str">
            <v/>
          </cell>
          <cell r="AI41"/>
          <cell r="AJ41" t="str">
            <v/>
          </cell>
        </row>
        <row r="42">
          <cell r="D42">
            <v>39995</v>
          </cell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V42">
            <v>39995</v>
          </cell>
          <cell r="W42"/>
          <cell r="X42"/>
          <cell r="Y42" t="str">
            <v/>
          </cell>
          <cell r="Z42" t="str">
            <v/>
          </cell>
          <cell r="AA42"/>
          <cell r="AB42">
            <v>0</v>
          </cell>
          <cell r="AC42" t="str">
            <v/>
          </cell>
          <cell r="AD42" t="str">
            <v/>
          </cell>
          <cell r="AE42" t="str">
            <v/>
          </cell>
          <cell r="AF42">
            <v>39995</v>
          </cell>
          <cell r="AG42"/>
          <cell r="AH42" t="str">
            <v/>
          </cell>
          <cell r="AI42"/>
          <cell r="AJ42" t="str">
            <v/>
          </cell>
        </row>
        <row r="43">
          <cell r="D43">
            <v>40026</v>
          </cell>
          <cell r="E43"/>
          <cell r="F43"/>
          <cell r="G43"/>
          <cell r="H43"/>
          <cell r="I43"/>
          <cell r="J43"/>
          <cell r="K43"/>
          <cell r="L43"/>
          <cell r="M43"/>
          <cell r="N43"/>
          <cell r="O43"/>
          <cell r="P43"/>
          <cell r="V43">
            <v>40026</v>
          </cell>
          <cell r="W43"/>
          <cell r="X43"/>
          <cell r="Y43" t="str">
            <v/>
          </cell>
          <cell r="Z43" t="str">
            <v/>
          </cell>
          <cell r="AA43"/>
          <cell r="AB43">
            <v>0</v>
          </cell>
          <cell r="AC43" t="str">
            <v/>
          </cell>
          <cell r="AD43" t="str">
            <v/>
          </cell>
          <cell r="AE43" t="str">
            <v/>
          </cell>
          <cell r="AF43">
            <v>40026</v>
          </cell>
          <cell r="AG43"/>
          <cell r="AH43" t="str">
            <v/>
          </cell>
          <cell r="AI43"/>
          <cell r="AJ43" t="str">
            <v/>
          </cell>
        </row>
        <row r="44">
          <cell r="D44">
            <v>40057</v>
          </cell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/>
          <cell r="P44"/>
          <cell r="V44">
            <v>40057</v>
          </cell>
          <cell r="W44"/>
          <cell r="X44"/>
          <cell r="Y44" t="str">
            <v/>
          </cell>
          <cell r="Z44" t="str">
            <v/>
          </cell>
          <cell r="AA44"/>
          <cell r="AB44">
            <v>0</v>
          </cell>
          <cell r="AC44" t="str">
            <v/>
          </cell>
          <cell r="AD44" t="str">
            <v/>
          </cell>
          <cell r="AE44" t="str">
            <v/>
          </cell>
          <cell r="AF44">
            <v>40057</v>
          </cell>
          <cell r="AG44"/>
          <cell r="AH44" t="str">
            <v/>
          </cell>
          <cell r="AI44"/>
          <cell r="AJ44" t="str">
            <v/>
          </cell>
        </row>
      </sheetData>
      <sheetData sheetId="19">
        <row r="9">
          <cell r="D9"/>
          <cell r="E9" t="str">
            <v>Mesual</v>
          </cell>
          <cell r="F9"/>
          <cell r="G9"/>
          <cell r="H9"/>
          <cell r="I9"/>
          <cell r="J9"/>
          <cell r="K9" t="str">
            <v>Acumulado</v>
          </cell>
          <cell r="L9"/>
          <cell r="M9"/>
          <cell r="N9"/>
          <cell r="O9"/>
          <cell r="P9"/>
          <cell r="V9" t="str">
            <v>Mes</v>
          </cell>
          <cell r="W9"/>
          <cell r="X9"/>
          <cell r="Y9"/>
          <cell r="Z9"/>
          <cell r="AA9"/>
          <cell r="AB9"/>
          <cell r="AC9"/>
          <cell r="AD9"/>
          <cell r="AE9"/>
          <cell r="AF9" t="str">
            <v>Mes</v>
          </cell>
          <cell r="AG9"/>
          <cell r="AH9"/>
          <cell r="AI9"/>
          <cell r="AJ9"/>
        </row>
        <row r="10">
          <cell r="D10" t="str">
            <v>Fecha</v>
          </cell>
          <cell r="E10" t="str">
            <v>Estimado</v>
          </cell>
          <cell r="F10" t="str">
            <v>Performance</v>
          </cell>
          <cell r="G10"/>
          <cell r="H10"/>
          <cell r="I10" t="str">
            <v>Limites</v>
          </cell>
          <cell r="J10"/>
          <cell r="K10" t="str">
            <v>Estimado</v>
          </cell>
          <cell r="L10" t="str">
            <v>Performance</v>
          </cell>
          <cell r="M10"/>
          <cell r="N10"/>
          <cell r="O10" t="str">
            <v>Limites</v>
          </cell>
          <cell r="P10"/>
          <cell r="Q10"/>
          <cell r="R10"/>
          <cell r="S10"/>
          <cell r="T10"/>
          <cell r="U10"/>
          <cell r="V10"/>
          <cell r="W10" t="str">
            <v>Valores</v>
          </cell>
          <cell r="X10"/>
          <cell r="Y10" t="str">
            <v>Var 1.</v>
          </cell>
          <cell r="Z10"/>
          <cell r="AA10" t="str">
            <v>Proyectado</v>
          </cell>
          <cell r="AB10" t="str">
            <v>Anual</v>
          </cell>
          <cell r="AC10" t="str">
            <v>Var 2.</v>
          </cell>
          <cell r="AD10"/>
          <cell r="AE10" t="str">
            <v>% Avance 
del Año</v>
          </cell>
          <cell r="AF10"/>
          <cell r="AG10" t="str">
            <v>Valores</v>
          </cell>
          <cell r="AH10"/>
          <cell r="AI10" t="str">
            <v>Var 1.</v>
          </cell>
          <cell r="AJ10"/>
        </row>
        <row r="11">
          <cell r="D11"/>
          <cell r="E11"/>
          <cell r="F11"/>
          <cell r="G11"/>
          <cell r="H11"/>
          <cell r="I11" t="str">
            <v>Sup</v>
          </cell>
          <cell r="J11" t="str">
            <v>Inf</v>
          </cell>
          <cell r="K11"/>
          <cell r="L11"/>
          <cell r="M11"/>
          <cell r="N11"/>
          <cell r="O11" t="str">
            <v>Sup</v>
          </cell>
          <cell r="P11" t="str">
            <v>Inf</v>
          </cell>
          <cell r="Q11"/>
          <cell r="R11"/>
          <cell r="S11"/>
          <cell r="T11"/>
          <cell r="U11"/>
          <cell r="V11" t="str">
            <v>Fecha</v>
          </cell>
          <cell r="W11" t="str">
            <v>Anteriores</v>
          </cell>
          <cell r="X11" t="str">
            <v>Real</v>
          </cell>
          <cell r="Y11" t="str">
            <v>Unidades</v>
          </cell>
          <cell r="Z11" t="str">
            <v>%</v>
          </cell>
          <cell r="AA11"/>
          <cell r="AB11" t="str">
            <v>Proyectado</v>
          </cell>
          <cell r="AC11" t="str">
            <v>Unidades</v>
          </cell>
          <cell r="AD11" t="str">
            <v>%</v>
          </cell>
          <cell r="AE11"/>
          <cell r="AF11" t="str">
            <v>Fecha</v>
          </cell>
          <cell r="AG11" t="str">
            <v>Anteriores</v>
          </cell>
          <cell r="AH11" t="str">
            <v>Real</v>
          </cell>
          <cell r="AI11" t="str">
            <v>Unidades</v>
          </cell>
          <cell r="AJ11" t="str">
            <v>%</v>
          </cell>
        </row>
        <row r="12">
          <cell r="D12">
            <v>39083</v>
          </cell>
          <cell r="E12"/>
          <cell r="F12" t="str">
            <v/>
          </cell>
          <cell r="G12" t="str">
            <v/>
          </cell>
          <cell r="H12" t="str">
            <v/>
          </cell>
          <cell r="I12"/>
          <cell r="J12"/>
          <cell r="K12"/>
          <cell r="L12" t="str">
            <v/>
          </cell>
          <cell r="M12" t="str">
            <v/>
          </cell>
          <cell r="N12" t="str">
            <v/>
          </cell>
          <cell r="O12"/>
          <cell r="P12"/>
          <cell r="Q12"/>
          <cell r="R12"/>
          <cell r="S12"/>
          <cell r="T12"/>
          <cell r="U12"/>
          <cell r="V12">
            <v>39083</v>
          </cell>
          <cell r="W12"/>
          <cell r="X12"/>
          <cell r="Y12"/>
          <cell r="Z12"/>
          <cell r="AA12"/>
          <cell r="AB12">
            <v>0</v>
          </cell>
          <cell r="AC12" t="str">
            <v/>
          </cell>
          <cell r="AD12" t="str">
            <v/>
          </cell>
          <cell r="AE12" t="str">
            <v/>
          </cell>
          <cell r="AF12">
            <v>39083</v>
          </cell>
          <cell r="AG12"/>
          <cell r="AH12"/>
          <cell r="AI12" t="str">
            <v/>
          </cell>
          <cell r="AJ12"/>
        </row>
        <row r="13">
          <cell r="D13">
            <v>39114</v>
          </cell>
          <cell r="E13"/>
          <cell r="F13" t="str">
            <v/>
          </cell>
          <cell r="G13" t="str">
            <v/>
          </cell>
          <cell r="H13" t="str">
            <v/>
          </cell>
          <cell r="I13"/>
          <cell r="J13"/>
          <cell r="K13"/>
          <cell r="L13" t="str">
            <v/>
          </cell>
          <cell r="M13" t="str">
            <v/>
          </cell>
          <cell r="N13" t="str">
            <v/>
          </cell>
          <cell r="O13"/>
          <cell r="P13"/>
          <cell r="Q13"/>
          <cell r="R13"/>
          <cell r="S13"/>
          <cell r="T13"/>
          <cell r="U13"/>
          <cell r="V13">
            <v>39114</v>
          </cell>
          <cell r="W13"/>
          <cell r="X13"/>
          <cell r="Y13"/>
          <cell r="Z13"/>
          <cell r="AA13"/>
          <cell r="AB13">
            <v>0</v>
          </cell>
          <cell r="AC13" t="str">
            <v/>
          </cell>
          <cell r="AD13" t="str">
            <v/>
          </cell>
          <cell r="AE13" t="str">
            <v/>
          </cell>
          <cell r="AF13">
            <v>39114</v>
          </cell>
          <cell r="AG13"/>
          <cell r="AH13"/>
          <cell r="AI13" t="str">
            <v/>
          </cell>
          <cell r="AJ13"/>
        </row>
        <row r="14">
          <cell r="D14">
            <v>39142</v>
          </cell>
          <cell r="E14"/>
          <cell r="F14" t="str">
            <v/>
          </cell>
          <cell r="G14" t="str">
            <v/>
          </cell>
          <cell r="H14" t="str">
            <v/>
          </cell>
          <cell r="I14"/>
          <cell r="J14"/>
          <cell r="K14"/>
          <cell r="L14" t="str">
            <v/>
          </cell>
          <cell r="M14" t="str">
            <v/>
          </cell>
          <cell r="N14" t="str">
            <v/>
          </cell>
          <cell r="O14"/>
          <cell r="P14"/>
          <cell r="Q14"/>
          <cell r="R14"/>
          <cell r="S14"/>
          <cell r="T14"/>
          <cell r="U14"/>
          <cell r="V14">
            <v>39142</v>
          </cell>
          <cell r="W14"/>
          <cell r="X14"/>
          <cell r="Y14"/>
          <cell r="Z14"/>
          <cell r="AA14"/>
          <cell r="AB14">
            <v>0</v>
          </cell>
          <cell r="AC14" t="str">
            <v/>
          </cell>
          <cell r="AD14" t="str">
            <v/>
          </cell>
          <cell r="AE14" t="str">
            <v/>
          </cell>
          <cell r="AF14">
            <v>39142</v>
          </cell>
          <cell r="AG14"/>
          <cell r="AH14"/>
          <cell r="AI14" t="str">
            <v/>
          </cell>
          <cell r="AJ14"/>
        </row>
        <row r="15">
          <cell r="D15">
            <v>39173</v>
          </cell>
          <cell r="E15"/>
          <cell r="F15" t="str">
            <v/>
          </cell>
          <cell r="G15" t="str">
            <v/>
          </cell>
          <cell r="H15" t="str">
            <v/>
          </cell>
          <cell r="I15"/>
          <cell r="J15"/>
          <cell r="K15"/>
          <cell r="L15" t="str">
            <v/>
          </cell>
          <cell r="M15" t="str">
            <v/>
          </cell>
          <cell r="N15" t="str">
            <v/>
          </cell>
          <cell r="O15"/>
          <cell r="P15"/>
          <cell r="Q15"/>
          <cell r="R15"/>
          <cell r="S15"/>
          <cell r="T15"/>
          <cell r="U15"/>
          <cell r="V15">
            <v>39173</v>
          </cell>
          <cell r="W15"/>
          <cell r="X15"/>
          <cell r="Y15"/>
          <cell r="Z15"/>
          <cell r="AA15"/>
          <cell r="AB15">
            <v>0</v>
          </cell>
          <cell r="AC15" t="str">
            <v/>
          </cell>
          <cell r="AD15" t="str">
            <v/>
          </cell>
          <cell r="AE15" t="str">
            <v/>
          </cell>
          <cell r="AF15">
            <v>39173</v>
          </cell>
          <cell r="AG15"/>
          <cell r="AH15"/>
          <cell r="AI15" t="str">
            <v/>
          </cell>
          <cell r="AJ15"/>
        </row>
        <row r="16">
          <cell r="D16">
            <v>39203</v>
          </cell>
          <cell r="E16"/>
          <cell r="F16" t="str">
            <v/>
          </cell>
          <cell r="G16" t="str">
            <v/>
          </cell>
          <cell r="H16" t="str">
            <v/>
          </cell>
          <cell r="I16"/>
          <cell r="J16"/>
          <cell r="K16"/>
          <cell r="L16" t="str">
            <v/>
          </cell>
          <cell r="M16" t="str">
            <v/>
          </cell>
          <cell r="N16" t="str">
            <v/>
          </cell>
          <cell r="O16"/>
          <cell r="P16"/>
          <cell r="Q16"/>
          <cell r="R16"/>
          <cell r="S16"/>
          <cell r="T16"/>
          <cell r="U16"/>
          <cell r="V16">
            <v>39203</v>
          </cell>
          <cell r="W16"/>
          <cell r="X16"/>
          <cell r="Y16"/>
          <cell r="Z16"/>
          <cell r="AA16"/>
          <cell r="AB16">
            <v>0</v>
          </cell>
          <cell r="AC16" t="str">
            <v/>
          </cell>
          <cell r="AD16" t="str">
            <v/>
          </cell>
          <cell r="AE16" t="str">
            <v/>
          </cell>
          <cell r="AF16">
            <v>39203</v>
          </cell>
          <cell r="AG16"/>
          <cell r="AH16"/>
          <cell r="AI16" t="str">
            <v/>
          </cell>
          <cell r="AJ16"/>
        </row>
        <row r="17">
          <cell r="D17">
            <v>39234</v>
          </cell>
          <cell r="E17"/>
          <cell r="F17" t="str">
            <v/>
          </cell>
          <cell r="G17" t="str">
            <v/>
          </cell>
          <cell r="H17" t="str">
            <v/>
          </cell>
          <cell r="I17"/>
          <cell r="J17"/>
          <cell r="K17"/>
          <cell r="L17" t="str">
            <v/>
          </cell>
          <cell r="M17" t="str">
            <v/>
          </cell>
          <cell r="N17" t="str">
            <v/>
          </cell>
          <cell r="O17"/>
          <cell r="P17"/>
          <cell r="Q17"/>
          <cell r="R17"/>
          <cell r="S17"/>
          <cell r="T17"/>
          <cell r="U17"/>
          <cell r="V17">
            <v>39234</v>
          </cell>
          <cell r="W17"/>
          <cell r="X17"/>
          <cell r="Y17"/>
          <cell r="Z17"/>
          <cell r="AA17"/>
          <cell r="AB17">
            <v>0</v>
          </cell>
          <cell r="AC17" t="str">
            <v/>
          </cell>
          <cell r="AD17" t="str">
            <v/>
          </cell>
          <cell r="AE17" t="str">
            <v/>
          </cell>
          <cell r="AF17">
            <v>39234</v>
          </cell>
          <cell r="AG17"/>
          <cell r="AH17"/>
          <cell r="AI17" t="str">
            <v/>
          </cell>
          <cell r="AJ17"/>
        </row>
        <row r="18">
          <cell r="D18">
            <v>39264</v>
          </cell>
          <cell r="E18"/>
          <cell r="F18" t="str">
            <v/>
          </cell>
          <cell r="G18" t="str">
            <v/>
          </cell>
          <cell r="H18" t="str">
            <v/>
          </cell>
          <cell r="I18"/>
          <cell r="J18"/>
          <cell r="K18"/>
          <cell r="L18" t="str">
            <v/>
          </cell>
          <cell r="M18" t="str">
            <v/>
          </cell>
          <cell r="N18" t="str">
            <v/>
          </cell>
          <cell r="O18"/>
          <cell r="P18"/>
          <cell r="Q18"/>
          <cell r="R18"/>
          <cell r="S18"/>
          <cell r="T18"/>
          <cell r="U18"/>
          <cell r="V18">
            <v>39264</v>
          </cell>
          <cell r="W18"/>
          <cell r="X18"/>
          <cell r="Y18"/>
          <cell r="Z18"/>
          <cell r="AA18"/>
          <cell r="AB18">
            <v>0</v>
          </cell>
          <cell r="AC18" t="str">
            <v/>
          </cell>
          <cell r="AD18" t="str">
            <v/>
          </cell>
          <cell r="AE18" t="str">
            <v/>
          </cell>
          <cell r="AF18">
            <v>39264</v>
          </cell>
          <cell r="AG18"/>
          <cell r="AH18"/>
          <cell r="AI18" t="str">
            <v/>
          </cell>
          <cell r="AJ18"/>
        </row>
        <row r="19">
          <cell r="D19">
            <v>39295</v>
          </cell>
          <cell r="E19"/>
          <cell r="F19" t="str">
            <v/>
          </cell>
          <cell r="G19" t="str">
            <v/>
          </cell>
          <cell r="H19" t="str">
            <v/>
          </cell>
          <cell r="I19"/>
          <cell r="J19"/>
          <cell r="K19"/>
          <cell r="L19" t="str">
            <v/>
          </cell>
          <cell r="M19" t="str">
            <v/>
          </cell>
          <cell r="N19" t="str">
            <v/>
          </cell>
          <cell r="O19"/>
          <cell r="P19"/>
          <cell r="Q19"/>
          <cell r="R19"/>
          <cell r="S19"/>
          <cell r="T19"/>
          <cell r="U19"/>
          <cell r="V19">
            <v>39295</v>
          </cell>
          <cell r="W19"/>
          <cell r="X19"/>
          <cell r="Y19"/>
          <cell r="Z19"/>
          <cell r="AA19"/>
          <cell r="AB19">
            <v>0</v>
          </cell>
          <cell r="AC19" t="str">
            <v/>
          </cell>
          <cell r="AD19" t="str">
            <v/>
          </cell>
          <cell r="AE19" t="str">
            <v/>
          </cell>
          <cell r="AF19">
            <v>39295</v>
          </cell>
          <cell r="AG19"/>
          <cell r="AH19"/>
          <cell r="AI19"/>
          <cell r="AJ19" t="str">
            <v/>
          </cell>
        </row>
        <row r="20">
          <cell r="D20">
            <v>39326</v>
          </cell>
          <cell r="E20"/>
          <cell r="F20" t="str">
            <v/>
          </cell>
          <cell r="G20" t="str">
            <v/>
          </cell>
          <cell r="H20" t="str">
            <v/>
          </cell>
          <cell r="I20"/>
          <cell r="J20"/>
          <cell r="K20"/>
          <cell r="L20" t="str">
            <v/>
          </cell>
          <cell r="M20" t="str">
            <v/>
          </cell>
          <cell r="N20" t="str">
            <v/>
          </cell>
          <cell r="O20"/>
          <cell r="P20"/>
          <cell r="Q20"/>
          <cell r="R20"/>
          <cell r="S20"/>
          <cell r="T20"/>
          <cell r="U20"/>
          <cell r="V20">
            <v>39326</v>
          </cell>
          <cell r="W20"/>
          <cell r="X20"/>
          <cell r="Y20"/>
          <cell r="Z20"/>
          <cell r="AA20"/>
          <cell r="AB20">
            <v>0</v>
          </cell>
          <cell r="AC20" t="str">
            <v/>
          </cell>
          <cell r="AD20" t="str">
            <v/>
          </cell>
          <cell r="AE20" t="str">
            <v/>
          </cell>
          <cell r="AF20">
            <v>39326</v>
          </cell>
          <cell r="AG20"/>
          <cell r="AH20"/>
          <cell r="AI20"/>
          <cell r="AJ20" t="str">
            <v/>
          </cell>
        </row>
        <row r="21">
          <cell r="D21">
            <v>39356</v>
          </cell>
          <cell r="E21"/>
          <cell r="F21" t="str">
            <v/>
          </cell>
          <cell r="G21" t="str">
            <v/>
          </cell>
          <cell r="H21" t="str">
            <v/>
          </cell>
          <cell r="I21"/>
          <cell r="J21"/>
          <cell r="K21"/>
          <cell r="L21" t="str">
            <v/>
          </cell>
          <cell r="M21" t="str">
            <v/>
          </cell>
          <cell r="N21" t="str">
            <v/>
          </cell>
          <cell r="O21"/>
          <cell r="P21"/>
          <cell r="Q21"/>
          <cell r="R21"/>
          <cell r="S21"/>
          <cell r="T21"/>
          <cell r="U21"/>
          <cell r="V21">
            <v>39356</v>
          </cell>
          <cell r="W21"/>
          <cell r="X21"/>
          <cell r="Y21"/>
          <cell r="Z21"/>
          <cell r="AA21"/>
          <cell r="AB21">
            <v>0</v>
          </cell>
          <cell r="AC21" t="str">
            <v/>
          </cell>
          <cell r="AD21" t="str">
            <v/>
          </cell>
          <cell r="AE21" t="str">
            <v/>
          </cell>
          <cell r="AF21">
            <v>39356</v>
          </cell>
          <cell r="AG21"/>
          <cell r="AH21"/>
          <cell r="AI21"/>
          <cell r="AJ21" t="str">
            <v/>
          </cell>
        </row>
        <row r="22">
          <cell r="D22">
            <v>39387</v>
          </cell>
          <cell r="E22"/>
          <cell r="F22" t="str">
            <v/>
          </cell>
          <cell r="G22" t="str">
            <v/>
          </cell>
          <cell r="H22" t="str">
            <v/>
          </cell>
          <cell r="I22"/>
          <cell r="J22"/>
          <cell r="K22"/>
          <cell r="L22" t="str">
            <v/>
          </cell>
          <cell r="M22" t="str">
            <v/>
          </cell>
          <cell r="N22" t="str">
            <v/>
          </cell>
          <cell r="O22"/>
          <cell r="P22"/>
          <cell r="Q22"/>
          <cell r="R22"/>
          <cell r="S22"/>
          <cell r="T22"/>
          <cell r="U22"/>
          <cell r="V22">
            <v>39387</v>
          </cell>
          <cell r="W22"/>
          <cell r="X22"/>
          <cell r="Y22"/>
          <cell r="Z22"/>
          <cell r="AA22"/>
          <cell r="AB22">
            <v>0</v>
          </cell>
          <cell r="AC22" t="str">
            <v/>
          </cell>
          <cell r="AD22" t="str">
            <v/>
          </cell>
          <cell r="AE22" t="str">
            <v/>
          </cell>
          <cell r="AF22">
            <v>39387</v>
          </cell>
          <cell r="AG22"/>
          <cell r="AH22"/>
          <cell r="AI22"/>
          <cell r="AJ22" t="str">
            <v/>
          </cell>
        </row>
        <row r="23">
          <cell r="D23">
            <v>39417</v>
          </cell>
          <cell r="E23"/>
          <cell r="F23" t="str">
            <v/>
          </cell>
          <cell r="G23" t="str">
            <v/>
          </cell>
          <cell r="H23" t="str">
            <v/>
          </cell>
          <cell r="I23"/>
          <cell r="J23"/>
          <cell r="K23"/>
          <cell r="L23" t="str">
            <v/>
          </cell>
          <cell r="M23" t="str">
            <v/>
          </cell>
          <cell r="N23" t="str">
            <v/>
          </cell>
          <cell r="O23"/>
          <cell r="P23"/>
          <cell r="Q23"/>
          <cell r="R23"/>
          <cell r="S23"/>
          <cell r="T23"/>
          <cell r="U23"/>
          <cell r="V23">
            <v>39417</v>
          </cell>
          <cell r="W23"/>
          <cell r="X23"/>
          <cell r="Y23"/>
          <cell r="Z23"/>
          <cell r="AA23"/>
          <cell r="AB23">
            <v>0</v>
          </cell>
          <cell r="AC23" t="str">
            <v/>
          </cell>
          <cell r="AD23" t="str">
            <v/>
          </cell>
          <cell r="AE23" t="str">
            <v/>
          </cell>
          <cell r="AF23">
            <v>39417</v>
          </cell>
          <cell r="AG23"/>
          <cell r="AH23"/>
          <cell r="AI23"/>
          <cell r="AJ23" t="str">
            <v/>
          </cell>
        </row>
        <row r="24">
          <cell r="D24">
            <v>39448</v>
          </cell>
          <cell r="E24">
            <v>2.564102564102564E-2</v>
          </cell>
          <cell r="F24" t="str">
            <v>c</v>
          </cell>
          <cell r="G24" t="str">
            <v>c</v>
          </cell>
          <cell r="H24" t="str">
            <v>g</v>
          </cell>
          <cell r="I24">
            <v>0.1</v>
          </cell>
          <cell r="J24">
            <v>0.05</v>
          </cell>
          <cell r="K24">
            <v>2.564102564102564E-2</v>
          </cell>
          <cell r="L24" t="str">
            <v>c</v>
          </cell>
          <cell r="M24" t="str">
            <v>c</v>
          </cell>
          <cell r="N24" t="str">
            <v>g</v>
          </cell>
          <cell r="O24">
            <v>0.1</v>
          </cell>
          <cell r="P24">
            <v>0.05</v>
          </cell>
          <cell r="Q24"/>
          <cell r="R24"/>
          <cell r="S24"/>
          <cell r="T24"/>
          <cell r="U24"/>
          <cell r="V24">
            <v>39448</v>
          </cell>
          <cell r="W24"/>
          <cell r="X24">
            <v>2.564102564102564E-2</v>
          </cell>
          <cell r="Y24">
            <v>2.564102564102564E-2</v>
          </cell>
          <cell r="Z24"/>
          <cell r="AA24"/>
          <cell r="AB24">
            <v>0</v>
          </cell>
          <cell r="AC24" t="str">
            <v/>
          </cell>
          <cell r="AD24" t="str">
            <v/>
          </cell>
          <cell r="AE24" t="str">
            <v/>
          </cell>
          <cell r="AF24">
            <v>39448</v>
          </cell>
          <cell r="AG24"/>
          <cell r="AH24">
            <v>2.564102564102564E-2</v>
          </cell>
          <cell r="AI24">
            <v>2.564102564102564E-2</v>
          </cell>
          <cell r="AJ24" t="str">
            <v/>
          </cell>
        </row>
        <row r="25">
          <cell r="D25">
            <v>39479</v>
          </cell>
          <cell r="E25">
            <v>0.1111111111111111</v>
          </cell>
          <cell r="F25" t="str">
            <v>g</v>
          </cell>
          <cell r="G25" t="str">
            <v>c</v>
          </cell>
          <cell r="H25" t="str">
            <v>c</v>
          </cell>
          <cell r="I25">
            <v>0.1</v>
          </cell>
          <cell r="J25">
            <v>0.05</v>
          </cell>
          <cell r="K25">
            <v>5.2631578947368418E-2</v>
          </cell>
          <cell r="L25" t="str">
            <v>c</v>
          </cell>
          <cell r="M25" t="str">
            <v>g</v>
          </cell>
          <cell r="N25" t="str">
            <v>c</v>
          </cell>
          <cell r="O25">
            <v>0.1</v>
          </cell>
          <cell r="P25">
            <v>0.05</v>
          </cell>
          <cell r="Q25"/>
          <cell r="R25"/>
          <cell r="S25"/>
          <cell r="T25"/>
          <cell r="U25"/>
          <cell r="V25">
            <v>39479</v>
          </cell>
          <cell r="W25"/>
          <cell r="X25">
            <v>0.1111111111111111</v>
          </cell>
          <cell r="Y25">
            <v>0.1111111111111111</v>
          </cell>
          <cell r="Z25"/>
          <cell r="AA25"/>
          <cell r="AB25">
            <v>0</v>
          </cell>
          <cell r="AC25" t="str">
            <v/>
          </cell>
          <cell r="AD25" t="str">
            <v/>
          </cell>
          <cell r="AE25" t="str">
            <v/>
          </cell>
          <cell r="AF25">
            <v>39479</v>
          </cell>
          <cell r="AG25"/>
          <cell r="AH25">
            <v>5.2631578947368418E-2</v>
          </cell>
          <cell r="AI25">
            <v>5.2631578947368418E-2</v>
          </cell>
          <cell r="AJ25" t="str">
            <v/>
          </cell>
        </row>
        <row r="26">
          <cell r="D26">
            <v>39508</v>
          </cell>
          <cell r="E26">
            <v>0</v>
          </cell>
          <cell r="F26" t="str">
            <v>c</v>
          </cell>
          <cell r="G26" t="str">
            <v>c</v>
          </cell>
          <cell r="H26" t="str">
            <v>g</v>
          </cell>
          <cell r="I26">
            <v>0.1</v>
          </cell>
          <cell r="J26">
            <v>0.05</v>
          </cell>
          <cell r="K26">
            <v>4.6153846153846156E-2</v>
          </cell>
          <cell r="L26" t="str">
            <v>c</v>
          </cell>
          <cell r="M26" t="str">
            <v>c</v>
          </cell>
          <cell r="N26" t="str">
            <v>g</v>
          </cell>
          <cell r="O26">
            <v>0.1</v>
          </cell>
          <cell r="P26">
            <v>0.05</v>
          </cell>
          <cell r="Q26"/>
          <cell r="R26"/>
          <cell r="S26"/>
          <cell r="T26"/>
          <cell r="U26"/>
          <cell r="V26">
            <v>39508</v>
          </cell>
          <cell r="W26"/>
          <cell r="X26">
            <v>0</v>
          </cell>
          <cell r="Y26">
            <v>0</v>
          </cell>
          <cell r="Z26"/>
          <cell r="AA26"/>
          <cell r="AB26">
            <v>0</v>
          </cell>
          <cell r="AC26" t="str">
            <v/>
          </cell>
          <cell r="AD26" t="str">
            <v/>
          </cell>
          <cell r="AE26" t="str">
            <v/>
          </cell>
          <cell r="AF26">
            <v>39508</v>
          </cell>
          <cell r="AG26"/>
          <cell r="AH26">
            <v>4.6153846153846156E-2</v>
          </cell>
          <cell r="AI26">
            <v>4.6153846153846156E-2</v>
          </cell>
          <cell r="AJ26" t="str">
            <v/>
          </cell>
        </row>
        <row r="27">
          <cell r="D27">
            <v>39539</v>
          </cell>
          <cell r="E27">
            <v>0</v>
          </cell>
          <cell r="F27" t="str">
            <v>c</v>
          </cell>
          <cell r="G27" t="str">
            <v>c</v>
          </cell>
          <cell r="H27" t="str">
            <v>g</v>
          </cell>
          <cell r="I27">
            <v>0.1</v>
          </cell>
          <cell r="J27">
            <v>0.05</v>
          </cell>
          <cell r="K27">
            <v>4.4117647058823532E-2</v>
          </cell>
          <cell r="L27" t="str">
            <v>c</v>
          </cell>
          <cell r="M27" t="str">
            <v>c</v>
          </cell>
          <cell r="N27" t="str">
            <v>g</v>
          </cell>
          <cell r="O27">
            <v>0.1</v>
          </cell>
          <cell r="P27">
            <v>0.05</v>
          </cell>
          <cell r="Q27"/>
          <cell r="R27"/>
          <cell r="S27"/>
          <cell r="T27"/>
          <cell r="U27"/>
          <cell r="V27">
            <v>39539</v>
          </cell>
          <cell r="W27"/>
          <cell r="X27">
            <v>0</v>
          </cell>
          <cell r="Y27">
            <v>0</v>
          </cell>
          <cell r="Z27"/>
          <cell r="AA27"/>
          <cell r="AB27">
            <v>0</v>
          </cell>
          <cell r="AC27" t="str">
            <v/>
          </cell>
          <cell r="AD27" t="str">
            <v/>
          </cell>
          <cell r="AE27" t="str">
            <v/>
          </cell>
          <cell r="AF27">
            <v>39539</v>
          </cell>
          <cell r="AG27"/>
          <cell r="AH27">
            <v>4.4117647058823532E-2</v>
          </cell>
          <cell r="AI27">
            <v>4.4117647058823532E-2</v>
          </cell>
          <cell r="AJ27" t="str">
            <v/>
          </cell>
        </row>
        <row r="28">
          <cell r="D28">
            <v>39569</v>
          </cell>
          <cell r="E28">
            <v>0.14285714285714285</v>
          </cell>
          <cell r="F28" t="str">
            <v>g</v>
          </cell>
          <cell r="G28" t="str">
            <v>c</v>
          </cell>
          <cell r="H28" t="str">
            <v>c</v>
          </cell>
          <cell r="I28">
            <v>0.1</v>
          </cell>
          <cell r="J28">
            <v>0.05</v>
          </cell>
          <cell r="K28">
            <v>5.3333333333333337E-2</v>
          </cell>
          <cell r="L28" t="str">
            <v>c</v>
          </cell>
          <cell r="M28" t="str">
            <v>g</v>
          </cell>
          <cell r="N28" t="str">
            <v>c</v>
          </cell>
          <cell r="O28">
            <v>0.1</v>
          </cell>
          <cell r="P28">
            <v>0.05</v>
          </cell>
          <cell r="Q28"/>
          <cell r="R28"/>
          <cell r="S28"/>
          <cell r="T28"/>
          <cell r="U28"/>
          <cell r="V28">
            <v>39569</v>
          </cell>
          <cell r="W28"/>
          <cell r="X28">
            <v>0.14285714285714285</v>
          </cell>
          <cell r="Y28">
            <v>0.14285714285714285</v>
          </cell>
          <cell r="Z28"/>
          <cell r="AA28"/>
          <cell r="AB28">
            <v>0</v>
          </cell>
          <cell r="AC28" t="str">
            <v/>
          </cell>
          <cell r="AD28" t="str">
            <v/>
          </cell>
          <cell r="AE28" t="str">
            <v/>
          </cell>
          <cell r="AF28">
            <v>39569</v>
          </cell>
          <cell r="AG28"/>
          <cell r="AH28">
            <v>5.3333333333333337E-2</v>
          </cell>
          <cell r="AI28">
            <v>5.3333333333333337E-2</v>
          </cell>
          <cell r="AJ28" t="str">
            <v/>
          </cell>
        </row>
        <row r="29">
          <cell r="D29">
            <v>39600</v>
          </cell>
          <cell r="E29">
            <v>0</v>
          </cell>
          <cell r="F29" t="str">
            <v>c</v>
          </cell>
          <cell r="G29" t="str">
            <v>c</v>
          </cell>
          <cell r="H29" t="str">
            <v>g</v>
          </cell>
          <cell r="I29">
            <v>0.1</v>
          </cell>
          <cell r="J29">
            <v>0.05</v>
          </cell>
          <cell r="K29">
            <v>4.878048780487805E-2</v>
          </cell>
          <cell r="L29" t="str">
            <v>c</v>
          </cell>
          <cell r="M29" t="str">
            <v>c</v>
          </cell>
          <cell r="N29" t="str">
            <v>g</v>
          </cell>
          <cell r="O29">
            <v>0.1</v>
          </cell>
          <cell r="P29">
            <v>0.05</v>
          </cell>
          <cell r="Q29"/>
          <cell r="R29"/>
          <cell r="S29"/>
          <cell r="T29"/>
          <cell r="U29"/>
          <cell r="V29">
            <v>39600</v>
          </cell>
          <cell r="W29"/>
          <cell r="X29">
            <v>0</v>
          </cell>
          <cell r="Y29">
            <v>0</v>
          </cell>
          <cell r="Z29"/>
          <cell r="AA29"/>
          <cell r="AB29">
            <v>0</v>
          </cell>
          <cell r="AC29" t="str">
            <v/>
          </cell>
          <cell r="AD29" t="str">
            <v/>
          </cell>
          <cell r="AE29" t="str">
            <v/>
          </cell>
          <cell r="AF29">
            <v>39600</v>
          </cell>
          <cell r="AG29"/>
          <cell r="AH29">
            <v>4.878048780487805E-2</v>
          </cell>
          <cell r="AI29">
            <v>4.878048780487805E-2</v>
          </cell>
          <cell r="AJ29" t="str">
            <v/>
          </cell>
        </row>
        <row r="30">
          <cell r="D30">
            <v>39630</v>
          </cell>
          <cell r="E30">
            <v>0</v>
          </cell>
          <cell r="F30" t="str">
            <v>c</v>
          </cell>
          <cell r="G30" t="str">
            <v>c</v>
          </cell>
          <cell r="H30" t="str">
            <v>g</v>
          </cell>
          <cell r="I30">
            <v>0.1</v>
          </cell>
          <cell r="J30">
            <v>0.05</v>
          </cell>
          <cell r="K30">
            <v>4.49438202247191E-2</v>
          </cell>
          <cell r="L30" t="str">
            <v>c</v>
          </cell>
          <cell r="M30" t="str">
            <v>c</v>
          </cell>
          <cell r="N30" t="str">
            <v>g</v>
          </cell>
          <cell r="O30">
            <v>0.1</v>
          </cell>
          <cell r="P30">
            <v>0.05</v>
          </cell>
          <cell r="Q30"/>
          <cell r="R30"/>
          <cell r="S30"/>
          <cell r="T30"/>
          <cell r="U30"/>
          <cell r="V30">
            <v>39630</v>
          </cell>
          <cell r="W30"/>
          <cell r="X30">
            <v>0</v>
          </cell>
          <cell r="Y30">
            <v>0</v>
          </cell>
          <cell r="Z30"/>
          <cell r="AA30"/>
          <cell r="AB30">
            <v>0</v>
          </cell>
          <cell r="AC30" t="str">
            <v/>
          </cell>
          <cell r="AD30" t="str">
            <v/>
          </cell>
          <cell r="AE30" t="str">
            <v/>
          </cell>
          <cell r="AF30">
            <v>39630</v>
          </cell>
          <cell r="AG30"/>
          <cell r="AH30">
            <v>4.49438202247191E-2</v>
          </cell>
          <cell r="AI30">
            <v>4.49438202247191E-2</v>
          </cell>
          <cell r="AJ30"/>
        </row>
        <row r="31">
          <cell r="D31">
            <v>39661</v>
          </cell>
          <cell r="E31">
            <v>0</v>
          </cell>
          <cell r="F31" t="str">
            <v>c</v>
          </cell>
          <cell r="G31" t="str">
            <v>c</v>
          </cell>
          <cell r="H31" t="str">
            <v>g</v>
          </cell>
          <cell r="I31">
            <v>0.1</v>
          </cell>
          <cell r="J31">
            <v>0.05</v>
          </cell>
          <cell r="K31">
            <v>4.3478260869565216E-2</v>
          </cell>
          <cell r="L31" t="str">
            <v>c</v>
          </cell>
          <cell r="M31" t="str">
            <v>c</v>
          </cell>
          <cell r="N31" t="str">
            <v>g</v>
          </cell>
          <cell r="O31">
            <v>0.1</v>
          </cell>
          <cell r="P31">
            <v>0.05</v>
          </cell>
          <cell r="Q31"/>
          <cell r="R31"/>
          <cell r="S31"/>
          <cell r="T31"/>
          <cell r="U31"/>
          <cell r="V31">
            <v>39661</v>
          </cell>
          <cell r="W31"/>
          <cell r="X31">
            <v>0</v>
          </cell>
          <cell r="Y31">
            <v>0</v>
          </cell>
          <cell r="Z31"/>
          <cell r="AA31"/>
          <cell r="AB31">
            <v>0</v>
          </cell>
          <cell r="AC31" t="str">
            <v/>
          </cell>
          <cell r="AD31" t="str">
            <v/>
          </cell>
          <cell r="AE31" t="str">
            <v/>
          </cell>
          <cell r="AF31">
            <v>39661</v>
          </cell>
          <cell r="AG31"/>
          <cell r="AH31">
            <v>4.3478260869565216E-2</v>
          </cell>
          <cell r="AI31">
            <v>4.3478260869565216E-2</v>
          </cell>
          <cell r="AJ31"/>
        </row>
        <row r="32">
          <cell r="D32">
            <v>39692</v>
          </cell>
          <cell r="E32">
            <v>0</v>
          </cell>
          <cell r="F32" t="str">
            <v>c</v>
          </cell>
          <cell r="G32" t="str">
            <v>c</v>
          </cell>
          <cell r="H32" t="str">
            <v>g</v>
          </cell>
          <cell r="I32">
            <v>0.1</v>
          </cell>
          <cell r="J32">
            <v>0.05</v>
          </cell>
          <cell r="K32">
            <v>0.04</v>
          </cell>
          <cell r="L32" t="str">
            <v>c</v>
          </cell>
          <cell r="M32" t="str">
            <v>c</v>
          </cell>
          <cell r="N32" t="str">
            <v>g</v>
          </cell>
          <cell r="O32">
            <v>0.1</v>
          </cell>
          <cell r="P32">
            <v>0.05</v>
          </cell>
          <cell r="Q32"/>
          <cell r="R32"/>
          <cell r="S32"/>
          <cell r="T32"/>
          <cell r="U32"/>
          <cell r="V32">
            <v>39692</v>
          </cell>
          <cell r="W32"/>
          <cell r="X32"/>
          <cell r="Y32" t="str">
            <v/>
          </cell>
          <cell r="Z32" t="str">
            <v/>
          </cell>
          <cell r="AA32"/>
          <cell r="AB32">
            <v>0</v>
          </cell>
          <cell r="AC32" t="str">
            <v/>
          </cell>
          <cell r="AD32" t="str">
            <v/>
          </cell>
          <cell r="AE32" t="str">
            <v/>
          </cell>
          <cell r="AF32">
            <v>39692</v>
          </cell>
          <cell r="AG32"/>
          <cell r="AH32">
            <v>0.04</v>
          </cell>
          <cell r="AI32"/>
          <cell r="AJ32"/>
        </row>
        <row r="33">
          <cell r="D33">
            <v>39722</v>
          </cell>
          <cell r="E33">
            <v>0</v>
          </cell>
          <cell r="F33" t="str">
            <v>c</v>
          </cell>
          <cell r="G33" t="str">
            <v>c</v>
          </cell>
          <cell r="H33" t="str">
            <v>g</v>
          </cell>
          <cell r="I33">
            <v>0.1</v>
          </cell>
          <cell r="J33">
            <v>0.05</v>
          </cell>
          <cell r="K33">
            <v>3.9603960396039604E-2</v>
          </cell>
          <cell r="L33" t="str">
            <v>c</v>
          </cell>
          <cell r="M33" t="str">
            <v>c</v>
          </cell>
          <cell r="N33" t="str">
            <v>g</v>
          </cell>
          <cell r="O33">
            <v>0.1</v>
          </cell>
          <cell r="P33">
            <v>0.05</v>
          </cell>
          <cell r="Q33"/>
          <cell r="R33"/>
          <cell r="S33"/>
          <cell r="T33"/>
          <cell r="U33"/>
          <cell r="V33">
            <v>39722</v>
          </cell>
          <cell r="W33"/>
          <cell r="X33"/>
          <cell r="Y33" t="str">
            <v/>
          </cell>
          <cell r="Z33" t="str">
            <v/>
          </cell>
          <cell r="AA33"/>
          <cell r="AB33">
            <v>0</v>
          </cell>
          <cell r="AC33" t="str">
            <v/>
          </cell>
          <cell r="AD33" t="str">
            <v/>
          </cell>
          <cell r="AE33" t="str">
            <v/>
          </cell>
          <cell r="AF33">
            <v>39722</v>
          </cell>
          <cell r="AG33"/>
          <cell r="AH33">
            <v>3.9603960396039604E-2</v>
          </cell>
          <cell r="AI33"/>
          <cell r="AJ33"/>
        </row>
        <row r="34">
          <cell r="D34">
            <v>39753</v>
          </cell>
          <cell r="E34">
            <v>0</v>
          </cell>
          <cell r="F34" t="str">
            <v>c</v>
          </cell>
          <cell r="G34" t="str">
            <v>c</v>
          </cell>
          <cell r="H34" t="str">
            <v>g</v>
          </cell>
          <cell r="I34">
            <v>0.1</v>
          </cell>
          <cell r="J34">
            <v>0.05</v>
          </cell>
          <cell r="K34">
            <v>3.8461538461538464E-2</v>
          </cell>
          <cell r="L34" t="str">
            <v>c</v>
          </cell>
          <cell r="M34" t="str">
            <v>c</v>
          </cell>
          <cell r="N34" t="str">
            <v>g</v>
          </cell>
          <cell r="O34">
            <v>0.1</v>
          </cell>
          <cell r="P34">
            <v>0.05</v>
          </cell>
          <cell r="Q34"/>
          <cell r="R34"/>
          <cell r="S34"/>
          <cell r="T34"/>
          <cell r="U34"/>
          <cell r="V34">
            <v>39753</v>
          </cell>
          <cell r="W34"/>
          <cell r="X34"/>
          <cell r="Y34" t="str">
            <v/>
          </cell>
          <cell r="Z34" t="str">
            <v/>
          </cell>
          <cell r="AA34"/>
          <cell r="AB34">
            <v>0</v>
          </cell>
          <cell r="AC34" t="str">
            <v/>
          </cell>
          <cell r="AD34" t="str">
            <v/>
          </cell>
          <cell r="AE34" t="str">
            <v/>
          </cell>
          <cell r="AF34">
            <v>39753</v>
          </cell>
          <cell r="AG34"/>
          <cell r="AH34">
            <v>3.8461538461538464E-2</v>
          </cell>
          <cell r="AI34"/>
          <cell r="AJ34"/>
        </row>
        <row r="35">
          <cell r="D35">
            <v>39783</v>
          </cell>
          <cell r="E35">
            <v>0</v>
          </cell>
          <cell r="F35" t="str">
            <v>c</v>
          </cell>
          <cell r="G35" t="str">
            <v>c</v>
          </cell>
          <cell r="H35" t="str">
            <v>g</v>
          </cell>
          <cell r="I35">
            <v>0.1</v>
          </cell>
          <cell r="J35">
            <v>0.05</v>
          </cell>
          <cell r="K35">
            <v>3.7037037037037035E-2</v>
          </cell>
          <cell r="L35" t="str">
            <v>c</v>
          </cell>
          <cell r="M35" t="str">
            <v>c</v>
          </cell>
          <cell r="N35" t="str">
            <v>g</v>
          </cell>
          <cell r="O35">
            <v>0.1</v>
          </cell>
          <cell r="P35">
            <v>0.05</v>
          </cell>
          <cell r="Q35"/>
          <cell r="R35"/>
          <cell r="S35"/>
          <cell r="T35"/>
          <cell r="U35"/>
          <cell r="V35">
            <v>39783</v>
          </cell>
          <cell r="W35"/>
          <cell r="X35"/>
          <cell r="Y35" t="str">
            <v/>
          </cell>
          <cell r="Z35" t="str">
            <v/>
          </cell>
          <cell r="AA35"/>
          <cell r="AB35">
            <v>0</v>
          </cell>
          <cell r="AC35" t="str">
            <v/>
          </cell>
          <cell r="AD35" t="str">
            <v/>
          </cell>
          <cell r="AE35" t="str">
            <v/>
          </cell>
          <cell r="AF35">
            <v>39783</v>
          </cell>
          <cell r="AG35"/>
          <cell r="AH35">
            <v>3.7037037037037035E-2</v>
          </cell>
          <cell r="AI35"/>
          <cell r="AJ35"/>
        </row>
        <row r="36">
          <cell r="D36">
            <v>39814</v>
          </cell>
          <cell r="E36" t="str">
            <v/>
          </cell>
          <cell r="F36"/>
          <cell r="G36"/>
          <cell r="H36"/>
          <cell r="I36"/>
          <cell r="J36"/>
          <cell r="K36" t="str">
            <v/>
          </cell>
          <cell r="L36"/>
          <cell r="M36"/>
          <cell r="N36"/>
          <cell r="O36"/>
          <cell r="P36"/>
          <cell r="Q36"/>
          <cell r="R36"/>
          <cell r="S36"/>
          <cell r="T36"/>
          <cell r="U36"/>
          <cell r="V36">
            <v>39814</v>
          </cell>
          <cell r="W36">
            <v>2.564102564102564E-2</v>
          </cell>
          <cell r="X36"/>
          <cell r="Y36" t="str">
            <v/>
          </cell>
          <cell r="Z36" t="str">
            <v/>
          </cell>
          <cell r="AA36"/>
          <cell r="AB36">
            <v>0</v>
          </cell>
          <cell r="AC36" t="str">
            <v/>
          </cell>
          <cell r="AD36" t="str">
            <v/>
          </cell>
          <cell r="AE36" t="str">
            <v/>
          </cell>
          <cell r="AF36">
            <v>39814</v>
          </cell>
          <cell r="AG36">
            <v>2.564102564102564E-2</v>
          </cell>
          <cell r="AH36" t="str">
            <v/>
          </cell>
          <cell r="AI36"/>
          <cell r="AJ36" t="str">
            <v/>
          </cell>
        </row>
        <row r="37">
          <cell r="D37">
            <v>39845</v>
          </cell>
          <cell r="E37" t="str">
            <v/>
          </cell>
          <cell r="F37"/>
          <cell r="G37"/>
          <cell r="H37"/>
          <cell r="I37"/>
          <cell r="J37"/>
          <cell r="K37" t="str">
            <v/>
          </cell>
          <cell r="L37"/>
          <cell r="M37"/>
          <cell r="N37"/>
          <cell r="O37"/>
          <cell r="P37"/>
          <cell r="Q37"/>
          <cell r="R37"/>
          <cell r="S37"/>
          <cell r="T37"/>
          <cell r="U37"/>
          <cell r="V37">
            <v>39845</v>
          </cell>
          <cell r="W37">
            <v>0.1111111111111111</v>
          </cell>
          <cell r="X37"/>
          <cell r="Y37" t="str">
            <v/>
          </cell>
          <cell r="Z37" t="str">
            <v/>
          </cell>
          <cell r="AA37"/>
          <cell r="AB37">
            <v>0</v>
          </cell>
          <cell r="AC37" t="str">
            <v/>
          </cell>
          <cell r="AD37" t="str">
            <v/>
          </cell>
          <cell r="AE37" t="str">
            <v/>
          </cell>
          <cell r="AF37">
            <v>39845</v>
          </cell>
          <cell r="AG37">
            <v>5.2631578947368418E-2</v>
          </cell>
          <cell r="AH37" t="str">
            <v/>
          </cell>
          <cell r="AI37"/>
          <cell r="AJ37" t="str">
            <v/>
          </cell>
        </row>
        <row r="38">
          <cell r="D38">
            <v>39873</v>
          </cell>
          <cell r="E38" t="str">
            <v/>
          </cell>
          <cell r="F38"/>
          <cell r="G38"/>
          <cell r="H38"/>
          <cell r="I38"/>
          <cell r="J38"/>
          <cell r="K38" t="str">
            <v/>
          </cell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>
            <v>39873</v>
          </cell>
          <cell r="W38">
            <v>0</v>
          </cell>
          <cell r="X38"/>
          <cell r="Y38" t="str">
            <v/>
          </cell>
          <cell r="Z38" t="str">
            <v/>
          </cell>
          <cell r="AA38"/>
          <cell r="AB38">
            <v>0</v>
          </cell>
          <cell r="AC38" t="str">
            <v/>
          </cell>
          <cell r="AD38" t="str">
            <v/>
          </cell>
          <cell r="AE38" t="str">
            <v/>
          </cell>
          <cell r="AF38">
            <v>39873</v>
          </cell>
          <cell r="AG38">
            <v>4.6153846153846156E-2</v>
          </cell>
          <cell r="AH38" t="str">
            <v/>
          </cell>
          <cell r="AI38"/>
          <cell r="AJ38" t="str">
            <v/>
          </cell>
        </row>
        <row r="39">
          <cell r="D39">
            <v>39904</v>
          </cell>
          <cell r="E39" t="str">
            <v/>
          </cell>
          <cell r="F39"/>
          <cell r="G39"/>
          <cell r="H39"/>
          <cell r="I39"/>
          <cell r="J39"/>
          <cell r="K39" t="str">
            <v/>
          </cell>
          <cell r="L39"/>
          <cell r="M39"/>
          <cell r="N39"/>
          <cell r="O39"/>
          <cell r="P39"/>
          <cell r="V39">
            <v>39904</v>
          </cell>
          <cell r="W39">
            <v>0</v>
          </cell>
          <cell r="X39"/>
          <cell r="Y39" t="str">
            <v/>
          </cell>
          <cell r="Z39" t="str">
            <v/>
          </cell>
          <cell r="AA39"/>
          <cell r="AB39">
            <v>0</v>
          </cell>
          <cell r="AC39" t="str">
            <v/>
          </cell>
          <cell r="AD39" t="str">
            <v/>
          </cell>
          <cell r="AE39" t="str">
            <v/>
          </cell>
          <cell r="AF39">
            <v>39904</v>
          </cell>
          <cell r="AG39">
            <v>4.4117647058823532E-2</v>
          </cell>
          <cell r="AH39" t="str">
            <v/>
          </cell>
          <cell r="AI39"/>
          <cell r="AJ39" t="str">
            <v/>
          </cell>
        </row>
        <row r="40">
          <cell r="D40">
            <v>39934</v>
          </cell>
          <cell r="E40" t="str">
            <v/>
          </cell>
          <cell r="F40"/>
          <cell r="G40"/>
          <cell r="H40"/>
          <cell r="I40"/>
          <cell r="J40"/>
          <cell r="K40" t="str">
            <v/>
          </cell>
          <cell r="L40"/>
          <cell r="M40"/>
          <cell r="N40"/>
          <cell r="O40"/>
          <cell r="P40"/>
          <cell r="V40">
            <v>39934</v>
          </cell>
          <cell r="W40"/>
          <cell r="X40"/>
          <cell r="Y40" t="str">
            <v/>
          </cell>
          <cell r="Z40" t="str">
            <v/>
          </cell>
          <cell r="AA40"/>
          <cell r="AB40">
            <v>0</v>
          </cell>
          <cell r="AC40" t="str">
            <v/>
          </cell>
          <cell r="AD40" t="str">
            <v/>
          </cell>
          <cell r="AE40" t="str">
            <v/>
          </cell>
          <cell r="AF40">
            <v>39934</v>
          </cell>
          <cell r="AG40"/>
          <cell r="AH40" t="str">
            <v/>
          </cell>
          <cell r="AI40"/>
          <cell r="AJ40" t="str">
            <v/>
          </cell>
        </row>
        <row r="41">
          <cell r="D41">
            <v>39965</v>
          </cell>
          <cell r="E41" t="str">
            <v/>
          </cell>
          <cell r="F41"/>
          <cell r="G41"/>
          <cell r="H41"/>
          <cell r="I41"/>
          <cell r="J41"/>
          <cell r="K41" t="str">
            <v/>
          </cell>
          <cell r="L41"/>
          <cell r="M41"/>
          <cell r="N41"/>
          <cell r="O41"/>
          <cell r="P41"/>
          <cell r="V41">
            <v>39965</v>
          </cell>
          <cell r="W41"/>
          <cell r="X41"/>
          <cell r="Y41" t="str">
            <v/>
          </cell>
          <cell r="Z41" t="str">
            <v/>
          </cell>
          <cell r="AA41"/>
          <cell r="AB41">
            <v>0</v>
          </cell>
          <cell r="AC41" t="str">
            <v/>
          </cell>
          <cell r="AD41" t="str">
            <v/>
          </cell>
          <cell r="AE41" t="str">
            <v/>
          </cell>
          <cell r="AF41">
            <v>39965</v>
          </cell>
          <cell r="AG41"/>
          <cell r="AH41" t="str">
            <v/>
          </cell>
          <cell r="AI41"/>
          <cell r="AJ41" t="str">
            <v/>
          </cell>
        </row>
        <row r="42">
          <cell r="D42">
            <v>39995</v>
          </cell>
          <cell r="E42" t="str">
            <v/>
          </cell>
          <cell r="F42"/>
          <cell r="G42"/>
          <cell r="H42"/>
          <cell r="I42"/>
          <cell r="J42"/>
          <cell r="K42" t="str">
            <v/>
          </cell>
          <cell r="L42"/>
          <cell r="M42"/>
          <cell r="N42"/>
          <cell r="O42"/>
          <cell r="P42"/>
          <cell r="V42">
            <v>39995</v>
          </cell>
          <cell r="W42"/>
          <cell r="X42"/>
          <cell r="Y42" t="str">
            <v/>
          </cell>
          <cell r="Z42" t="str">
            <v/>
          </cell>
          <cell r="AA42"/>
          <cell r="AB42">
            <v>0</v>
          </cell>
          <cell r="AC42" t="str">
            <v/>
          </cell>
          <cell r="AD42" t="str">
            <v/>
          </cell>
          <cell r="AE42" t="str">
            <v/>
          </cell>
          <cell r="AF42">
            <v>39995</v>
          </cell>
          <cell r="AG42"/>
          <cell r="AH42" t="str">
            <v/>
          </cell>
          <cell r="AI42"/>
          <cell r="AJ42" t="str">
            <v/>
          </cell>
        </row>
        <row r="43">
          <cell r="D43">
            <v>40026</v>
          </cell>
          <cell r="E43" t="str">
            <v/>
          </cell>
          <cell r="F43"/>
          <cell r="G43"/>
          <cell r="H43"/>
          <cell r="I43"/>
          <cell r="J43"/>
          <cell r="K43" t="str">
            <v/>
          </cell>
          <cell r="L43"/>
          <cell r="M43"/>
          <cell r="N43"/>
          <cell r="O43"/>
          <cell r="P43"/>
          <cell r="V43">
            <v>40026</v>
          </cell>
          <cell r="W43"/>
          <cell r="X43"/>
          <cell r="Y43" t="str">
            <v/>
          </cell>
          <cell r="Z43" t="str">
            <v/>
          </cell>
          <cell r="AA43"/>
          <cell r="AB43">
            <v>0</v>
          </cell>
          <cell r="AC43" t="str">
            <v/>
          </cell>
          <cell r="AD43" t="str">
            <v/>
          </cell>
          <cell r="AE43" t="str">
            <v/>
          </cell>
          <cell r="AF43">
            <v>40026</v>
          </cell>
          <cell r="AG43"/>
          <cell r="AH43" t="str">
            <v/>
          </cell>
          <cell r="AI43"/>
          <cell r="AJ43" t="str">
            <v/>
          </cell>
        </row>
        <row r="44">
          <cell r="D44">
            <v>40057</v>
          </cell>
          <cell r="E44" t="str">
            <v/>
          </cell>
          <cell r="F44"/>
          <cell r="G44"/>
          <cell r="H44"/>
          <cell r="I44"/>
          <cell r="J44"/>
          <cell r="K44" t="str">
            <v/>
          </cell>
          <cell r="L44"/>
          <cell r="M44"/>
          <cell r="N44"/>
          <cell r="O44"/>
          <cell r="P44"/>
          <cell r="V44">
            <v>40057</v>
          </cell>
          <cell r="W44"/>
          <cell r="X44"/>
          <cell r="Y44" t="str">
            <v/>
          </cell>
          <cell r="Z44" t="str">
            <v/>
          </cell>
          <cell r="AA44"/>
          <cell r="AB44">
            <v>0</v>
          </cell>
          <cell r="AC44" t="str">
            <v/>
          </cell>
          <cell r="AD44" t="str">
            <v/>
          </cell>
          <cell r="AE44" t="str">
            <v/>
          </cell>
          <cell r="AF44">
            <v>40057</v>
          </cell>
          <cell r="AG44"/>
          <cell r="AH44" t="str">
            <v/>
          </cell>
          <cell r="AI44"/>
          <cell r="AJ44" t="str">
            <v/>
          </cell>
        </row>
      </sheetData>
      <sheetData sheetId="20">
        <row r="9">
          <cell r="D9"/>
          <cell r="E9" t="str">
            <v>Mesual</v>
          </cell>
          <cell r="F9"/>
          <cell r="G9"/>
          <cell r="H9"/>
          <cell r="I9"/>
          <cell r="J9"/>
          <cell r="K9" t="str">
            <v>Acumulado</v>
          </cell>
          <cell r="L9"/>
          <cell r="M9"/>
          <cell r="N9"/>
          <cell r="O9"/>
          <cell r="P9"/>
          <cell r="V9" t="str">
            <v>Mes</v>
          </cell>
          <cell r="W9"/>
          <cell r="X9"/>
          <cell r="Y9"/>
          <cell r="Z9"/>
          <cell r="AA9"/>
          <cell r="AB9"/>
          <cell r="AC9"/>
          <cell r="AD9"/>
          <cell r="AE9"/>
          <cell r="AF9" t="str">
            <v>Mes</v>
          </cell>
          <cell r="AG9"/>
          <cell r="AH9"/>
          <cell r="AI9"/>
          <cell r="AJ9"/>
        </row>
        <row r="10">
          <cell r="D10" t="str">
            <v>Fecha</v>
          </cell>
          <cell r="E10" t="str">
            <v>Estimado</v>
          </cell>
          <cell r="F10" t="str">
            <v>Performance</v>
          </cell>
          <cell r="G10"/>
          <cell r="H10"/>
          <cell r="I10" t="str">
            <v>Limites</v>
          </cell>
          <cell r="J10"/>
          <cell r="K10" t="str">
            <v>Estimado</v>
          </cell>
          <cell r="L10" t="str">
            <v>Performance</v>
          </cell>
          <cell r="M10"/>
          <cell r="N10"/>
          <cell r="O10" t="str">
            <v>Limites</v>
          </cell>
          <cell r="P10"/>
          <cell r="Q10"/>
          <cell r="R10"/>
          <cell r="S10"/>
          <cell r="T10"/>
          <cell r="U10"/>
          <cell r="V10"/>
          <cell r="W10" t="str">
            <v>Valores</v>
          </cell>
          <cell r="X10"/>
          <cell r="Y10" t="str">
            <v>Var 1.</v>
          </cell>
          <cell r="Z10"/>
          <cell r="AA10" t="str">
            <v>Proyectado</v>
          </cell>
          <cell r="AB10" t="str">
            <v>Anual</v>
          </cell>
          <cell r="AC10" t="str">
            <v>Var 2.</v>
          </cell>
          <cell r="AD10"/>
          <cell r="AE10" t="str">
            <v>% Avance 
del Año</v>
          </cell>
          <cell r="AF10"/>
          <cell r="AG10" t="str">
            <v>Valores</v>
          </cell>
          <cell r="AH10"/>
          <cell r="AI10" t="str">
            <v>Var 1.</v>
          </cell>
          <cell r="AJ10"/>
        </row>
        <row r="11">
          <cell r="D11"/>
          <cell r="E11"/>
          <cell r="F11"/>
          <cell r="G11"/>
          <cell r="H11"/>
          <cell r="I11" t="str">
            <v>Sup</v>
          </cell>
          <cell r="J11" t="str">
            <v>Inf</v>
          </cell>
          <cell r="K11"/>
          <cell r="L11"/>
          <cell r="M11"/>
          <cell r="N11"/>
          <cell r="O11" t="str">
            <v>Sup</v>
          </cell>
          <cell r="P11" t="str">
            <v>Inf</v>
          </cell>
          <cell r="Q11"/>
          <cell r="R11"/>
          <cell r="S11"/>
          <cell r="T11"/>
          <cell r="U11"/>
          <cell r="V11" t="str">
            <v>Fecha</v>
          </cell>
          <cell r="W11" t="str">
            <v>Anteriores</v>
          </cell>
          <cell r="X11" t="str">
            <v>Real</v>
          </cell>
          <cell r="Y11" t="str">
            <v>Unidades</v>
          </cell>
          <cell r="Z11" t="str">
            <v>%</v>
          </cell>
          <cell r="AA11"/>
          <cell r="AB11" t="str">
            <v>Proyectado</v>
          </cell>
          <cell r="AC11" t="str">
            <v>Unidades</v>
          </cell>
          <cell r="AD11" t="str">
            <v>%</v>
          </cell>
          <cell r="AE11"/>
          <cell r="AF11" t="str">
            <v>Fecha</v>
          </cell>
          <cell r="AG11" t="str">
            <v>Anteriores</v>
          </cell>
          <cell r="AH11" t="str">
            <v>Real</v>
          </cell>
          <cell r="AI11" t="str">
            <v>Unidades</v>
          </cell>
          <cell r="AJ11" t="str">
            <v>%</v>
          </cell>
        </row>
        <row r="12">
          <cell r="D12">
            <v>39083</v>
          </cell>
          <cell r="E12"/>
          <cell r="F12" t="str">
            <v/>
          </cell>
          <cell r="G12" t="str">
            <v/>
          </cell>
          <cell r="H12" t="str">
            <v/>
          </cell>
          <cell r="I12">
            <v>2</v>
          </cell>
          <cell r="J12">
            <v>1.7</v>
          </cell>
          <cell r="K12"/>
          <cell r="L12" t="str">
            <v/>
          </cell>
          <cell r="M12" t="str">
            <v/>
          </cell>
          <cell r="N12" t="str">
            <v/>
          </cell>
          <cell r="O12"/>
          <cell r="P12"/>
          <cell r="Q12"/>
          <cell r="R12"/>
          <cell r="S12"/>
          <cell r="T12"/>
          <cell r="U12"/>
          <cell r="V12">
            <v>39083</v>
          </cell>
          <cell r="W12"/>
          <cell r="X12" t="str">
            <v/>
          </cell>
          <cell r="Y12" t="str">
            <v/>
          </cell>
          <cell r="Z12"/>
          <cell r="AA12"/>
          <cell r="AB12">
            <v>0</v>
          </cell>
          <cell r="AC12" t="str">
            <v/>
          </cell>
          <cell r="AD12" t="str">
            <v/>
          </cell>
          <cell r="AE12" t="str">
            <v/>
          </cell>
          <cell r="AF12">
            <v>39083</v>
          </cell>
          <cell r="AG12"/>
          <cell r="AH12" t="str">
            <v/>
          </cell>
          <cell r="AI12" t="str">
            <v/>
          </cell>
          <cell r="AJ12"/>
        </row>
        <row r="13">
          <cell r="D13">
            <v>39114</v>
          </cell>
          <cell r="E13"/>
          <cell r="F13" t="str">
            <v/>
          </cell>
          <cell r="G13" t="str">
            <v/>
          </cell>
          <cell r="H13" t="str">
            <v/>
          </cell>
          <cell r="I13">
            <v>2</v>
          </cell>
          <cell r="J13">
            <v>1.7</v>
          </cell>
          <cell r="K13"/>
          <cell r="L13" t="str">
            <v/>
          </cell>
          <cell r="M13" t="str">
            <v/>
          </cell>
          <cell r="N13" t="str">
            <v/>
          </cell>
          <cell r="O13"/>
          <cell r="P13"/>
          <cell r="Q13"/>
          <cell r="R13"/>
          <cell r="S13"/>
          <cell r="T13"/>
          <cell r="U13"/>
          <cell r="V13">
            <v>39114</v>
          </cell>
          <cell r="W13"/>
          <cell r="X13" t="str">
            <v/>
          </cell>
          <cell r="Y13" t="str">
            <v/>
          </cell>
          <cell r="Z13"/>
          <cell r="AA13"/>
          <cell r="AB13">
            <v>0</v>
          </cell>
          <cell r="AC13" t="str">
            <v/>
          </cell>
          <cell r="AD13" t="str">
            <v/>
          </cell>
          <cell r="AE13" t="str">
            <v/>
          </cell>
          <cell r="AF13">
            <v>39114</v>
          </cell>
          <cell r="AG13"/>
          <cell r="AH13" t="str">
            <v/>
          </cell>
          <cell r="AI13" t="str">
            <v/>
          </cell>
          <cell r="AJ13"/>
        </row>
        <row r="14">
          <cell r="D14">
            <v>39142</v>
          </cell>
          <cell r="E14"/>
          <cell r="F14" t="str">
            <v/>
          </cell>
          <cell r="G14" t="str">
            <v/>
          </cell>
          <cell r="H14" t="str">
            <v/>
          </cell>
          <cell r="I14">
            <v>2</v>
          </cell>
          <cell r="J14">
            <v>1.7</v>
          </cell>
          <cell r="K14"/>
          <cell r="L14" t="str">
            <v/>
          </cell>
          <cell r="M14" t="str">
            <v/>
          </cell>
          <cell r="N14" t="str">
            <v/>
          </cell>
          <cell r="O14"/>
          <cell r="P14"/>
          <cell r="Q14"/>
          <cell r="R14"/>
          <cell r="S14"/>
          <cell r="T14"/>
          <cell r="U14"/>
          <cell r="V14">
            <v>39142</v>
          </cell>
          <cell r="W14"/>
          <cell r="X14" t="str">
            <v/>
          </cell>
          <cell r="Y14" t="str">
            <v/>
          </cell>
          <cell r="Z14"/>
          <cell r="AA14"/>
          <cell r="AB14">
            <v>0</v>
          </cell>
          <cell r="AC14" t="str">
            <v/>
          </cell>
          <cell r="AD14" t="str">
            <v/>
          </cell>
          <cell r="AE14" t="str">
            <v/>
          </cell>
          <cell r="AF14">
            <v>39142</v>
          </cell>
          <cell r="AG14"/>
          <cell r="AH14" t="str">
            <v/>
          </cell>
          <cell r="AI14" t="str">
            <v/>
          </cell>
          <cell r="AJ14"/>
        </row>
        <row r="15">
          <cell r="D15">
            <v>39173</v>
          </cell>
          <cell r="E15"/>
          <cell r="F15" t="str">
            <v/>
          </cell>
          <cell r="G15" t="str">
            <v/>
          </cell>
          <cell r="H15" t="str">
            <v/>
          </cell>
          <cell r="I15">
            <v>2</v>
          </cell>
          <cell r="J15">
            <v>1.7</v>
          </cell>
          <cell r="K15"/>
          <cell r="L15" t="str">
            <v/>
          </cell>
          <cell r="M15" t="str">
            <v/>
          </cell>
          <cell r="N15" t="str">
            <v/>
          </cell>
          <cell r="O15"/>
          <cell r="P15"/>
          <cell r="Q15"/>
          <cell r="R15"/>
          <cell r="S15"/>
          <cell r="T15"/>
          <cell r="U15"/>
          <cell r="V15">
            <v>39173</v>
          </cell>
          <cell r="W15"/>
          <cell r="X15" t="str">
            <v/>
          </cell>
          <cell r="Y15" t="str">
            <v/>
          </cell>
          <cell r="Z15"/>
          <cell r="AA15"/>
          <cell r="AB15">
            <v>0</v>
          </cell>
          <cell r="AC15" t="str">
            <v/>
          </cell>
          <cell r="AD15" t="str">
            <v/>
          </cell>
          <cell r="AE15" t="str">
            <v/>
          </cell>
          <cell r="AF15">
            <v>39173</v>
          </cell>
          <cell r="AG15"/>
          <cell r="AH15" t="str">
            <v/>
          </cell>
          <cell r="AI15" t="str">
            <v/>
          </cell>
          <cell r="AJ15"/>
        </row>
        <row r="16">
          <cell r="D16">
            <v>39203</v>
          </cell>
          <cell r="E16"/>
          <cell r="F16" t="str">
            <v/>
          </cell>
          <cell r="G16" t="str">
            <v/>
          </cell>
          <cell r="H16" t="str">
            <v/>
          </cell>
          <cell r="I16">
            <v>2</v>
          </cell>
          <cell r="J16">
            <v>1.7</v>
          </cell>
          <cell r="K16"/>
          <cell r="L16" t="str">
            <v/>
          </cell>
          <cell r="M16" t="str">
            <v/>
          </cell>
          <cell r="N16" t="str">
            <v/>
          </cell>
          <cell r="O16"/>
          <cell r="P16"/>
          <cell r="Q16"/>
          <cell r="R16"/>
          <cell r="S16"/>
          <cell r="T16"/>
          <cell r="U16"/>
          <cell r="V16">
            <v>39203</v>
          </cell>
          <cell r="W16"/>
          <cell r="X16" t="str">
            <v/>
          </cell>
          <cell r="Y16" t="str">
            <v/>
          </cell>
          <cell r="Z16"/>
          <cell r="AA16"/>
          <cell r="AB16">
            <v>0</v>
          </cell>
          <cell r="AC16" t="str">
            <v/>
          </cell>
          <cell r="AD16" t="str">
            <v/>
          </cell>
          <cell r="AE16" t="str">
            <v/>
          </cell>
          <cell r="AF16">
            <v>39203</v>
          </cell>
          <cell r="AG16"/>
          <cell r="AH16" t="str">
            <v/>
          </cell>
          <cell r="AI16" t="str">
            <v/>
          </cell>
          <cell r="AJ16"/>
        </row>
        <row r="17">
          <cell r="D17">
            <v>39234</v>
          </cell>
          <cell r="E17"/>
          <cell r="F17" t="str">
            <v/>
          </cell>
          <cell r="G17" t="str">
            <v/>
          </cell>
          <cell r="H17" t="str">
            <v/>
          </cell>
          <cell r="I17">
            <v>2</v>
          </cell>
          <cell r="J17">
            <v>1.7</v>
          </cell>
          <cell r="K17"/>
          <cell r="L17" t="str">
            <v/>
          </cell>
          <cell r="M17" t="str">
            <v/>
          </cell>
          <cell r="N17" t="str">
            <v/>
          </cell>
          <cell r="O17"/>
          <cell r="P17"/>
          <cell r="Q17"/>
          <cell r="R17"/>
          <cell r="S17"/>
          <cell r="T17"/>
          <cell r="U17"/>
          <cell r="V17">
            <v>39234</v>
          </cell>
          <cell r="W17"/>
          <cell r="X17" t="str">
            <v/>
          </cell>
          <cell r="Y17" t="str">
            <v/>
          </cell>
          <cell r="Z17"/>
          <cell r="AA17"/>
          <cell r="AB17">
            <v>0</v>
          </cell>
          <cell r="AC17" t="str">
            <v/>
          </cell>
          <cell r="AD17" t="str">
            <v/>
          </cell>
          <cell r="AE17" t="str">
            <v/>
          </cell>
          <cell r="AF17">
            <v>39234</v>
          </cell>
          <cell r="AG17"/>
          <cell r="AH17" t="str">
            <v/>
          </cell>
          <cell r="AI17" t="str">
            <v/>
          </cell>
          <cell r="AJ17"/>
        </row>
        <row r="18">
          <cell r="D18">
            <v>39264</v>
          </cell>
          <cell r="E18"/>
          <cell r="F18" t="str">
            <v/>
          </cell>
          <cell r="G18" t="str">
            <v/>
          </cell>
          <cell r="H18" t="str">
            <v/>
          </cell>
          <cell r="I18">
            <v>2</v>
          </cell>
          <cell r="J18">
            <v>1.7</v>
          </cell>
          <cell r="K18"/>
          <cell r="L18" t="str">
            <v/>
          </cell>
          <cell r="M18" t="str">
            <v/>
          </cell>
          <cell r="N18" t="str">
            <v/>
          </cell>
          <cell r="O18"/>
          <cell r="P18"/>
          <cell r="Q18"/>
          <cell r="R18"/>
          <cell r="S18"/>
          <cell r="T18"/>
          <cell r="U18"/>
          <cell r="V18">
            <v>39264</v>
          </cell>
          <cell r="W18"/>
          <cell r="X18" t="str">
            <v/>
          </cell>
          <cell r="Y18" t="str">
            <v/>
          </cell>
          <cell r="Z18"/>
          <cell r="AA18"/>
          <cell r="AB18">
            <v>0</v>
          </cell>
          <cell r="AC18" t="str">
            <v/>
          </cell>
          <cell r="AD18" t="str">
            <v/>
          </cell>
          <cell r="AE18" t="str">
            <v/>
          </cell>
          <cell r="AF18">
            <v>39264</v>
          </cell>
          <cell r="AG18"/>
          <cell r="AH18" t="str">
            <v/>
          </cell>
          <cell r="AI18" t="str">
            <v/>
          </cell>
          <cell r="AJ18"/>
        </row>
        <row r="19">
          <cell r="D19">
            <v>39295</v>
          </cell>
          <cell r="E19"/>
          <cell r="F19" t="str">
            <v/>
          </cell>
          <cell r="G19" t="str">
            <v/>
          </cell>
          <cell r="H19" t="str">
            <v/>
          </cell>
          <cell r="I19">
            <v>2</v>
          </cell>
          <cell r="J19">
            <v>1.7</v>
          </cell>
          <cell r="K19" t="str">
            <v/>
          </cell>
          <cell r="L19" t="str">
            <v/>
          </cell>
          <cell r="M19" t="str">
            <v/>
          </cell>
          <cell r="N19" t="str">
            <v/>
          </cell>
          <cell r="O19"/>
          <cell r="P19"/>
          <cell r="Q19"/>
          <cell r="R19"/>
          <cell r="S19"/>
          <cell r="T19"/>
          <cell r="U19"/>
          <cell r="V19">
            <v>39295</v>
          </cell>
          <cell r="W19"/>
          <cell r="X19" t="str">
            <v/>
          </cell>
          <cell r="Y19" t="str">
            <v/>
          </cell>
          <cell r="Z19"/>
          <cell r="AA19"/>
          <cell r="AB19">
            <v>0</v>
          </cell>
          <cell r="AC19" t="str">
            <v/>
          </cell>
          <cell r="AD19" t="str">
            <v/>
          </cell>
          <cell r="AE19" t="str">
            <v/>
          </cell>
          <cell r="AF19">
            <v>39295</v>
          </cell>
          <cell r="AG19"/>
          <cell r="AH19" t="str">
            <v/>
          </cell>
          <cell r="AI19" t="str">
            <v/>
          </cell>
          <cell r="AJ19"/>
        </row>
        <row r="20">
          <cell r="D20">
            <v>39326</v>
          </cell>
          <cell r="E20"/>
          <cell r="F20" t="str">
            <v/>
          </cell>
          <cell r="G20" t="str">
            <v/>
          </cell>
          <cell r="H20" t="str">
            <v/>
          </cell>
          <cell r="I20">
            <v>2</v>
          </cell>
          <cell r="J20">
            <v>1.7</v>
          </cell>
          <cell r="K20" t="str">
            <v/>
          </cell>
          <cell r="L20" t="str">
            <v/>
          </cell>
          <cell r="M20" t="str">
            <v/>
          </cell>
          <cell r="N20" t="str">
            <v/>
          </cell>
          <cell r="O20"/>
          <cell r="P20"/>
          <cell r="Q20"/>
          <cell r="R20"/>
          <cell r="S20"/>
          <cell r="T20"/>
          <cell r="U20"/>
          <cell r="V20">
            <v>39326</v>
          </cell>
          <cell r="W20"/>
          <cell r="X20" t="str">
            <v/>
          </cell>
          <cell r="Y20" t="str">
            <v/>
          </cell>
          <cell r="Z20"/>
          <cell r="AA20"/>
          <cell r="AB20">
            <v>0</v>
          </cell>
          <cell r="AC20" t="str">
            <v/>
          </cell>
          <cell r="AD20" t="str">
            <v/>
          </cell>
          <cell r="AE20" t="str">
            <v/>
          </cell>
          <cell r="AF20">
            <v>39326</v>
          </cell>
          <cell r="AG20"/>
          <cell r="AH20" t="str">
            <v/>
          </cell>
          <cell r="AI20" t="str">
            <v/>
          </cell>
          <cell r="AJ20"/>
        </row>
        <row r="21">
          <cell r="D21">
            <v>39356</v>
          </cell>
          <cell r="E21"/>
          <cell r="F21" t="str">
            <v/>
          </cell>
          <cell r="G21" t="str">
            <v/>
          </cell>
          <cell r="H21" t="str">
            <v/>
          </cell>
          <cell r="I21">
            <v>2</v>
          </cell>
          <cell r="J21">
            <v>1.7</v>
          </cell>
          <cell r="K21" t="str">
            <v/>
          </cell>
          <cell r="L21" t="str">
            <v/>
          </cell>
          <cell r="M21" t="str">
            <v/>
          </cell>
          <cell r="N21" t="str">
            <v/>
          </cell>
          <cell r="O21"/>
          <cell r="P21"/>
          <cell r="Q21"/>
          <cell r="R21"/>
          <cell r="S21"/>
          <cell r="T21"/>
          <cell r="U21"/>
          <cell r="V21">
            <v>39356</v>
          </cell>
          <cell r="W21"/>
          <cell r="X21" t="str">
            <v/>
          </cell>
          <cell r="Y21" t="str">
            <v/>
          </cell>
          <cell r="Z21"/>
          <cell r="AA21"/>
          <cell r="AB21">
            <v>0</v>
          </cell>
          <cell r="AC21" t="str">
            <v/>
          </cell>
          <cell r="AD21" t="str">
            <v/>
          </cell>
          <cell r="AE21" t="str">
            <v/>
          </cell>
          <cell r="AF21">
            <v>39356</v>
          </cell>
          <cell r="AG21"/>
          <cell r="AH21" t="str">
            <v/>
          </cell>
          <cell r="AI21" t="str">
            <v/>
          </cell>
          <cell r="AJ21"/>
        </row>
        <row r="22">
          <cell r="D22">
            <v>39387</v>
          </cell>
          <cell r="E22"/>
          <cell r="F22" t="str">
            <v/>
          </cell>
          <cell r="G22" t="str">
            <v/>
          </cell>
          <cell r="H22" t="str">
            <v/>
          </cell>
          <cell r="I22">
            <v>2</v>
          </cell>
          <cell r="J22">
            <v>1.7</v>
          </cell>
          <cell r="K22" t="str">
            <v/>
          </cell>
          <cell r="L22" t="str">
            <v/>
          </cell>
          <cell r="M22" t="str">
            <v/>
          </cell>
          <cell r="N22" t="str">
            <v/>
          </cell>
          <cell r="O22"/>
          <cell r="P22"/>
          <cell r="Q22"/>
          <cell r="R22"/>
          <cell r="S22"/>
          <cell r="T22"/>
          <cell r="U22"/>
          <cell r="V22">
            <v>39387</v>
          </cell>
          <cell r="W22"/>
          <cell r="X22" t="str">
            <v/>
          </cell>
          <cell r="Y22" t="str">
            <v/>
          </cell>
          <cell r="Z22"/>
          <cell r="AA22"/>
          <cell r="AB22">
            <v>0</v>
          </cell>
          <cell r="AC22" t="str">
            <v/>
          </cell>
          <cell r="AD22" t="str">
            <v/>
          </cell>
          <cell r="AE22" t="str">
            <v/>
          </cell>
          <cell r="AF22">
            <v>39387</v>
          </cell>
          <cell r="AG22"/>
          <cell r="AH22" t="str">
            <v/>
          </cell>
          <cell r="AI22" t="str">
            <v/>
          </cell>
          <cell r="AJ22"/>
        </row>
        <row r="23">
          <cell r="D23">
            <v>39417</v>
          </cell>
          <cell r="E23"/>
          <cell r="F23" t="str">
            <v/>
          </cell>
          <cell r="G23" t="str">
            <v/>
          </cell>
          <cell r="H23" t="str">
            <v/>
          </cell>
          <cell r="I23">
            <v>2</v>
          </cell>
          <cell r="J23">
            <v>1.7</v>
          </cell>
          <cell r="K23" t="str">
            <v/>
          </cell>
          <cell r="L23" t="str">
            <v/>
          </cell>
          <cell r="M23" t="str">
            <v/>
          </cell>
          <cell r="N23" t="str">
            <v/>
          </cell>
          <cell r="O23"/>
          <cell r="P23"/>
          <cell r="Q23"/>
          <cell r="R23"/>
          <cell r="S23"/>
          <cell r="T23"/>
          <cell r="U23"/>
          <cell r="V23">
            <v>39417</v>
          </cell>
          <cell r="W23"/>
          <cell r="X23" t="str">
            <v/>
          </cell>
          <cell r="Y23" t="str">
            <v/>
          </cell>
          <cell r="Z23"/>
          <cell r="AA23"/>
          <cell r="AB23">
            <v>0</v>
          </cell>
          <cell r="AC23" t="str">
            <v/>
          </cell>
          <cell r="AD23" t="str">
            <v/>
          </cell>
          <cell r="AE23" t="str">
            <v/>
          </cell>
          <cell r="AF23">
            <v>39417</v>
          </cell>
          <cell r="AG23"/>
          <cell r="AH23" t="str">
            <v/>
          </cell>
          <cell r="AI23" t="str">
            <v/>
          </cell>
          <cell r="AJ23" t="str">
            <v/>
          </cell>
        </row>
        <row r="24">
          <cell r="D24">
            <v>39448</v>
          </cell>
          <cell r="E24">
            <v>2.4471890971039181</v>
          </cell>
          <cell r="F24" t="str">
            <v>g</v>
          </cell>
          <cell r="G24" t="str">
            <v>c</v>
          </cell>
          <cell r="H24" t="str">
            <v>c</v>
          </cell>
          <cell r="I24">
            <v>2</v>
          </cell>
          <cell r="J24">
            <v>1.7</v>
          </cell>
          <cell r="K24">
            <v>2.4471890971039181</v>
          </cell>
          <cell r="L24" t="str">
            <v>c</v>
          </cell>
          <cell r="M24" t="str">
            <v>c</v>
          </cell>
          <cell r="N24" t="str">
            <v>g</v>
          </cell>
          <cell r="O24">
            <v>25</v>
          </cell>
          <cell r="P24">
            <v>20</v>
          </cell>
          <cell r="Q24"/>
          <cell r="R24"/>
          <cell r="S24"/>
          <cell r="T24"/>
          <cell r="U24"/>
          <cell r="V24">
            <v>39448</v>
          </cell>
          <cell r="W24" t="str">
            <v/>
          </cell>
          <cell r="X24">
            <v>2.4471890971039181</v>
          </cell>
          <cell r="Y24"/>
          <cell r="Z24"/>
          <cell r="AA24"/>
          <cell r="AB24">
            <v>0</v>
          </cell>
          <cell r="AC24" t="str">
            <v/>
          </cell>
          <cell r="AD24" t="str">
            <v/>
          </cell>
          <cell r="AE24" t="str">
            <v/>
          </cell>
          <cell r="AF24">
            <v>39448</v>
          </cell>
          <cell r="AG24" t="str">
            <v/>
          </cell>
          <cell r="AH24">
            <v>2.4471890971039181</v>
          </cell>
          <cell r="AI24"/>
          <cell r="AJ24"/>
        </row>
        <row r="25">
          <cell r="D25">
            <v>39479</v>
          </cell>
          <cell r="E25">
            <v>2.2145270270270272</v>
          </cell>
          <cell r="F25" t="str">
            <v>g</v>
          </cell>
          <cell r="G25" t="str">
            <v>c</v>
          </cell>
          <cell r="H25" t="str">
            <v>c</v>
          </cell>
          <cell r="I25">
            <v>2</v>
          </cell>
          <cell r="J25">
            <v>1.7</v>
          </cell>
          <cell r="K25">
            <v>4.6410472972972974</v>
          </cell>
          <cell r="L25" t="str">
            <v>c</v>
          </cell>
          <cell r="M25" t="str">
            <v>c</v>
          </cell>
          <cell r="N25" t="str">
            <v>g</v>
          </cell>
          <cell r="O25">
            <v>25</v>
          </cell>
          <cell r="P25">
            <v>20</v>
          </cell>
          <cell r="Q25"/>
          <cell r="R25"/>
          <cell r="S25"/>
          <cell r="T25"/>
          <cell r="U25"/>
          <cell r="V25">
            <v>39479</v>
          </cell>
          <cell r="W25" t="str">
            <v/>
          </cell>
          <cell r="X25">
            <v>2.2145270270270272</v>
          </cell>
          <cell r="Y25"/>
          <cell r="Z25"/>
          <cell r="AA25"/>
          <cell r="AB25">
            <v>0</v>
          </cell>
          <cell r="AC25" t="str">
            <v/>
          </cell>
          <cell r="AD25" t="str">
            <v/>
          </cell>
          <cell r="AE25" t="str">
            <v/>
          </cell>
          <cell r="AF25">
            <v>39479</v>
          </cell>
          <cell r="AG25" t="str">
            <v/>
          </cell>
          <cell r="AH25">
            <v>4.6410472972972974</v>
          </cell>
          <cell r="AI25"/>
          <cell r="AJ25"/>
        </row>
        <row r="26">
          <cell r="D26">
            <v>39508</v>
          </cell>
          <cell r="E26">
            <v>1.9066666666666667</v>
          </cell>
          <cell r="F26" t="str">
            <v>c</v>
          </cell>
          <cell r="G26" t="str">
            <v>g</v>
          </cell>
          <cell r="H26" t="str">
            <v>c</v>
          </cell>
          <cell r="I26">
            <v>2</v>
          </cell>
          <cell r="J26">
            <v>1.7</v>
          </cell>
          <cell r="K26">
            <v>6.4858333333333329</v>
          </cell>
          <cell r="L26" t="str">
            <v>c</v>
          </cell>
          <cell r="M26" t="str">
            <v>c</v>
          </cell>
          <cell r="N26" t="str">
            <v>g</v>
          </cell>
          <cell r="O26">
            <v>25</v>
          </cell>
          <cell r="P26">
            <v>20</v>
          </cell>
          <cell r="Q26"/>
          <cell r="R26"/>
          <cell r="S26"/>
          <cell r="T26"/>
          <cell r="U26"/>
          <cell r="V26">
            <v>39508</v>
          </cell>
          <cell r="W26" t="str">
            <v/>
          </cell>
          <cell r="X26">
            <v>1.9066666666666667</v>
          </cell>
          <cell r="Y26"/>
          <cell r="Z26"/>
          <cell r="AA26"/>
          <cell r="AB26">
            <v>0</v>
          </cell>
          <cell r="AC26" t="str">
            <v/>
          </cell>
          <cell r="AD26" t="str">
            <v/>
          </cell>
          <cell r="AE26" t="str">
            <v/>
          </cell>
          <cell r="AF26">
            <v>39508</v>
          </cell>
          <cell r="AG26" t="str">
            <v/>
          </cell>
          <cell r="AH26">
            <v>6.4858333333333329</v>
          </cell>
          <cell r="AI26"/>
          <cell r="AJ26"/>
        </row>
        <row r="27">
          <cell r="D27">
            <v>39539</v>
          </cell>
          <cell r="E27">
            <v>1.8190082644628098</v>
          </cell>
          <cell r="F27" t="str">
            <v>c</v>
          </cell>
          <cell r="G27" t="str">
            <v>g</v>
          </cell>
          <cell r="H27" t="str">
            <v>c</v>
          </cell>
          <cell r="I27">
            <v>2</v>
          </cell>
          <cell r="J27">
            <v>1.7</v>
          </cell>
          <cell r="K27">
            <v>8.2512396694214871</v>
          </cell>
          <cell r="L27" t="str">
            <v>c</v>
          </cell>
          <cell r="M27" t="str">
            <v>c</v>
          </cell>
          <cell r="N27" t="str">
            <v>g</v>
          </cell>
          <cell r="O27">
            <v>25</v>
          </cell>
          <cell r="P27">
            <v>20</v>
          </cell>
          <cell r="Q27"/>
          <cell r="R27"/>
          <cell r="S27"/>
          <cell r="T27"/>
          <cell r="U27"/>
          <cell r="V27">
            <v>39539</v>
          </cell>
          <cell r="W27" t="str">
            <v/>
          </cell>
          <cell r="X27">
            <v>1.8190082644628098</v>
          </cell>
          <cell r="Y27"/>
          <cell r="Z27"/>
          <cell r="AA27"/>
          <cell r="AB27">
            <v>0</v>
          </cell>
          <cell r="AC27" t="str">
            <v/>
          </cell>
          <cell r="AD27" t="str">
            <v/>
          </cell>
          <cell r="AE27" t="str">
            <v/>
          </cell>
          <cell r="AF27">
            <v>39539</v>
          </cell>
          <cell r="AG27" t="str">
            <v/>
          </cell>
          <cell r="AH27">
            <v>8.2512396694214871</v>
          </cell>
          <cell r="AI27"/>
          <cell r="AJ27"/>
        </row>
        <row r="28">
          <cell r="D28">
            <v>39569</v>
          </cell>
          <cell r="E28">
            <v>1.3029801324503312</v>
          </cell>
          <cell r="F28" t="str">
            <v>c</v>
          </cell>
          <cell r="G28" t="str">
            <v>c</v>
          </cell>
          <cell r="H28" t="str">
            <v>g</v>
          </cell>
          <cell r="I28">
            <v>2</v>
          </cell>
          <cell r="J28">
            <v>1.7</v>
          </cell>
          <cell r="K28">
            <v>9.5678807947019866</v>
          </cell>
          <cell r="L28" t="str">
            <v>c</v>
          </cell>
          <cell r="M28" t="str">
            <v>c</v>
          </cell>
          <cell r="N28" t="str">
            <v>g</v>
          </cell>
          <cell r="O28">
            <v>25</v>
          </cell>
          <cell r="P28">
            <v>20</v>
          </cell>
          <cell r="Q28"/>
          <cell r="R28"/>
          <cell r="S28"/>
          <cell r="T28"/>
          <cell r="U28"/>
          <cell r="V28">
            <v>39569</v>
          </cell>
          <cell r="W28" t="str">
            <v/>
          </cell>
          <cell r="X28">
            <v>1.3029801324503312</v>
          </cell>
          <cell r="Y28"/>
          <cell r="Z28"/>
          <cell r="AA28"/>
          <cell r="AB28">
            <v>0</v>
          </cell>
          <cell r="AC28" t="str">
            <v/>
          </cell>
          <cell r="AD28" t="str">
            <v/>
          </cell>
          <cell r="AE28" t="str">
            <v/>
          </cell>
          <cell r="AF28">
            <v>39569</v>
          </cell>
          <cell r="AG28" t="str">
            <v/>
          </cell>
          <cell r="AH28">
            <v>9.5678807947019866</v>
          </cell>
          <cell r="AI28"/>
          <cell r="AJ28"/>
        </row>
        <row r="29">
          <cell r="D29">
            <v>39600</v>
          </cell>
          <cell r="E29">
            <v>2.2119205298013247</v>
          </cell>
          <cell r="F29" t="str">
            <v>g</v>
          </cell>
          <cell r="G29" t="str">
            <v>c</v>
          </cell>
          <cell r="H29" t="str">
            <v>c</v>
          </cell>
          <cell r="I29">
            <v>2</v>
          </cell>
          <cell r="J29">
            <v>1.7</v>
          </cell>
          <cell r="K29">
            <v>11.77980132450331</v>
          </cell>
          <cell r="L29" t="str">
            <v>c</v>
          </cell>
          <cell r="M29" t="str">
            <v>c</v>
          </cell>
          <cell r="N29" t="str">
            <v>g</v>
          </cell>
          <cell r="O29">
            <v>25</v>
          </cell>
          <cell r="P29">
            <v>20</v>
          </cell>
          <cell r="Q29"/>
          <cell r="R29"/>
          <cell r="S29"/>
          <cell r="T29"/>
          <cell r="U29"/>
          <cell r="V29">
            <v>39600</v>
          </cell>
          <cell r="W29" t="str">
            <v/>
          </cell>
          <cell r="X29">
            <v>2.2119205298013247</v>
          </cell>
          <cell r="Y29"/>
          <cell r="Z29"/>
          <cell r="AA29"/>
          <cell r="AB29">
            <v>0</v>
          </cell>
          <cell r="AC29" t="str">
            <v/>
          </cell>
          <cell r="AD29" t="str">
            <v/>
          </cell>
          <cell r="AE29" t="str">
            <v/>
          </cell>
          <cell r="AF29">
            <v>39600</v>
          </cell>
          <cell r="AG29" t="str">
            <v/>
          </cell>
          <cell r="AH29">
            <v>11.77980132450331</v>
          </cell>
          <cell r="AI29"/>
          <cell r="AJ29"/>
        </row>
        <row r="30">
          <cell r="D30">
            <v>39630</v>
          </cell>
          <cell r="E30">
            <v>2.8669421487603306</v>
          </cell>
          <cell r="F30" t="str">
            <v>g</v>
          </cell>
          <cell r="G30" t="str">
            <v>c</v>
          </cell>
          <cell r="H30" t="str">
            <v>c</v>
          </cell>
          <cell r="I30">
            <v>2</v>
          </cell>
          <cell r="J30">
            <v>1.7</v>
          </cell>
          <cell r="K30">
            <v>14.627272727272727</v>
          </cell>
          <cell r="L30" t="str">
            <v>c</v>
          </cell>
          <cell r="M30" t="str">
            <v>c</v>
          </cell>
          <cell r="N30" t="str">
            <v>g</v>
          </cell>
          <cell r="O30">
            <v>25</v>
          </cell>
          <cell r="P30">
            <v>20</v>
          </cell>
          <cell r="Q30"/>
          <cell r="R30"/>
          <cell r="S30"/>
          <cell r="T30"/>
          <cell r="U30"/>
          <cell r="V30">
            <v>39630</v>
          </cell>
          <cell r="W30" t="str">
            <v/>
          </cell>
          <cell r="X30">
            <v>2.8669421487603306</v>
          </cell>
          <cell r="Y30"/>
          <cell r="Z30"/>
          <cell r="AA30"/>
          <cell r="AB30">
            <v>0</v>
          </cell>
          <cell r="AC30" t="str">
            <v/>
          </cell>
          <cell r="AD30" t="str">
            <v/>
          </cell>
          <cell r="AE30" t="str">
            <v/>
          </cell>
          <cell r="AF30">
            <v>39630</v>
          </cell>
          <cell r="AG30" t="str">
            <v/>
          </cell>
          <cell r="AH30">
            <v>14.627272727272727</v>
          </cell>
          <cell r="AI30"/>
          <cell r="AJ30"/>
        </row>
        <row r="31">
          <cell r="D31">
            <v>39661</v>
          </cell>
          <cell r="E31">
            <v>1.1148208469055374</v>
          </cell>
          <cell r="F31" t="str">
            <v>c</v>
          </cell>
          <cell r="G31" t="str">
            <v>c</v>
          </cell>
          <cell r="H31" t="str">
            <v>g</v>
          </cell>
          <cell r="I31">
            <v>2</v>
          </cell>
          <cell r="J31">
            <v>1.7</v>
          </cell>
          <cell r="K31">
            <v>15.527687296416937</v>
          </cell>
          <cell r="L31" t="str">
            <v>c</v>
          </cell>
          <cell r="M31" t="str">
            <v>c</v>
          </cell>
          <cell r="N31" t="str">
            <v>g</v>
          </cell>
          <cell r="O31">
            <v>25</v>
          </cell>
          <cell r="P31">
            <v>20</v>
          </cell>
          <cell r="Q31"/>
          <cell r="R31"/>
          <cell r="S31"/>
          <cell r="T31"/>
          <cell r="U31"/>
          <cell r="V31">
            <v>39661</v>
          </cell>
          <cell r="W31" t="str">
            <v/>
          </cell>
          <cell r="X31">
            <v>1.1148208469055374</v>
          </cell>
          <cell r="Y31"/>
          <cell r="Z31" t="e">
            <v>#VALUE!</v>
          </cell>
          <cell r="AA31"/>
          <cell r="AB31">
            <v>0</v>
          </cell>
          <cell r="AC31" t="str">
            <v/>
          </cell>
          <cell r="AD31" t="str">
            <v/>
          </cell>
          <cell r="AE31" t="str">
            <v/>
          </cell>
          <cell r="AF31">
            <v>39661</v>
          </cell>
          <cell r="AG31" t="str">
            <v/>
          </cell>
          <cell r="AH31">
            <v>15.527687296416937</v>
          </cell>
          <cell r="AI31"/>
          <cell r="AJ31"/>
        </row>
        <row r="32">
          <cell r="D32">
            <v>39692</v>
          </cell>
          <cell r="E32">
            <v>2.4018151815181517</v>
          </cell>
          <cell r="F32" t="str">
            <v>g</v>
          </cell>
          <cell r="G32" t="str">
            <v>c</v>
          </cell>
          <cell r="H32" t="str">
            <v>c</v>
          </cell>
          <cell r="I32">
            <v>2</v>
          </cell>
          <cell r="J32">
            <v>1.7</v>
          </cell>
          <cell r="K32">
            <v>18.134488448844884</v>
          </cell>
          <cell r="L32" t="str">
            <v>c</v>
          </cell>
          <cell r="M32" t="str">
            <v>c</v>
          </cell>
          <cell r="N32" t="str">
            <v>g</v>
          </cell>
          <cell r="O32">
            <v>25</v>
          </cell>
          <cell r="P32">
            <v>20</v>
          </cell>
          <cell r="Q32"/>
          <cell r="R32"/>
          <cell r="S32"/>
          <cell r="T32"/>
          <cell r="U32"/>
          <cell r="V32">
            <v>39692</v>
          </cell>
          <cell r="W32" t="str">
            <v/>
          </cell>
          <cell r="X32">
            <v>2.4018151815181517</v>
          </cell>
          <cell r="Y32"/>
          <cell r="Z32" t="e">
            <v>#VALUE!</v>
          </cell>
          <cell r="AA32"/>
          <cell r="AB32">
            <v>0</v>
          </cell>
          <cell r="AC32" t="str">
            <v/>
          </cell>
          <cell r="AD32" t="str">
            <v/>
          </cell>
          <cell r="AE32" t="str">
            <v/>
          </cell>
          <cell r="AF32">
            <v>39692</v>
          </cell>
          <cell r="AG32" t="str">
            <v/>
          </cell>
          <cell r="AH32">
            <v>18.134488448844884</v>
          </cell>
          <cell r="AI32"/>
          <cell r="AJ32"/>
        </row>
        <row r="33">
          <cell r="D33">
            <v>39722</v>
          </cell>
          <cell r="E33">
            <v>1.5342019543973942</v>
          </cell>
          <cell r="F33" t="str">
            <v>c</v>
          </cell>
          <cell r="G33" t="str">
            <v>c</v>
          </cell>
          <cell r="H33" t="str">
            <v>g</v>
          </cell>
          <cell r="I33">
            <v>2</v>
          </cell>
          <cell r="J33">
            <v>1.7</v>
          </cell>
          <cell r="K33">
            <v>19.432410423452769</v>
          </cell>
          <cell r="L33" t="str">
            <v>c</v>
          </cell>
          <cell r="M33" t="str">
            <v>c</v>
          </cell>
          <cell r="N33" t="str">
            <v>g</v>
          </cell>
          <cell r="O33">
            <v>25</v>
          </cell>
          <cell r="P33">
            <v>20</v>
          </cell>
          <cell r="Q33"/>
          <cell r="R33"/>
          <cell r="S33"/>
          <cell r="T33"/>
          <cell r="U33"/>
          <cell r="V33">
            <v>39722</v>
          </cell>
          <cell r="W33" t="str">
            <v/>
          </cell>
          <cell r="X33">
            <v>1.5342019543973942</v>
          </cell>
          <cell r="Y33"/>
          <cell r="Z33" t="e">
            <v>#VALUE!</v>
          </cell>
          <cell r="AA33"/>
          <cell r="AB33">
            <v>0</v>
          </cell>
          <cell r="AC33" t="str">
            <v/>
          </cell>
          <cell r="AD33" t="str">
            <v/>
          </cell>
          <cell r="AE33" t="str">
            <v/>
          </cell>
          <cell r="AF33">
            <v>39722</v>
          </cell>
          <cell r="AG33" t="str">
            <v/>
          </cell>
          <cell r="AH33">
            <v>19.432410423452769</v>
          </cell>
          <cell r="AI33"/>
          <cell r="AJ33"/>
        </row>
        <row r="34">
          <cell r="D34">
            <v>39753</v>
          </cell>
          <cell r="E34">
            <v>1.2666666666666666</v>
          </cell>
          <cell r="F34" t="str">
            <v>c</v>
          </cell>
          <cell r="G34" t="str">
            <v>c</v>
          </cell>
          <cell r="H34" t="str">
            <v>g</v>
          </cell>
          <cell r="I34">
            <v>2</v>
          </cell>
          <cell r="J34">
            <v>1.7</v>
          </cell>
          <cell r="K34">
            <v>20.667479674796748</v>
          </cell>
          <cell r="L34" t="str">
            <v>c</v>
          </cell>
          <cell r="M34" t="str">
            <v>g</v>
          </cell>
          <cell r="N34" t="str">
            <v>c</v>
          </cell>
          <cell r="O34">
            <v>25</v>
          </cell>
          <cell r="P34">
            <v>20</v>
          </cell>
          <cell r="Q34"/>
          <cell r="R34"/>
          <cell r="S34"/>
          <cell r="T34"/>
          <cell r="U34"/>
          <cell r="V34">
            <v>39753</v>
          </cell>
          <cell r="W34" t="str">
            <v/>
          </cell>
          <cell r="X34">
            <v>1.2666666666666666</v>
          </cell>
          <cell r="Y34"/>
          <cell r="Z34" t="e">
            <v>#VALUE!</v>
          </cell>
          <cell r="AA34"/>
          <cell r="AB34">
            <v>0</v>
          </cell>
          <cell r="AC34" t="str">
            <v/>
          </cell>
          <cell r="AD34" t="str">
            <v/>
          </cell>
          <cell r="AE34" t="str">
            <v/>
          </cell>
          <cell r="AF34">
            <v>39753</v>
          </cell>
          <cell r="AG34" t="str">
            <v/>
          </cell>
          <cell r="AH34">
            <v>20.667479674796748</v>
          </cell>
          <cell r="AI34"/>
          <cell r="AJ34"/>
        </row>
        <row r="35">
          <cell r="D35">
            <v>39783</v>
          </cell>
          <cell r="E35">
            <v>0.36026200873362446</v>
          </cell>
          <cell r="F35" t="str">
            <v>c</v>
          </cell>
          <cell r="G35" t="str">
            <v>c</v>
          </cell>
          <cell r="H35" t="str">
            <v>g</v>
          </cell>
          <cell r="I35">
            <v>2</v>
          </cell>
          <cell r="J35">
            <v>1.7</v>
          </cell>
          <cell r="K35">
            <v>28.112445414847162</v>
          </cell>
          <cell r="L35" t="str">
            <v>g</v>
          </cell>
          <cell r="M35" t="str">
            <v>c</v>
          </cell>
          <cell r="N35" t="str">
            <v>c</v>
          </cell>
          <cell r="O35">
            <v>25</v>
          </cell>
          <cell r="P35">
            <v>20</v>
          </cell>
          <cell r="Q35"/>
          <cell r="R35"/>
          <cell r="S35"/>
          <cell r="T35"/>
          <cell r="U35"/>
          <cell r="V35">
            <v>39783</v>
          </cell>
          <cell r="W35" t="str">
            <v/>
          </cell>
          <cell r="X35">
            <v>0.36026200873362446</v>
          </cell>
          <cell r="Y35"/>
          <cell r="Z35" t="e">
            <v>#VALUE!</v>
          </cell>
          <cell r="AA35"/>
          <cell r="AB35">
            <v>0</v>
          </cell>
          <cell r="AC35" t="str">
            <v/>
          </cell>
          <cell r="AD35" t="str">
            <v/>
          </cell>
          <cell r="AE35" t="str">
            <v/>
          </cell>
          <cell r="AF35">
            <v>39783</v>
          </cell>
          <cell r="AG35" t="str">
            <v/>
          </cell>
          <cell r="AH35">
            <v>28.112445414847162</v>
          </cell>
          <cell r="AI35"/>
          <cell r="AJ35"/>
        </row>
        <row r="36">
          <cell r="D36">
            <v>39814</v>
          </cell>
          <cell r="E36"/>
          <cell r="F36" t="str">
            <v/>
          </cell>
          <cell r="G36" t="str">
            <v/>
          </cell>
          <cell r="H36" t="str">
            <v/>
          </cell>
          <cell r="I36">
            <v>2</v>
          </cell>
          <cell r="J36">
            <v>1.7</v>
          </cell>
          <cell r="K36"/>
          <cell r="L36" t="str">
            <v/>
          </cell>
          <cell r="M36" t="str">
            <v/>
          </cell>
          <cell r="N36" t="str">
            <v/>
          </cell>
          <cell r="O36">
            <v>25</v>
          </cell>
          <cell r="P36">
            <v>20</v>
          </cell>
          <cell r="Q36"/>
          <cell r="R36"/>
          <cell r="S36"/>
          <cell r="T36"/>
          <cell r="U36"/>
          <cell r="V36">
            <v>39814</v>
          </cell>
          <cell r="W36">
            <v>2.4471890971039181</v>
          </cell>
          <cell r="X36" t="str">
            <v/>
          </cell>
          <cell r="Y36" t="str">
            <v/>
          </cell>
          <cell r="Z36" t="str">
            <v/>
          </cell>
          <cell r="AA36"/>
          <cell r="AB36">
            <v>0</v>
          </cell>
          <cell r="AC36" t="str">
            <v/>
          </cell>
          <cell r="AD36" t="str">
            <v/>
          </cell>
          <cell r="AE36" t="str">
            <v/>
          </cell>
          <cell r="AF36">
            <v>39814</v>
          </cell>
          <cell r="AG36">
            <v>2.4471890971039181</v>
          </cell>
          <cell r="AH36" t="str">
            <v/>
          </cell>
          <cell r="AI36"/>
          <cell r="AJ36" t="str">
            <v/>
          </cell>
        </row>
        <row r="37">
          <cell r="D37">
            <v>39845</v>
          </cell>
          <cell r="E37"/>
          <cell r="F37" t="str">
            <v/>
          </cell>
          <cell r="G37" t="str">
            <v/>
          </cell>
          <cell r="H37" t="str">
            <v/>
          </cell>
          <cell r="I37">
            <v>2</v>
          </cell>
          <cell r="J37">
            <v>1.7</v>
          </cell>
          <cell r="K37"/>
          <cell r="L37" t="str">
            <v/>
          </cell>
          <cell r="M37" t="str">
            <v/>
          </cell>
          <cell r="N37" t="str">
            <v/>
          </cell>
          <cell r="O37">
            <v>25</v>
          </cell>
          <cell r="P37">
            <v>20</v>
          </cell>
          <cell r="Q37"/>
          <cell r="R37"/>
          <cell r="S37"/>
          <cell r="T37"/>
          <cell r="U37"/>
          <cell r="V37">
            <v>39845</v>
          </cell>
          <cell r="W37">
            <v>2.2145270270270272</v>
          </cell>
          <cell r="X37" t="str">
            <v/>
          </cell>
          <cell r="Y37" t="str">
            <v/>
          </cell>
          <cell r="Z37" t="str">
            <v/>
          </cell>
          <cell r="AA37"/>
          <cell r="AB37">
            <v>0</v>
          </cell>
          <cell r="AC37" t="str">
            <v/>
          </cell>
          <cell r="AD37" t="str">
            <v/>
          </cell>
          <cell r="AE37" t="str">
            <v/>
          </cell>
          <cell r="AF37">
            <v>39845</v>
          </cell>
          <cell r="AG37">
            <v>4.6410472972972974</v>
          </cell>
          <cell r="AH37" t="str">
            <v/>
          </cell>
          <cell r="AI37"/>
          <cell r="AJ37" t="str">
            <v/>
          </cell>
        </row>
        <row r="38">
          <cell r="D38">
            <v>39873</v>
          </cell>
          <cell r="E38"/>
          <cell r="F38" t="str">
            <v/>
          </cell>
          <cell r="G38" t="str">
            <v/>
          </cell>
          <cell r="H38" t="str">
            <v/>
          </cell>
          <cell r="I38">
            <v>2</v>
          </cell>
          <cell r="J38">
            <v>1.7</v>
          </cell>
          <cell r="K38"/>
          <cell r="L38" t="str">
            <v/>
          </cell>
          <cell r="M38" t="str">
            <v/>
          </cell>
          <cell r="N38" t="str">
            <v/>
          </cell>
          <cell r="O38">
            <v>25</v>
          </cell>
          <cell r="P38">
            <v>20</v>
          </cell>
          <cell r="Q38"/>
          <cell r="R38"/>
          <cell r="S38"/>
          <cell r="T38"/>
          <cell r="U38"/>
          <cell r="V38">
            <v>39873</v>
          </cell>
          <cell r="W38">
            <v>1.9066666666666667</v>
          </cell>
          <cell r="X38" t="str">
            <v/>
          </cell>
          <cell r="Y38" t="str">
            <v/>
          </cell>
          <cell r="Z38" t="str">
            <v/>
          </cell>
          <cell r="AA38"/>
          <cell r="AB38">
            <v>0</v>
          </cell>
          <cell r="AC38" t="str">
            <v/>
          </cell>
          <cell r="AD38" t="str">
            <v/>
          </cell>
          <cell r="AE38" t="str">
            <v/>
          </cell>
          <cell r="AF38">
            <v>39873</v>
          </cell>
          <cell r="AG38">
            <v>6.4858333333333329</v>
          </cell>
          <cell r="AH38" t="str">
            <v/>
          </cell>
          <cell r="AI38"/>
          <cell r="AJ38" t="str">
            <v/>
          </cell>
        </row>
        <row r="39">
          <cell r="D39">
            <v>39904</v>
          </cell>
          <cell r="E39"/>
          <cell r="F39" t="str">
            <v/>
          </cell>
          <cell r="G39" t="str">
            <v/>
          </cell>
          <cell r="H39" t="str">
            <v/>
          </cell>
          <cell r="I39">
            <v>2</v>
          </cell>
          <cell r="J39">
            <v>1.7</v>
          </cell>
          <cell r="K39"/>
          <cell r="L39" t="str">
            <v/>
          </cell>
          <cell r="M39" t="str">
            <v/>
          </cell>
          <cell r="N39" t="str">
            <v/>
          </cell>
          <cell r="O39">
            <v>25</v>
          </cell>
          <cell r="P39">
            <v>20</v>
          </cell>
          <cell r="V39">
            <v>39904</v>
          </cell>
          <cell r="W39">
            <v>1.8190082644628098</v>
          </cell>
          <cell r="X39" t="str">
            <v/>
          </cell>
          <cell r="Y39" t="str">
            <v/>
          </cell>
          <cell r="Z39" t="str">
            <v/>
          </cell>
          <cell r="AA39"/>
          <cell r="AB39">
            <v>0</v>
          </cell>
          <cell r="AC39" t="str">
            <v/>
          </cell>
          <cell r="AD39" t="str">
            <v/>
          </cell>
          <cell r="AE39" t="str">
            <v/>
          </cell>
          <cell r="AF39">
            <v>39904</v>
          </cell>
          <cell r="AG39">
            <v>8.2512396694214871</v>
          </cell>
          <cell r="AH39" t="str">
            <v/>
          </cell>
          <cell r="AI39"/>
          <cell r="AJ39" t="str">
            <v/>
          </cell>
        </row>
        <row r="40">
          <cell r="D40">
            <v>39934</v>
          </cell>
          <cell r="E40"/>
          <cell r="F40" t="str">
            <v/>
          </cell>
          <cell r="G40" t="str">
            <v/>
          </cell>
          <cell r="H40" t="str">
            <v/>
          </cell>
          <cell r="I40">
            <v>2</v>
          </cell>
          <cell r="J40">
            <v>1.7</v>
          </cell>
          <cell r="K40"/>
          <cell r="L40" t="str">
            <v/>
          </cell>
          <cell r="M40" t="str">
            <v/>
          </cell>
          <cell r="N40" t="str">
            <v/>
          </cell>
          <cell r="O40">
            <v>25</v>
          </cell>
          <cell r="P40">
            <v>20</v>
          </cell>
          <cell r="V40">
            <v>39934</v>
          </cell>
          <cell r="W40">
            <v>1.3029801324503312</v>
          </cell>
          <cell r="X40" t="str">
            <v/>
          </cell>
          <cell r="Y40" t="str">
            <v/>
          </cell>
          <cell r="Z40" t="str">
            <v/>
          </cell>
          <cell r="AA40"/>
          <cell r="AB40">
            <v>0</v>
          </cell>
          <cell r="AC40" t="str">
            <v/>
          </cell>
          <cell r="AD40" t="str">
            <v/>
          </cell>
          <cell r="AE40" t="str">
            <v/>
          </cell>
          <cell r="AF40">
            <v>39934</v>
          </cell>
          <cell r="AG40">
            <v>9.5678807947019866</v>
          </cell>
          <cell r="AH40" t="str">
            <v/>
          </cell>
          <cell r="AI40"/>
          <cell r="AJ40" t="str">
            <v/>
          </cell>
        </row>
        <row r="41">
          <cell r="D41">
            <v>39965</v>
          </cell>
          <cell r="E41"/>
          <cell r="F41" t="str">
            <v/>
          </cell>
          <cell r="G41" t="str">
            <v/>
          </cell>
          <cell r="H41" t="str">
            <v/>
          </cell>
          <cell r="I41">
            <v>2</v>
          </cell>
          <cell r="J41">
            <v>1.7</v>
          </cell>
          <cell r="K41"/>
          <cell r="L41" t="str">
            <v/>
          </cell>
          <cell r="M41" t="str">
            <v/>
          </cell>
          <cell r="N41" t="str">
            <v/>
          </cell>
          <cell r="O41">
            <v>25</v>
          </cell>
          <cell r="P41">
            <v>20</v>
          </cell>
          <cell r="V41">
            <v>39965</v>
          </cell>
          <cell r="W41">
            <v>2.2119205298013247</v>
          </cell>
          <cell r="X41" t="str">
            <v/>
          </cell>
          <cell r="Y41" t="str">
            <v/>
          </cell>
          <cell r="Z41" t="str">
            <v/>
          </cell>
          <cell r="AA41"/>
          <cell r="AB41">
            <v>0</v>
          </cell>
          <cell r="AC41" t="str">
            <v/>
          </cell>
          <cell r="AD41" t="str">
            <v/>
          </cell>
          <cell r="AE41" t="str">
            <v/>
          </cell>
          <cell r="AF41">
            <v>39965</v>
          </cell>
          <cell r="AG41">
            <v>11.77980132450331</v>
          </cell>
          <cell r="AH41" t="str">
            <v/>
          </cell>
          <cell r="AI41"/>
          <cell r="AJ41" t="str">
            <v/>
          </cell>
        </row>
        <row r="42">
          <cell r="D42">
            <v>39995</v>
          </cell>
          <cell r="E42"/>
          <cell r="F42" t="str">
            <v/>
          </cell>
          <cell r="G42" t="str">
            <v/>
          </cell>
          <cell r="H42" t="str">
            <v/>
          </cell>
          <cell r="I42">
            <v>2</v>
          </cell>
          <cell r="J42">
            <v>1.7</v>
          </cell>
          <cell r="K42"/>
          <cell r="L42" t="str">
            <v/>
          </cell>
          <cell r="M42" t="str">
            <v/>
          </cell>
          <cell r="N42" t="str">
            <v/>
          </cell>
          <cell r="O42">
            <v>25</v>
          </cell>
          <cell r="P42">
            <v>20</v>
          </cell>
          <cell r="V42">
            <v>39995</v>
          </cell>
          <cell r="W42">
            <v>2.8669421487603306</v>
          </cell>
          <cell r="X42" t="str">
            <v/>
          </cell>
          <cell r="Y42" t="str">
            <v/>
          </cell>
          <cell r="Z42" t="str">
            <v/>
          </cell>
          <cell r="AA42"/>
          <cell r="AB42">
            <v>0</v>
          </cell>
          <cell r="AC42" t="str">
            <v/>
          </cell>
          <cell r="AD42" t="str">
            <v/>
          </cell>
          <cell r="AE42" t="str">
            <v/>
          </cell>
          <cell r="AF42">
            <v>39995</v>
          </cell>
          <cell r="AG42">
            <v>14.627272727272727</v>
          </cell>
          <cell r="AH42" t="str">
            <v/>
          </cell>
          <cell r="AI42"/>
          <cell r="AJ42" t="str">
            <v/>
          </cell>
        </row>
        <row r="43">
          <cell r="D43">
            <v>40026</v>
          </cell>
          <cell r="E43"/>
          <cell r="F43" t="str">
            <v/>
          </cell>
          <cell r="G43" t="str">
            <v/>
          </cell>
          <cell r="H43" t="str">
            <v/>
          </cell>
          <cell r="I43">
            <v>2</v>
          </cell>
          <cell r="J43">
            <v>1.7</v>
          </cell>
          <cell r="K43"/>
          <cell r="L43" t="str">
            <v/>
          </cell>
          <cell r="M43" t="str">
            <v/>
          </cell>
          <cell r="N43" t="str">
            <v/>
          </cell>
          <cell r="O43">
            <v>25</v>
          </cell>
          <cell r="P43">
            <v>20</v>
          </cell>
          <cell r="V43">
            <v>40026</v>
          </cell>
          <cell r="W43">
            <v>1.1148208469055374</v>
          </cell>
          <cell r="X43" t="str">
            <v/>
          </cell>
          <cell r="Y43" t="str">
            <v/>
          </cell>
          <cell r="Z43" t="str">
            <v/>
          </cell>
          <cell r="AA43"/>
          <cell r="AB43">
            <v>0</v>
          </cell>
          <cell r="AC43" t="str">
            <v/>
          </cell>
          <cell r="AD43" t="str">
            <v/>
          </cell>
          <cell r="AE43" t="str">
            <v/>
          </cell>
          <cell r="AF43">
            <v>40026</v>
          </cell>
          <cell r="AG43">
            <v>15.527687296416937</v>
          </cell>
          <cell r="AH43" t="str">
            <v/>
          </cell>
          <cell r="AI43"/>
          <cell r="AJ43" t="str">
            <v/>
          </cell>
        </row>
        <row r="44">
          <cell r="D44">
            <v>40057</v>
          </cell>
          <cell r="E44"/>
          <cell r="F44" t="str">
            <v/>
          </cell>
          <cell r="G44" t="str">
            <v/>
          </cell>
          <cell r="H44" t="str">
            <v/>
          </cell>
          <cell r="I44">
            <v>2</v>
          </cell>
          <cell r="J44">
            <v>1.7</v>
          </cell>
          <cell r="K44"/>
          <cell r="L44" t="str">
            <v/>
          </cell>
          <cell r="M44" t="str">
            <v/>
          </cell>
          <cell r="N44" t="str">
            <v/>
          </cell>
          <cell r="O44">
            <v>25</v>
          </cell>
          <cell r="P44">
            <v>20</v>
          </cell>
          <cell r="V44">
            <v>40057</v>
          </cell>
          <cell r="W44">
            <v>2.4018151815181517</v>
          </cell>
          <cell r="X44" t="str">
            <v/>
          </cell>
          <cell r="Y44" t="str">
            <v/>
          </cell>
          <cell r="Z44" t="str">
            <v/>
          </cell>
          <cell r="AA44"/>
          <cell r="AB44">
            <v>0</v>
          </cell>
          <cell r="AC44" t="str">
            <v/>
          </cell>
          <cell r="AD44" t="str">
            <v/>
          </cell>
          <cell r="AE44" t="str">
            <v/>
          </cell>
          <cell r="AF44">
            <v>40057</v>
          </cell>
          <cell r="AG44">
            <v>18.134488448844884</v>
          </cell>
          <cell r="AH44" t="str">
            <v/>
          </cell>
          <cell r="AI44"/>
          <cell r="AJ44" t="str">
            <v/>
          </cell>
        </row>
      </sheetData>
      <sheetData sheetId="21">
        <row r="9">
          <cell r="D9"/>
          <cell r="E9" t="str">
            <v>Mesual</v>
          </cell>
          <cell r="F9"/>
          <cell r="G9"/>
          <cell r="H9"/>
          <cell r="I9"/>
          <cell r="J9"/>
          <cell r="K9" t="str">
            <v>Acumulado al año</v>
          </cell>
          <cell r="L9"/>
          <cell r="M9"/>
          <cell r="N9"/>
          <cell r="O9"/>
          <cell r="P9"/>
          <cell r="V9" t="str">
            <v>Mes</v>
          </cell>
          <cell r="W9"/>
          <cell r="X9"/>
          <cell r="Y9"/>
          <cell r="Z9"/>
          <cell r="AA9"/>
          <cell r="AB9"/>
          <cell r="AC9"/>
          <cell r="AD9"/>
          <cell r="AE9"/>
          <cell r="AF9" t="str">
            <v>Mes</v>
          </cell>
          <cell r="AG9"/>
          <cell r="AH9"/>
          <cell r="AI9"/>
          <cell r="AJ9"/>
        </row>
        <row r="10">
          <cell r="D10" t="str">
            <v>Fecha</v>
          </cell>
          <cell r="E10" t="str">
            <v>Estimado</v>
          </cell>
          <cell r="F10" t="str">
            <v>Performance</v>
          </cell>
          <cell r="G10"/>
          <cell r="H10"/>
          <cell r="I10" t="str">
            <v>Limites</v>
          </cell>
          <cell r="J10"/>
          <cell r="K10" t="str">
            <v>Estimado</v>
          </cell>
          <cell r="L10" t="str">
            <v>Performance</v>
          </cell>
          <cell r="M10"/>
          <cell r="N10"/>
          <cell r="O10" t="str">
            <v>Limites</v>
          </cell>
          <cell r="P10"/>
          <cell r="Q10"/>
          <cell r="R10"/>
          <cell r="S10"/>
          <cell r="T10"/>
          <cell r="U10"/>
          <cell r="V10"/>
          <cell r="W10" t="str">
            <v>Valores</v>
          </cell>
          <cell r="X10"/>
          <cell r="Y10" t="str">
            <v>Var 1.</v>
          </cell>
          <cell r="Z10"/>
          <cell r="AA10" t="str">
            <v>Proyectado</v>
          </cell>
          <cell r="AB10" t="str">
            <v>Anual</v>
          </cell>
          <cell r="AC10" t="str">
            <v>Var 2.</v>
          </cell>
          <cell r="AD10"/>
          <cell r="AE10" t="str">
            <v>% Avance 
del Año</v>
          </cell>
          <cell r="AF10"/>
          <cell r="AG10" t="str">
            <v>Valores</v>
          </cell>
          <cell r="AH10"/>
          <cell r="AI10" t="str">
            <v>Var 1.</v>
          </cell>
          <cell r="AJ10"/>
        </row>
        <row r="11">
          <cell r="D11"/>
          <cell r="E11"/>
          <cell r="F11"/>
          <cell r="G11"/>
          <cell r="H11"/>
          <cell r="I11" t="str">
            <v>Sup</v>
          </cell>
          <cell r="J11" t="str">
            <v>Inf</v>
          </cell>
          <cell r="K11"/>
          <cell r="L11"/>
          <cell r="M11"/>
          <cell r="N11"/>
          <cell r="O11" t="str">
            <v>Sup</v>
          </cell>
          <cell r="P11" t="str">
            <v>Inf</v>
          </cell>
          <cell r="Q11"/>
          <cell r="R11"/>
          <cell r="S11"/>
          <cell r="T11"/>
          <cell r="U11"/>
          <cell r="V11" t="str">
            <v>Fecha</v>
          </cell>
          <cell r="W11" t="str">
            <v>Anteriores</v>
          </cell>
          <cell r="X11" t="str">
            <v>Real</v>
          </cell>
          <cell r="Y11" t="str">
            <v>Unidades</v>
          </cell>
          <cell r="Z11" t="str">
            <v>%</v>
          </cell>
          <cell r="AA11"/>
          <cell r="AB11" t="str">
            <v>Proyectado</v>
          </cell>
          <cell r="AC11" t="str">
            <v>Unidades</v>
          </cell>
          <cell r="AD11" t="str">
            <v>%</v>
          </cell>
          <cell r="AE11"/>
          <cell r="AF11" t="str">
            <v>Fecha</v>
          </cell>
          <cell r="AG11" t="str">
            <v>Anteriores</v>
          </cell>
          <cell r="AH11" t="str">
            <v>Real</v>
          </cell>
          <cell r="AI11" t="str">
            <v>Unidades</v>
          </cell>
          <cell r="AJ11" t="str">
            <v>%</v>
          </cell>
        </row>
        <row r="12">
          <cell r="D12">
            <v>39083</v>
          </cell>
          <cell r="E12">
            <v>4.0733197556008143E-3</v>
          </cell>
          <cell r="F12" t="str">
            <v>g</v>
          </cell>
          <cell r="G12" t="str">
            <v>c</v>
          </cell>
          <cell r="H12" t="str">
            <v>c</v>
          </cell>
          <cell r="I12">
            <v>0.01</v>
          </cell>
          <cell r="J12">
            <v>5.0000000000000001E-3</v>
          </cell>
          <cell r="K12"/>
          <cell r="L12" t="str">
            <v/>
          </cell>
          <cell r="M12" t="str">
            <v/>
          </cell>
          <cell r="N12" t="str">
            <v/>
          </cell>
          <cell r="O12"/>
          <cell r="P12"/>
          <cell r="Q12"/>
          <cell r="R12"/>
          <cell r="S12"/>
          <cell r="T12"/>
          <cell r="U12"/>
          <cell r="V12">
            <v>39083</v>
          </cell>
          <cell r="W12"/>
          <cell r="X12"/>
          <cell r="Y12"/>
          <cell r="Z12"/>
          <cell r="AA12"/>
          <cell r="AB12">
            <v>0</v>
          </cell>
          <cell r="AC12" t="str">
            <v/>
          </cell>
          <cell r="AD12" t="str">
            <v/>
          </cell>
          <cell r="AE12" t="str">
            <v/>
          </cell>
          <cell r="AF12">
            <v>39083</v>
          </cell>
          <cell r="AG12"/>
          <cell r="AH12"/>
          <cell r="AI12" t="str">
            <v/>
          </cell>
          <cell r="AJ12"/>
        </row>
        <row r="13">
          <cell r="D13">
            <v>39114</v>
          </cell>
          <cell r="E13">
            <v>7.9601990049751239E-3</v>
          </cell>
          <cell r="F13" t="str">
            <v>c</v>
          </cell>
          <cell r="G13" t="str">
            <v>g</v>
          </cell>
          <cell r="H13" t="str">
            <v>c</v>
          </cell>
          <cell r="I13">
            <v>0.01</v>
          </cell>
          <cell r="J13">
            <v>5.0000000000000001E-3</v>
          </cell>
          <cell r="K13"/>
          <cell r="L13" t="str">
            <v/>
          </cell>
          <cell r="M13" t="str">
            <v/>
          </cell>
          <cell r="N13" t="str">
            <v/>
          </cell>
          <cell r="O13"/>
          <cell r="P13"/>
          <cell r="Q13"/>
          <cell r="R13"/>
          <cell r="S13"/>
          <cell r="T13"/>
          <cell r="U13"/>
          <cell r="V13">
            <v>39114</v>
          </cell>
          <cell r="W13"/>
          <cell r="X13"/>
          <cell r="Y13"/>
          <cell r="Z13"/>
          <cell r="AA13"/>
          <cell r="AB13">
            <v>0</v>
          </cell>
          <cell r="AC13" t="str">
            <v/>
          </cell>
          <cell r="AD13" t="str">
            <v/>
          </cell>
          <cell r="AE13" t="str">
            <v/>
          </cell>
          <cell r="AF13">
            <v>39114</v>
          </cell>
          <cell r="AG13"/>
          <cell r="AH13"/>
          <cell r="AI13" t="str">
            <v/>
          </cell>
          <cell r="AJ13"/>
        </row>
        <row r="14">
          <cell r="D14">
            <v>39142</v>
          </cell>
          <cell r="E14">
            <v>5.4106047853793434E-3</v>
          </cell>
          <cell r="F14" t="str">
            <v>c</v>
          </cell>
          <cell r="G14" t="str">
            <v>g</v>
          </cell>
          <cell r="H14" t="str">
            <v>c</v>
          </cell>
          <cell r="I14">
            <v>0.01</v>
          </cell>
          <cell r="J14">
            <v>5.0000000000000001E-3</v>
          </cell>
          <cell r="K14"/>
          <cell r="L14" t="str">
            <v/>
          </cell>
          <cell r="M14" t="str">
            <v/>
          </cell>
          <cell r="N14" t="str">
            <v/>
          </cell>
          <cell r="O14"/>
          <cell r="P14"/>
          <cell r="Q14"/>
          <cell r="R14"/>
          <cell r="S14"/>
          <cell r="T14"/>
          <cell r="U14"/>
          <cell r="V14">
            <v>39142</v>
          </cell>
          <cell r="W14"/>
          <cell r="X14"/>
          <cell r="Y14"/>
          <cell r="Z14"/>
          <cell r="AA14"/>
          <cell r="AB14">
            <v>0</v>
          </cell>
          <cell r="AC14" t="str">
            <v/>
          </cell>
          <cell r="AD14" t="str">
            <v/>
          </cell>
          <cell r="AE14" t="str">
            <v/>
          </cell>
          <cell r="AF14">
            <v>39142</v>
          </cell>
          <cell r="AG14"/>
          <cell r="AH14"/>
          <cell r="AI14" t="str">
            <v/>
          </cell>
          <cell r="AJ14"/>
        </row>
        <row r="15">
          <cell r="D15">
            <v>39173</v>
          </cell>
          <cell r="E15">
            <v>1.5571776155717762E-2</v>
          </cell>
          <cell r="F15" t="str">
            <v>c</v>
          </cell>
          <cell r="G15" t="str">
            <v>c</v>
          </cell>
          <cell r="H15" t="str">
            <v>g</v>
          </cell>
          <cell r="I15">
            <v>0.01</v>
          </cell>
          <cell r="J15">
            <v>5.0000000000000001E-3</v>
          </cell>
          <cell r="K15"/>
          <cell r="L15" t="str">
            <v/>
          </cell>
          <cell r="M15" t="str">
            <v/>
          </cell>
          <cell r="N15" t="str">
            <v/>
          </cell>
          <cell r="O15"/>
          <cell r="P15"/>
          <cell r="Q15"/>
          <cell r="R15"/>
          <cell r="S15"/>
          <cell r="T15"/>
          <cell r="U15"/>
          <cell r="V15">
            <v>39173</v>
          </cell>
          <cell r="W15"/>
          <cell r="X15"/>
          <cell r="Y15"/>
          <cell r="Z15"/>
          <cell r="AA15"/>
          <cell r="AB15">
            <v>0</v>
          </cell>
          <cell r="AC15" t="str">
            <v/>
          </cell>
          <cell r="AD15" t="str">
            <v/>
          </cell>
          <cell r="AE15" t="str">
            <v/>
          </cell>
          <cell r="AF15">
            <v>39173</v>
          </cell>
          <cell r="AG15"/>
          <cell r="AH15"/>
          <cell r="AI15" t="str">
            <v/>
          </cell>
          <cell r="AJ15"/>
        </row>
        <row r="16">
          <cell r="D16">
            <v>39203</v>
          </cell>
          <cell r="E16">
            <v>7.7309625048318517E-3</v>
          </cell>
          <cell r="F16" t="str">
            <v>c</v>
          </cell>
          <cell r="G16" t="str">
            <v>g</v>
          </cell>
          <cell r="H16" t="str">
            <v>c</v>
          </cell>
          <cell r="I16">
            <v>0.01</v>
          </cell>
          <cell r="J16">
            <v>5.0000000000000001E-3</v>
          </cell>
          <cell r="K16"/>
          <cell r="L16" t="str">
            <v/>
          </cell>
          <cell r="M16" t="str">
            <v/>
          </cell>
          <cell r="N16" t="str">
            <v/>
          </cell>
          <cell r="O16"/>
          <cell r="P16"/>
          <cell r="Q16"/>
          <cell r="R16"/>
          <cell r="S16"/>
          <cell r="T16"/>
          <cell r="U16"/>
          <cell r="V16">
            <v>39203</v>
          </cell>
          <cell r="W16"/>
          <cell r="X16"/>
          <cell r="Y16" t="str">
            <v/>
          </cell>
          <cell r="Z16"/>
          <cell r="AA16"/>
          <cell r="AB16">
            <v>0</v>
          </cell>
          <cell r="AC16" t="str">
            <v/>
          </cell>
          <cell r="AD16" t="str">
            <v/>
          </cell>
          <cell r="AE16" t="str">
            <v/>
          </cell>
          <cell r="AF16">
            <v>39203</v>
          </cell>
          <cell r="AG16"/>
          <cell r="AH16"/>
          <cell r="AI16" t="str">
            <v/>
          </cell>
          <cell r="AJ16"/>
        </row>
        <row r="17">
          <cell r="D17">
            <v>39234</v>
          </cell>
          <cell r="E17">
            <v>1.1443102352193261E-2</v>
          </cell>
          <cell r="F17" t="str">
            <v>c</v>
          </cell>
          <cell r="G17" t="str">
            <v>c</v>
          </cell>
          <cell r="H17" t="str">
            <v>g</v>
          </cell>
          <cell r="I17">
            <v>0.01</v>
          </cell>
          <cell r="J17">
            <v>5.0000000000000001E-3</v>
          </cell>
          <cell r="K17"/>
          <cell r="L17" t="str">
            <v/>
          </cell>
          <cell r="M17" t="str">
            <v/>
          </cell>
          <cell r="N17" t="str">
            <v/>
          </cell>
          <cell r="O17"/>
          <cell r="P17"/>
          <cell r="Q17"/>
          <cell r="R17"/>
          <cell r="S17"/>
          <cell r="T17"/>
          <cell r="U17"/>
          <cell r="V17">
            <v>39234</v>
          </cell>
          <cell r="W17"/>
          <cell r="X17"/>
          <cell r="Y17" t="str">
            <v/>
          </cell>
          <cell r="Z17"/>
          <cell r="AA17"/>
          <cell r="AB17">
            <v>0</v>
          </cell>
          <cell r="AC17" t="str">
            <v/>
          </cell>
          <cell r="AD17" t="str">
            <v/>
          </cell>
          <cell r="AE17" t="str">
            <v/>
          </cell>
          <cell r="AF17">
            <v>39234</v>
          </cell>
          <cell r="AG17"/>
          <cell r="AH17"/>
          <cell r="AI17" t="str">
            <v/>
          </cell>
          <cell r="AJ17"/>
        </row>
        <row r="18">
          <cell r="D18">
            <v>39264</v>
          </cell>
          <cell r="E18">
            <v>1.8736616702355463E-3</v>
          </cell>
          <cell r="F18" t="str">
            <v>g</v>
          </cell>
          <cell r="G18" t="str">
            <v>c</v>
          </cell>
          <cell r="H18" t="str">
            <v>c</v>
          </cell>
          <cell r="I18">
            <v>0.01</v>
          </cell>
          <cell r="J18">
            <v>5.0000000000000001E-3</v>
          </cell>
          <cell r="K18"/>
          <cell r="L18" t="str">
            <v/>
          </cell>
          <cell r="M18" t="str">
            <v/>
          </cell>
          <cell r="N18" t="str">
            <v/>
          </cell>
          <cell r="O18"/>
          <cell r="P18"/>
          <cell r="Q18"/>
          <cell r="R18"/>
          <cell r="S18"/>
          <cell r="T18"/>
          <cell r="U18"/>
          <cell r="V18">
            <v>39264</v>
          </cell>
          <cell r="W18"/>
          <cell r="X18"/>
          <cell r="Y18" t="str">
            <v/>
          </cell>
          <cell r="Z18"/>
          <cell r="AA18"/>
          <cell r="AB18">
            <v>0</v>
          </cell>
          <cell r="AC18" t="str">
            <v/>
          </cell>
          <cell r="AD18" t="str">
            <v/>
          </cell>
          <cell r="AE18" t="str">
            <v/>
          </cell>
          <cell r="AF18">
            <v>39264</v>
          </cell>
          <cell r="AG18"/>
          <cell r="AH18"/>
          <cell r="AI18" t="str">
            <v/>
          </cell>
          <cell r="AJ18"/>
        </row>
        <row r="19">
          <cell r="D19">
            <v>39295</v>
          </cell>
          <cell r="E19">
            <v>9.3196644920782844E-3</v>
          </cell>
          <cell r="F19" t="str">
            <v>c</v>
          </cell>
          <cell r="G19" t="str">
            <v>g</v>
          </cell>
          <cell r="H19" t="str">
            <v>c</v>
          </cell>
          <cell r="I19">
            <v>0.01</v>
          </cell>
          <cell r="J19">
            <v>5.0000000000000001E-3</v>
          </cell>
          <cell r="K19"/>
          <cell r="L19" t="str">
            <v/>
          </cell>
          <cell r="M19" t="str">
            <v/>
          </cell>
          <cell r="N19" t="str">
            <v/>
          </cell>
          <cell r="O19"/>
          <cell r="P19"/>
          <cell r="Q19"/>
          <cell r="R19"/>
          <cell r="S19"/>
          <cell r="T19"/>
          <cell r="U19"/>
          <cell r="V19">
            <v>39295</v>
          </cell>
          <cell r="W19"/>
          <cell r="X19"/>
          <cell r="Y19" t="str">
            <v/>
          </cell>
          <cell r="Z19"/>
          <cell r="AA19"/>
          <cell r="AB19">
            <v>0</v>
          </cell>
          <cell r="AC19" t="str">
            <v/>
          </cell>
          <cell r="AD19" t="str">
            <v/>
          </cell>
          <cell r="AE19" t="str">
            <v/>
          </cell>
          <cell r="AF19">
            <v>39295</v>
          </cell>
          <cell r="AG19"/>
          <cell r="AH19"/>
          <cell r="AI19" t="str">
            <v/>
          </cell>
          <cell r="AJ19" t="str">
            <v/>
          </cell>
        </row>
        <row r="20">
          <cell r="D20">
            <v>39326</v>
          </cell>
          <cell r="E20">
            <v>1.1127137852874511E-2</v>
          </cell>
          <cell r="F20" t="str">
            <v>c</v>
          </cell>
          <cell r="G20" t="str">
            <v>c</v>
          </cell>
          <cell r="H20" t="str">
            <v>g</v>
          </cell>
          <cell r="I20">
            <v>0.01</v>
          </cell>
          <cell r="J20">
            <v>5.0000000000000001E-3</v>
          </cell>
          <cell r="K20"/>
          <cell r="L20" t="str">
            <v/>
          </cell>
          <cell r="M20" t="str">
            <v/>
          </cell>
          <cell r="N20" t="str">
            <v/>
          </cell>
          <cell r="O20"/>
          <cell r="P20"/>
          <cell r="Q20"/>
          <cell r="R20"/>
          <cell r="S20"/>
          <cell r="T20"/>
          <cell r="U20"/>
          <cell r="V20">
            <v>39326</v>
          </cell>
          <cell r="W20"/>
          <cell r="X20"/>
          <cell r="Y20" t="str">
            <v/>
          </cell>
          <cell r="Z20"/>
          <cell r="AA20"/>
          <cell r="AB20">
            <v>0</v>
          </cell>
          <cell r="AC20" t="str">
            <v/>
          </cell>
          <cell r="AD20" t="str">
            <v/>
          </cell>
          <cell r="AE20" t="str">
            <v/>
          </cell>
          <cell r="AF20">
            <v>39326</v>
          </cell>
          <cell r="AG20"/>
          <cell r="AH20"/>
          <cell r="AI20" t="str">
            <v/>
          </cell>
          <cell r="AJ20" t="str">
            <v/>
          </cell>
        </row>
        <row r="21">
          <cell r="D21">
            <v>39356</v>
          </cell>
          <cell r="E21">
            <v>1.4773776546629732E-2</v>
          </cell>
          <cell r="F21" t="str">
            <v>c</v>
          </cell>
          <cell r="G21" t="str">
            <v>c</v>
          </cell>
          <cell r="H21" t="str">
            <v>g</v>
          </cell>
          <cell r="I21">
            <v>0.01</v>
          </cell>
          <cell r="J21">
            <v>5.0000000000000001E-3</v>
          </cell>
          <cell r="K21"/>
          <cell r="L21" t="str">
            <v/>
          </cell>
          <cell r="M21" t="str">
            <v/>
          </cell>
          <cell r="N21" t="str">
            <v/>
          </cell>
          <cell r="O21"/>
          <cell r="P21"/>
          <cell r="Q21"/>
          <cell r="R21"/>
          <cell r="S21"/>
          <cell r="T21"/>
          <cell r="U21"/>
          <cell r="V21">
            <v>39356</v>
          </cell>
          <cell r="W21"/>
          <cell r="X21"/>
          <cell r="Y21" t="str">
            <v/>
          </cell>
          <cell r="Z21"/>
          <cell r="AA21"/>
          <cell r="AB21">
            <v>0</v>
          </cell>
          <cell r="AC21" t="str">
            <v/>
          </cell>
          <cell r="AD21" t="str">
            <v/>
          </cell>
          <cell r="AE21" t="str">
            <v/>
          </cell>
          <cell r="AF21">
            <v>39356</v>
          </cell>
          <cell r="AG21"/>
          <cell r="AH21"/>
          <cell r="AI21" t="str">
            <v/>
          </cell>
          <cell r="AJ21" t="str">
            <v/>
          </cell>
        </row>
        <row r="22">
          <cell r="D22">
            <v>39387</v>
          </cell>
          <cell r="E22">
            <v>1.8410041841004185E-3</v>
          </cell>
          <cell r="F22" t="str">
            <v>g</v>
          </cell>
          <cell r="G22" t="str">
            <v>c</v>
          </cell>
          <cell r="H22" t="str">
            <v>c</v>
          </cell>
          <cell r="I22">
            <v>0.01</v>
          </cell>
          <cell r="J22">
            <v>5.0000000000000001E-3</v>
          </cell>
          <cell r="K22"/>
          <cell r="L22" t="str">
            <v/>
          </cell>
          <cell r="M22" t="str">
            <v/>
          </cell>
          <cell r="N22" t="str">
            <v/>
          </cell>
          <cell r="O22"/>
          <cell r="P22"/>
          <cell r="Q22"/>
          <cell r="R22"/>
          <cell r="S22"/>
          <cell r="T22"/>
          <cell r="U22"/>
          <cell r="V22">
            <v>39387</v>
          </cell>
          <cell r="W22"/>
          <cell r="X22"/>
          <cell r="Y22" t="str">
            <v/>
          </cell>
          <cell r="Z22"/>
          <cell r="AA22"/>
          <cell r="AB22">
            <v>0</v>
          </cell>
          <cell r="AC22" t="str">
            <v/>
          </cell>
          <cell r="AD22" t="str">
            <v/>
          </cell>
          <cell r="AE22" t="str">
            <v/>
          </cell>
          <cell r="AF22">
            <v>39387</v>
          </cell>
          <cell r="AG22"/>
          <cell r="AH22"/>
          <cell r="AI22" t="str">
            <v/>
          </cell>
          <cell r="AJ22" t="str">
            <v/>
          </cell>
        </row>
        <row r="23">
          <cell r="D23">
            <v>39417</v>
          </cell>
          <cell r="E23">
            <v>9.1771183848271629E-3</v>
          </cell>
          <cell r="F23" t="str">
            <v>c</v>
          </cell>
          <cell r="G23" t="str">
            <v>g</v>
          </cell>
          <cell r="H23" t="str">
            <v>c</v>
          </cell>
          <cell r="I23">
            <v>0.01</v>
          </cell>
          <cell r="J23">
            <v>5.0000000000000001E-3</v>
          </cell>
          <cell r="K23">
            <v>9.7277454879167932E-2</v>
          </cell>
          <cell r="L23" t="str">
            <v>c</v>
          </cell>
          <cell r="M23" t="str">
            <v>g</v>
          </cell>
          <cell r="N23" t="str">
            <v>c</v>
          </cell>
          <cell r="O23">
            <v>0.12</v>
          </cell>
          <cell r="P23">
            <v>0.09</v>
          </cell>
          <cell r="Q23"/>
          <cell r="R23"/>
          <cell r="S23"/>
          <cell r="T23"/>
          <cell r="U23"/>
          <cell r="V23">
            <v>39417</v>
          </cell>
          <cell r="W23"/>
          <cell r="X23">
            <v>9.1771183848271629E-3</v>
          </cell>
          <cell r="Y23">
            <v>9.1771183848271629E-3</v>
          </cell>
          <cell r="Z23"/>
          <cell r="AA23"/>
          <cell r="AB23">
            <v>0</v>
          </cell>
          <cell r="AC23" t="str">
            <v/>
          </cell>
          <cell r="AD23" t="str">
            <v/>
          </cell>
          <cell r="AE23" t="str">
            <v/>
          </cell>
          <cell r="AF23">
            <v>39417</v>
          </cell>
          <cell r="AG23"/>
          <cell r="AH23">
            <v>9.7277454879167932E-2</v>
          </cell>
          <cell r="AI23">
            <v>9.7277454879167932E-2</v>
          </cell>
          <cell r="AJ23" t="str">
            <v/>
          </cell>
        </row>
        <row r="24">
          <cell r="D24">
            <v>39448</v>
          </cell>
          <cell r="E24">
            <v>1.6279770877298764E-2</v>
          </cell>
          <cell r="F24" t="str">
            <v>c</v>
          </cell>
          <cell r="G24" t="str">
            <v>c</v>
          </cell>
          <cell r="H24" t="str">
            <v>g</v>
          </cell>
          <cell r="I24">
            <v>0.01</v>
          </cell>
          <cell r="J24">
            <v>5.0000000000000001E-3</v>
          </cell>
          <cell r="K24">
            <v>0.10853180584865842</v>
          </cell>
          <cell r="L24" t="str">
            <v>c</v>
          </cell>
          <cell r="M24" t="str">
            <v>g</v>
          </cell>
          <cell r="N24" t="str">
            <v>c</v>
          </cell>
          <cell r="O24">
            <v>0.12</v>
          </cell>
          <cell r="P24">
            <v>0.09</v>
          </cell>
          <cell r="Q24"/>
          <cell r="R24"/>
          <cell r="S24"/>
          <cell r="T24"/>
          <cell r="U24"/>
          <cell r="V24">
            <v>39448</v>
          </cell>
          <cell r="W24"/>
          <cell r="X24">
            <v>1.6279770877298764E-2</v>
          </cell>
          <cell r="Y24">
            <v>1.6279770877298764E-2</v>
          </cell>
          <cell r="Z24"/>
          <cell r="AA24"/>
          <cell r="AB24">
            <v>0</v>
          </cell>
          <cell r="AC24" t="str">
            <v/>
          </cell>
          <cell r="AD24" t="str">
            <v/>
          </cell>
          <cell r="AE24" t="str">
            <v/>
          </cell>
          <cell r="AF24">
            <v>39448</v>
          </cell>
          <cell r="AG24"/>
          <cell r="AH24">
            <v>0.10853180584865842</v>
          </cell>
          <cell r="AI24">
            <v>0.10853180584865842</v>
          </cell>
          <cell r="AJ24"/>
        </row>
        <row r="25">
          <cell r="D25">
            <v>39479</v>
          </cell>
          <cell r="E25">
            <v>1.072705601907032E-2</v>
          </cell>
          <cell r="F25" t="str">
            <v>c</v>
          </cell>
          <cell r="G25" t="str">
            <v>c</v>
          </cell>
          <cell r="H25" t="str">
            <v>g</v>
          </cell>
          <cell r="I25">
            <v>0.01</v>
          </cell>
          <cell r="J25">
            <v>5.0000000000000001E-3</v>
          </cell>
          <cell r="K25">
            <v>0.11084624553039332</v>
          </cell>
          <cell r="L25" t="str">
            <v>c</v>
          </cell>
          <cell r="M25" t="str">
            <v>g</v>
          </cell>
          <cell r="N25" t="str">
            <v>c</v>
          </cell>
          <cell r="O25">
            <v>0.12</v>
          </cell>
          <cell r="P25">
            <v>0.09</v>
          </cell>
          <cell r="Q25"/>
          <cell r="R25"/>
          <cell r="S25"/>
          <cell r="T25"/>
          <cell r="U25"/>
          <cell r="V25">
            <v>39479</v>
          </cell>
          <cell r="W25"/>
          <cell r="X25">
            <v>1.072705601907032E-2</v>
          </cell>
          <cell r="Y25">
            <v>1.072705601907032E-2</v>
          </cell>
          <cell r="Z25"/>
          <cell r="AA25"/>
          <cell r="AB25">
            <v>0</v>
          </cell>
          <cell r="AC25" t="str">
            <v/>
          </cell>
          <cell r="AD25" t="str">
            <v/>
          </cell>
          <cell r="AE25" t="str">
            <v/>
          </cell>
          <cell r="AF25">
            <v>39479</v>
          </cell>
          <cell r="AG25"/>
          <cell r="AH25">
            <v>0.11084624553039332</v>
          </cell>
          <cell r="AI25">
            <v>0.11084624553039332</v>
          </cell>
          <cell r="AJ25"/>
        </row>
        <row r="26">
          <cell r="D26">
            <v>39508</v>
          </cell>
          <cell r="E26">
            <v>1.4134275618374558E-2</v>
          </cell>
          <cell r="F26" t="str">
            <v>c</v>
          </cell>
          <cell r="G26" t="str">
            <v>c</v>
          </cell>
          <cell r="H26" t="str">
            <v>g</v>
          </cell>
          <cell r="I26">
            <v>0.01</v>
          </cell>
          <cell r="J26">
            <v>5.0000000000000001E-3</v>
          </cell>
          <cell r="K26">
            <v>0.11837455830388692</v>
          </cell>
          <cell r="L26" t="str">
            <v>c</v>
          </cell>
          <cell r="M26" t="str">
            <v>g</v>
          </cell>
          <cell r="N26" t="str">
            <v>c</v>
          </cell>
          <cell r="O26">
            <v>0.12</v>
          </cell>
          <cell r="P26">
            <v>0.09</v>
          </cell>
          <cell r="Q26"/>
          <cell r="R26"/>
          <cell r="S26"/>
          <cell r="T26"/>
          <cell r="U26"/>
          <cell r="V26">
            <v>39508</v>
          </cell>
          <cell r="W26"/>
          <cell r="X26">
            <v>1.4134275618374558E-2</v>
          </cell>
          <cell r="Y26">
            <v>1.4134275618374558E-2</v>
          </cell>
          <cell r="Z26"/>
          <cell r="AA26"/>
          <cell r="AB26">
            <v>0</v>
          </cell>
          <cell r="AC26" t="str">
            <v/>
          </cell>
          <cell r="AD26" t="str">
            <v/>
          </cell>
          <cell r="AE26" t="str">
            <v/>
          </cell>
          <cell r="AF26">
            <v>39508</v>
          </cell>
          <cell r="AG26"/>
          <cell r="AH26">
            <v>0.11837455830388692</v>
          </cell>
          <cell r="AI26">
            <v>0.11837455830388692</v>
          </cell>
          <cell r="AJ26"/>
        </row>
        <row r="27">
          <cell r="D27">
            <v>39539</v>
          </cell>
          <cell r="E27">
            <v>1.0484927916120577E-2</v>
          </cell>
          <cell r="F27" t="str">
            <v>c</v>
          </cell>
          <cell r="G27" t="str">
            <v>c</v>
          </cell>
          <cell r="H27" t="str">
            <v>g</v>
          </cell>
          <cell r="I27">
            <v>0.01</v>
          </cell>
          <cell r="J27">
            <v>5.0000000000000001E-3</v>
          </cell>
          <cell r="K27">
            <v>0.11358671909130624</v>
          </cell>
          <cell r="L27" t="str">
            <v>c</v>
          </cell>
          <cell r="M27" t="str">
            <v>g</v>
          </cell>
          <cell r="N27" t="str">
            <v>c</v>
          </cell>
          <cell r="O27">
            <v>0.12</v>
          </cell>
          <cell r="P27">
            <v>0.09</v>
          </cell>
          <cell r="Q27"/>
          <cell r="R27"/>
          <cell r="S27"/>
          <cell r="T27"/>
          <cell r="U27"/>
          <cell r="V27">
            <v>39539</v>
          </cell>
          <cell r="W27"/>
          <cell r="X27">
            <v>1.0484927916120577E-2</v>
          </cell>
          <cell r="Y27">
            <v>1.0484927916120577E-2</v>
          </cell>
          <cell r="Z27"/>
          <cell r="AA27"/>
          <cell r="AB27">
            <v>0</v>
          </cell>
          <cell r="AC27" t="str">
            <v/>
          </cell>
          <cell r="AD27" t="str">
            <v/>
          </cell>
          <cell r="AE27" t="str">
            <v/>
          </cell>
          <cell r="AF27">
            <v>39539</v>
          </cell>
          <cell r="AG27"/>
          <cell r="AH27">
            <v>0.11358671909130624</v>
          </cell>
          <cell r="AI27">
            <v>0.11358671909130624</v>
          </cell>
          <cell r="AJ27"/>
        </row>
        <row r="28">
          <cell r="D28">
            <v>39569</v>
          </cell>
          <cell r="E28">
            <v>3.4587116299178555E-3</v>
          </cell>
          <cell r="F28" t="str">
            <v>g</v>
          </cell>
          <cell r="G28" t="str">
            <v>c</v>
          </cell>
          <cell r="H28" t="str">
            <v>c</v>
          </cell>
          <cell r="I28">
            <v>0.01</v>
          </cell>
          <cell r="J28">
            <v>5.0000000000000001E-3</v>
          </cell>
          <cell r="K28">
            <v>0.10894941634241245</v>
          </cell>
          <cell r="L28" t="str">
            <v>c</v>
          </cell>
          <cell r="M28" t="str">
            <v>g</v>
          </cell>
          <cell r="N28" t="str">
            <v>c</v>
          </cell>
          <cell r="O28">
            <v>0.12</v>
          </cell>
          <cell r="P28">
            <v>0.09</v>
          </cell>
          <cell r="Q28"/>
          <cell r="R28"/>
          <cell r="S28"/>
          <cell r="T28"/>
          <cell r="U28"/>
          <cell r="V28">
            <v>39569</v>
          </cell>
          <cell r="W28"/>
          <cell r="X28">
            <v>3.4587116299178555E-3</v>
          </cell>
          <cell r="Y28">
            <v>3.4587116299178555E-3</v>
          </cell>
          <cell r="Z28"/>
          <cell r="AA28"/>
          <cell r="AB28">
            <v>0</v>
          </cell>
          <cell r="AC28" t="str">
            <v/>
          </cell>
          <cell r="AD28" t="str">
            <v/>
          </cell>
          <cell r="AE28" t="str">
            <v/>
          </cell>
          <cell r="AF28">
            <v>39569</v>
          </cell>
          <cell r="AG28"/>
          <cell r="AH28">
            <v>0.10894941634241245</v>
          </cell>
          <cell r="AI28">
            <v>0.10894941634241245</v>
          </cell>
          <cell r="AJ28"/>
        </row>
        <row r="29">
          <cell r="D29">
            <v>39600</v>
          </cell>
          <cell r="E29">
            <v>6.8728522336769758E-3</v>
          </cell>
          <cell r="F29" t="str">
            <v>c</v>
          </cell>
          <cell r="G29" t="str">
            <v>g</v>
          </cell>
          <cell r="H29" t="str">
            <v>c</v>
          </cell>
          <cell r="I29">
            <v>0.01</v>
          </cell>
          <cell r="J29">
            <v>5.0000000000000001E-3</v>
          </cell>
          <cell r="K29">
            <v>0.10481099656357389</v>
          </cell>
          <cell r="L29" t="str">
            <v>c</v>
          </cell>
          <cell r="M29" t="str">
            <v>g</v>
          </cell>
          <cell r="N29" t="str">
            <v>c</v>
          </cell>
          <cell r="O29">
            <v>0.12</v>
          </cell>
          <cell r="P29">
            <v>0.09</v>
          </cell>
          <cell r="Q29"/>
          <cell r="R29"/>
          <cell r="S29"/>
          <cell r="T29"/>
          <cell r="U29"/>
          <cell r="V29">
            <v>39600</v>
          </cell>
          <cell r="W29"/>
          <cell r="X29">
            <v>6.8728522336769758E-3</v>
          </cell>
          <cell r="Y29">
            <v>6.8728522336769758E-3</v>
          </cell>
          <cell r="Z29"/>
          <cell r="AA29"/>
          <cell r="AB29">
            <v>0</v>
          </cell>
          <cell r="AC29" t="str">
            <v/>
          </cell>
          <cell r="AD29" t="str">
            <v/>
          </cell>
          <cell r="AE29" t="str">
            <v/>
          </cell>
          <cell r="AF29">
            <v>39600</v>
          </cell>
          <cell r="AG29"/>
          <cell r="AH29">
            <v>0.10481099656357389</v>
          </cell>
          <cell r="AI29">
            <v>0.10481099656357389</v>
          </cell>
          <cell r="AJ29"/>
        </row>
        <row r="30">
          <cell r="D30">
            <v>39630</v>
          </cell>
          <cell r="E30">
            <v>8.5714285714285701E-3</v>
          </cell>
          <cell r="F30" t="str">
            <v>c</v>
          </cell>
          <cell r="G30" t="str">
            <v>g</v>
          </cell>
          <cell r="H30" t="str">
            <v>c</v>
          </cell>
          <cell r="I30">
            <v>0.01</v>
          </cell>
          <cell r="J30">
            <v>5.0000000000000001E-3</v>
          </cell>
          <cell r="K30">
            <v>0.11142857142857142</v>
          </cell>
          <cell r="L30" t="str">
            <v>c</v>
          </cell>
          <cell r="M30" t="str">
            <v>g</v>
          </cell>
          <cell r="N30" t="str">
            <v>c</v>
          </cell>
          <cell r="O30">
            <v>0.12</v>
          </cell>
          <cell r="P30">
            <v>0.09</v>
          </cell>
          <cell r="Q30"/>
          <cell r="R30"/>
          <cell r="S30"/>
          <cell r="T30"/>
          <cell r="U30"/>
          <cell r="V30">
            <v>39630</v>
          </cell>
          <cell r="W30"/>
          <cell r="X30">
            <v>8.5714285714285701E-3</v>
          </cell>
          <cell r="Y30">
            <v>8.5714285714285701E-3</v>
          </cell>
          <cell r="Z30"/>
          <cell r="AA30"/>
          <cell r="AB30">
            <v>0</v>
          </cell>
          <cell r="AC30" t="str">
            <v/>
          </cell>
          <cell r="AD30" t="str">
            <v/>
          </cell>
          <cell r="AE30" t="str">
            <v/>
          </cell>
          <cell r="AF30">
            <v>39630</v>
          </cell>
          <cell r="AG30"/>
          <cell r="AH30">
            <v>0.11142857142857142</v>
          </cell>
          <cell r="AI30">
            <v>0.11142857142857142</v>
          </cell>
          <cell r="AJ30"/>
        </row>
        <row r="31">
          <cell r="D31">
            <v>39661</v>
          </cell>
          <cell r="E31">
            <v>3.4003967129498445E-3</v>
          </cell>
          <cell r="F31" t="str">
            <v>g</v>
          </cell>
          <cell r="G31" t="str">
            <v>c</v>
          </cell>
          <cell r="H31" t="str">
            <v>c</v>
          </cell>
          <cell r="I31">
            <v>0.01</v>
          </cell>
          <cell r="J31">
            <v>5.0000000000000001E-3</v>
          </cell>
          <cell r="K31">
            <v>0.10541229810144517</v>
          </cell>
          <cell r="L31" t="str">
            <v>c</v>
          </cell>
          <cell r="M31" t="str">
            <v>g</v>
          </cell>
          <cell r="N31" t="str">
            <v>c</v>
          </cell>
          <cell r="O31">
            <v>0.12</v>
          </cell>
          <cell r="P31">
            <v>0.09</v>
          </cell>
          <cell r="Q31"/>
          <cell r="R31"/>
          <cell r="S31"/>
          <cell r="T31"/>
          <cell r="U31"/>
          <cell r="V31">
            <v>39661</v>
          </cell>
          <cell r="W31"/>
          <cell r="X31">
            <v>3.4003967129498445E-3</v>
          </cell>
          <cell r="Y31">
            <v>3.4003967129498445E-3</v>
          </cell>
          <cell r="Z31"/>
          <cell r="AA31"/>
          <cell r="AB31">
            <v>0</v>
          </cell>
          <cell r="AC31" t="str">
            <v/>
          </cell>
          <cell r="AD31" t="str">
            <v/>
          </cell>
          <cell r="AE31" t="str">
            <v/>
          </cell>
          <cell r="AF31">
            <v>39661</v>
          </cell>
          <cell r="AG31"/>
          <cell r="AH31">
            <v>0.10541229810144517</v>
          </cell>
          <cell r="AI31">
            <v>0.10541229810144517</v>
          </cell>
          <cell r="AJ31"/>
        </row>
        <row r="32">
          <cell r="D32">
            <v>39692</v>
          </cell>
          <cell r="E32">
            <v>1.5204843024074335E-2</v>
          </cell>
          <cell r="F32" t="str">
            <v>c</v>
          </cell>
          <cell r="G32" t="str">
            <v>c</v>
          </cell>
          <cell r="H32" t="str">
            <v>g</v>
          </cell>
          <cell r="I32">
            <v>0.01</v>
          </cell>
          <cell r="J32">
            <v>5.0000000000000001E-3</v>
          </cell>
          <cell r="K32">
            <v>0.10981275517387021</v>
          </cell>
          <cell r="L32" t="str">
            <v>c</v>
          </cell>
          <cell r="M32" t="str">
            <v>g</v>
          </cell>
          <cell r="N32" t="str">
            <v>c</v>
          </cell>
          <cell r="O32">
            <v>0.12</v>
          </cell>
          <cell r="P32">
            <v>0.09</v>
          </cell>
          <cell r="Q32"/>
          <cell r="R32"/>
          <cell r="S32"/>
          <cell r="T32"/>
          <cell r="U32"/>
          <cell r="V32">
            <v>39692</v>
          </cell>
          <cell r="W32"/>
          <cell r="X32">
            <v>1.5204843024074335E-2</v>
          </cell>
          <cell r="Y32">
            <v>1.5204843024074335E-2</v>
          </cell>
          <cell r="Z32"/>
          <cell r="AA32"/>
          <cell r="AB32">
            <v>0</v>
          </cell>
          <cell r="AC32" t="str">
            <v/>
          </cell>
          <cell r="AD32" t="str">
            <v/>
          </cell>
          <cell r="AE32" t="str">
            <v/>
          </cell>
          <cell r="AF32">
            <v>39692</v>
          </cell>
          <cell r="AG32"/>
          <cell r="AH32">
            <v>0.10981275517387021</v>
          </cell>
          <cell r="AI32"/>
          <cell r="AJ32"/>
        </row>
        <row r="33">
          <cell r="D33">
            <v>39722</v>
          </cell>
          <cell r="E33">
            <v>1.6771488469601676E-3</v>
          </cell>
          <cell r="F33" t="str">
            <v>g</v>
          </cell>
          <cell r="G33" t="str">
            <v>c</v>
          </cell>
          <cell r="H33" t="str">
            <v>c</v>
          </cell>
          <cell r="I33">
            <v>0.01</v>
          </cell>
          <cell r="J33">
            <v>5.0000000000000001E-3</v>
          </cell>
          <cell r="K33">
            <v>9.7274633123689724E-2</v>
          </cell>
          <cell r="L33" t="str">
            <v>c</v>
          </cell>
          <cell r="M33" t="str">
            <v>g</v>
          </cell>
          <cell r="N33" t="str">
            <v>c</v>
          </cell>
          <cell r="O33">
            <v>0.12</v>
          </cell>
          <cell r="P33">
            <v>0.09</v>
          </cell>
          <cell r="Q33"/>
          <cell r="R33"/>
          <cell r="S33"/>
          <cell r="T33"/>
          <cell r="U33"/>
          <cell r="V33">
            <v>39722</v>
          </cell>
          <cell r="W33"/>
          <cell r="X33">
            <v>1.6771488469601676E-3</v>
          </cell>
          <cell r="Y33">
            <v>1.6771488469601676E-3</v>
          </cell>
          <cell r="Z33"/>
          <cell r="AA33"/>
          <cell r="AB33">
            <v>0</v>
          </cell>
          <cell r="AC33" t="str">
            <v/>
          </cell>
          <cell r="AD33" t="str">
            <v/>
          </cell>
          <cell r="AE33" t="str">
            <v/>
          </cell>
          <cell r="AF33">
            <v>39722</v>
          </cell>
          <cell r="AG33"/>
          <cell r="AH33">
            <v>9.7274633123689724E-2</v>
          </cell>
          <cell r="AI33"/>
          <cell r="AJ33"/>
        </row>
        <row r="34">
          <cell r="D34">
            <v>39753</v>
          </cell>
          <cell r="E34">
            <v>3.3287101248266294E-3</v>
          </cell>
          <cell r="F34" t="str">
            <v>g</v>
          </cell>
          <cell r="G34" t="str">
            <v>c</v>
          </cell>
          <cell r="H34" t="str">
            <v>c</v>
          </cell>
          <cell r="I34">
            <v>0.01</v>
          </cell>
          <cell r="J34">
            <v>5.0000000000000001E-3</v>
          </cell>
          <cell r="K34">
            <v>9.8196948682385571E-2</v>
          </cell>
          <cell r="L34" t="str">
            <v>c</v>
          </cell>
          <cell r="M34" t="str">
            <v>g</v>
          </cell>
          <cell r="N34" t="str">
            <v>c</v>
          </cell>
          <cell r="O34">
            <v>0.12</v>
          </cell>
          <cell r="P34">
            <v>0.09</v>
          </cell>
          <cell r="Q34"/>
          <cell r="R34"/>
          <cell r="S34"/>
          <cell r="T34"/>
          <cell r="U34"/>
          <cell r="V34">
            <v>39753</v>
          </cell>
          <cell r="W34"/>
          <cell r="X34">
            <v>3.3287101248266294E-3</v>
          </cell>
          <cell r="Y34">
            <v>3.3287101248266294E-3</v>
          </cell>
          <cell r="Z34"/>
          <cell r="AA34"/>
          <cell r="AB34">
            <v>0</v>
          </cell>
          <cell r="AC34" t="str">
            <v/>
          </cell>
          <cell r="AD34" t="str">
            <v/>
          </cell>
          <cell r="AE34" t="str">
            <v/>
          </cell>
          <cell r="AF34">
            <v>39753</v>
          </cell>
          <cell r="AG34"/>
          <cell r="AH34">
            <v>9.8196948682385571E-2</v>
          </cell>
          <cell r="AI34"/>
          <cell r="AJ34"/>
        </row>
        <row r="35">
          <cell r="D35">
            <v>39783</v>
          </cell>
          <cell r="E35">
            <v>1.6889514426460237E-3</v>
          </cell>
          <cell r="F35" t="str">
            <v>g</v>
          </cell>
          <cell r="G35" t="str">
            <v>c</v>
          </cell>
          <cell r="H35" t="str">
            <v>c</v>
          </cell>
          <cell r="I35">
            <v>0.01</v>
          </cell>
          <cell r="J35">
            <v>5.0000000000000001E-3</v>
          </cell>
          <cell r="K35">
            <v>9.2892329345531308E-2</v>
          </cell>
          <cell r="L35" t="str">
            <v>c</v>
          </cell>
          <cell r="M35" t="str">
            <v>g</v>
          </cell>
          <cell r="N35" t="str">
            <v>c</v>
          </cell>
          <cell r="O35">
            <v>0.12</v>
          </cell>
          <cell r="P35">
            <v>0.09</v>
          </cell>
          <cell r="Q35"/>
          <cell r="R35"/>
          <cell r="S35"/>
          <cell r="T35"/>
          <cell r="U35"/>
          <cell r="V35">
            <v>39783</v>
          </cell>
          <cell r="W35">
            <v>9.1771183848271629E-3</v>
          </cell>
          <cell r="X35">
            <v>1.6889514426460237E-3</v>
          </cell>
          <cell r="Y35">
            <v>-7.4881669421811396E-3</v>
          </cell>
          <cell r="Z35">
            <v>-0.8159605911330049</v>
          </cell>
          <cell r="AA35"/>
          <cell r="AB35">
            <v>0</v>
          </cell>
          <cell r="AC35" t="str">
            <v/>
          </cell>
          <cell r="AD35" t="str">
            <v/>
          </cell>
          <cell r="AE35" t="str">
            <v/>
          </cell>
          <cell r="AF35">
            <v>39783</v>
          </cell>
          <cell r="AG35">
            <v>9.7277454879167932E-2</v>
          </cell>
          <cell r="AH35">
            <v>9.2892329345531308E-2</v>
          </cell>
          <cell r="AI35"/>
          <cell r="AJ35">
            <v>-4.5078538897667109E-2</v>
          </cell>
        </row>
        <row r="36">
          <cell r="D36">
            <v>39814</v>
          </cell>
          <cell r="E36" t="str">
            <v/>
          </cell>
          <cell r="F36" t="str">
            <v/>
          </cell>
          <cell r="G36" t="str">
            <v/>
          </cell>
          <cell r="H36" t="str">
            <v/>
          </cell>
          <cell r="I36"/>
          <cell r="J36"/>
          <cell r="K36" t="str">
            <v/>
          </cell>
          <cell r="L36" t="str">
            <v/>
          </cell>
          <cell r="M36" t="str">
            <v/>
          </cell>
          <cell r="N36" t="str">
            <v/>
          </cell>
          <cell r="O36"/>
          <cell r="P36"/>
          <cell r="Q36"/>
          <cell r="R36"/>
          <cell r="S36"/>
          <cell r="T36"/>
          <cell r="U36"/>
          <cell r="V36">
            <v>39814</v>
          </cell>
          <cell r="W36">
            <v>1.6279770877298764E-2</v>
          </cell>
          <cell r="X36" t="str">
            <v/>
          </cell>
          <cell r="Y36" t="str">
            <v/>
          </cell>
          <cell r="Z36" t="str">
            <v/>
          </cell>
          <cell r="AA36"/>
          <cell r="AB36">
            <v>0</v>
          </cell>
          <cell r="AC36" t="str">
            <v/>
          </cell>
          <cell r="AD36" t="str">
            <v/>
          </cell>
          <cell r="AE36" t="str">
            <v/>
          </cell>
          <cell r="AF36">
            <v>39814</v>
          </cell>
          <cell r="AG36">
            <v>0.10853180584865842</v>
          </cell>
          <cell r="AH36" t="str">
            <v/>
          </cell>
          <cell r="AI36"/>
          <cell r="AJ36" t="str">
            <v/>
          </cell>
        </row>
        <row r="37">
          <cell r="D37">
            <v>39845</v>
          </cell>
          <cell r="E37" t="str">
            <v/>
          </cell>
          <cell r="F37" t="str">
            <v/>
          </cell>
          <cell r="G37" t="str">
            <v/>
          </cell>
          <cell r="H37" t="str">
            <v/>
          </cell>
          <cell r="I37"/>
          <cell r="J37"/>
          <cell r="K37" t="str">
            <v/>
          </cell>
          <cell r="L37" t="str">
            <v/>
          </cell>
          <cell r="M37" t="str">
            <v/>
          </cell>
          <cell r="N37" t="str">
            <v/>
          </cell>
          <cell r="O37"/>
          <cell r="P37"/>
          <cell r="Q37"/>
          <cell r="R37"/>
          <cell r="S37"/>
          <cell r="T37"/>
          <cell r="U37"/>
          <cell r="V37">
            <v>39845</v>
          </cell>
          <cell r="W37">
            <v>1.072705601907032E-2</v>
          </cell>
          <cell r="X37" t="str">
            <v/>
          </cell>
          <cell r="Y37" t="str">
            <v/>
          </cell>
          <cell r="Z37" t="str">
            <v/>
          </cell>
          <cell r="AA37"/>
          <cell r="AB37">
            <v>0</v>
          </cell>
          <cell r="AC37" t="str">
            <v/>
          </cell>
          <cell r="AD37" t="str">
            <v/>
          </cell>
          <cell r="AE37" t="str">
            <v/>
          </cell>
          <cell r="AF37">
            <v>39845</v>
          </cell>
          <cell r="AG37">
            <v>0.11084624553039332</v>
          </cell>
          <cell r="AH37" t="str">
            <v/>
          </cell>
          <cell r="AI37"/>
          <cell r="AJ37" t="str">
            <v/>
          </cell>
        </row>
        <row r="38">
          <cell r="D38">
            <v>39873</v>
          </cell>
          <cell r="E38" t="str">
            <v/>
          </cell>
          <cell r="F38" t="str">
            <v/>
          </cell>
          <cell r="G38" t="str">
            <v/>
          </cell>
          <cell r="H38" t="str">
            <v/>
          </cell>
          <cell r="I38"/>
          <cell r="J38"/>
          <cell r="K38" t="str">
            <v/>
          </cell>
          <cell r="L38" t="str">
            <v/>
          </cell>
          <cell r="M38" t="str">
            <v/>
          </cell>
          <cell r="N38" t="str">
            <v/>
          </cell>
          <cell r="O38"/>
          <cell r="P38"/>
          <cell r="Q38"/>
          <cell r="R38"/>
          <cell r="S38"/>
          <cell r="T38"/>
          <cell r="U38"/>
          <cell r="V38">
            <v>39873</v>
          </cell>
          <cell r="W38">
            <v>1.4134275618374558E-2</v>
          </cell>
          <cell r="X38" t="str">
            <v/>
          </cell>
          <cell r="Y38" t="str">
            <v/>
          </cell>
          <cell r="Z38" t="str">
            <v/>
          </cell>
          <cell r="AA38"/>
          <cell r="AB38">
            <v>0</v>
          </cell>
          <cell r="AC38" t="str">
            <v/>
          </cell>
          <cell r="AD38" t="str">
            <v/>
          </cell>
          <cell r="AE38" t="str">
            <v/>
          </cell>
          <cell r="AF38">
            <v>39873</v>
          </cell>
          <cell r="AG38">
            <v>0.11837455830388692</v>
          </cell>
          <cell r="AH38" t="str">
            <v/>
          </cell>
          <cell r="AI38"/>
          <cell r="AJ38" t="str">
            <v/>
          </cell>
        </row>
        <row r="39">
          <cell r="D39">
            <v>39904</v>
          </cell>
          <cell r="E39" t="str">
            <v/>
          </cell>
          <cell r="F39" t="str">
            <v/>
          </cell>
          <cell r="G39" t="str">
            <v/>
          </cell>
          <cell r="H39" t="str">
            <v/>
          </cell>
          <cell r="I39"/>
          <cell r="J39"/>
          <cell r="K39" t="str">
            <v/>
          </cell>
          <cell r="L39" t="str">
            <v/>
          </cell>
          <cell r="M39" t="str">
            <v/>
          </cell>
          <cell r="N39" t="str">
            <v/>
          </cell>
          <cell r="O39"/>
          <cell r="P39"/>
          <cell r="V39">
            <v>39904</v>
          </cell>
          <cell r="W39">
            <v>1.0484927916120577E-2</v>
          </cell>
          <cell r="X39" t="str">
            <v/>
          </cell>
          <cell r="Y39" t="str">
            <v/>
          </cell>
          <cell r="Z39" t="str">
            <v/>
          </cell>
          <cell r="AA39"/>
          <cell r="AB39">
            <v>0</v>
          </cell>
          <cell r="AC39" t="str">
            <v/>
          </cell>
          <cell r="AD39" t="str">
            <v/>
          </cell>
          <cell r="AE39" t="str">
            <v/>
          </cell>
          <cell r="AF39">
            <v>39904</v>
          </cell>
          <cell r="AG39">
            <v>0.11358671909130624</v>
          </cell>
          <cell r="AH39" t="str">
            <v/>
          </cell>
          <cell r="AI39"/>
          <cell r="AJ39" t="str">
            <v/>
          </cell>
        </row>
        <row r="40">
          <cell r="D40">
            <v>39934</v>
          </cell>
          <cell r="E40" t="str">
            <v/>
          </cell>
          <cell r="F40" t="str">
            <v/>
          </cell>
          <cell r="G40" t="str">
            <v/>
          </cell>
          <cell r="H40" t="str">
            <v/>
          </cell>
          <cell r="I40"/>
          <cell r="J40"/>
          <cell r="K40" t="str">
            <v/>
          </cell>
          <cell r="L40" t="str">
            <v/>
          </cell>
          <cell r="M40" t="str">
            <v/>
          </cell>
          <cell r="N40" t="str">
            <v/>
          </cell>
          <cell r="O40"/>
          <cell r="P40"/>
          <cell r="V40">
            <v>39934</v>
          </cell>
          <cell r="W40"/>
          <cell r="X40" t="str">
            <v/>
          </cell>
          <cell r="Y40" t="str">
            <v/>
          </cell>
          <cell r="Z40" t="str">
            <v/>
          </cell>
          <cell r="AA40"/>
          <cell r="AB40">
            <v>0</v>
          </cell>
          <cell r="AC40" t="str">
            <v/>
          </cell>
          <cell r="AD40" t="str">
            <v/>
          </cell>
          <cell r="AE40" t="str">
            <v/>
          </cell>
          <cell r="AF40">
            <v>39934</v>
          </cell>
          <cell r="AG40"/>
          <cell r="AH40" t="str">
            <v/>
          </cell>
          <cell r="AI40"/>
          <cell r="AJ40" t="str">
            <v/>
          </cell>
        </row>
        <row r="41">
          <cell r="D41">
            <v>39965</v>
          </cell>
          <cell r="E41" t="str">
            <v/>
          </cell>
          <cell r="F41" t="str">
            <v/>
          </cell>
          <cell r="G41" t="str">
            <v/>
          </cell>
          <cell r="H41" t="str">
            <v/>
          </cell>
          <cell r="I41"/>
          <cell r="J41"/>
          <cell r="K41" t="str">
            <v/>
          </cell>
          <cell r="L41" t="str">
            <v/>
          </cell>
          <cell r="M41" t="str">
            <v/>
          </cell>
          <cell r="N41" t="str">
            <v/>
          </cell>
          <cell r="O41"/>
          <cell r="P41"/>
          <cell r="V41">
            <v>39965</v>
          </cell>
          <cell r="W41"/>
          <cell r="X41" t="str">
            <v/>
          </cell>
          <cell r="Y41" t="str">
            <v/>
          </cell>
          <cell r="Z41" t="str">
            <v/>
          </cell>
          <cell r="AA41"/>
          <cell r="AB41">
            <v>0</v>
          </cell>
          <cell r="AC41" t="str">
            <v/>
          </cell>
          <cell r="AD41" t="str">
            <v/>
          </cell>
          <cell r="AE41" t="str">
            <v/>
          </cell>
          <cell r="AF41">
            <v>39965</v>
          </cell>
          <cell r="AG41"/>
          <cell r="AH41" t="str">
            <v/>
          </cell>
          <cell r="AI41"/>
          <cell r="AJ41" t="str">
            <v/>
          </cell>
        </row>
        <row r="42">
          <cell r="D42">
            <v>39995</v>
          </cell>
          <cell r="E42" t="str">
            <v/>
          </cell>
          <cell r="F42" t="str">
            <v/>
          </cell>
          <cell r="G42" t="str">
            <v/>
          </cell>
          <cell r="H42" t="str">
            <v/>
          </cell>
          <cell r="I42"/>
          <cell r="J42"/>
          <cell r="K42" t="str">
            <v/>
          </cell>
          <cell r="L42" t="str">
            <v/>
          </cell>
          <cell r="M42" t="str">
            <v/>
          </cell>
          <cell r="N42" t="str">
            <v/>
          </cell>
          <cell r="O42"/>
          <cell r="P42"/>
          <cell r="V42">
            <v>39995</v>
          </cell>
          <cell r="W42"/>
          <cell r="X42" t="str">
            <v/>
          </cell>
          <cell r="Y42" t="str">
            <v/>
          </cell>
          <cell r="Z42" t="str">
            <v/>
          </cell>
          <cell r="AA42"/>
          <cell r="AB42">
            <v>0</v>
          </cell>
          <cell r="AC42" t="str">
            <v/>
          </cell>
          <cell r="AD42" t="str">
            <v/>
          </cell>
          <cell r="AE42" t="str">
            <v/>
          </cell>
          <cell r="AF42">
            <v>39995</v>
          </cell>
          <cell r="AG42"/>
          <cell r="AH42" t="str">
            <v/>
          </cell>
          <cell r="AI42"/>
          <cell r="AJ42" t="str">
            <v/>
          </cell>
        </row>
        <row r="43">
          <cell r="D43">
            <v>40026</v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/>
          <cell r="J43"/>
          <cell r="K43" t="str">
            <v/>
          </cell>
          <cell r="L43" t="str">
            <v/>
          </cell>
          <cell r="M43" t="str">
            <v/>
          </cell>
          <cell r="N43" t="str">
            <v/>
          </cell>
          <cell r="O43"/>
          <cell r="P43"/>
          <cell r="V43">
            <v>40026</v>
          </cell>
          <cell r="W43"/>
          <cell r="X43" t="str">
            <v/>
          </cell>
          <cell r="Y43" t="str">
            <v/>
          </cell>
          <cell r="Z43" t="str">
            <v/>
          </cell>
          <cell r="AA43"/>
          <cell r="AB43">
            <v>0</v>
          </cell>
          <cell r="AC43" t="str">
            <v/>
          </cell>
          <cell r="AD43" t="str">
            <v/>
          </cell>
          <cell r="AE43" t="str">
            <v/>
          </cell>
          <cell r="AF43">
            <v>40026</v>
          </cell>
          <cell r="AG43"/>
          <cell r="AH43" t="str">
            <v/>
          </cell>
          <cell r="AI43"/>
          <cell r="AJ43" t="str">
            <v/>
          </cell>
        </row>
        <row r="44">
          <cell r="D44">
            <v>40057</v>
          </cell>
          <cell r="E44" t="str">
            <v/>
          </cell>
          <cell r="F44" t="str">
            <v/>
          </cell>
          <cell r="G44" t="str">
            <v/>
          </cell>
          <cell r="H44" t="str">
            <v/>
          </cell>
          <cell r="I44"/>
          <cell r="J44"/>
          <cell r="K44" t="str">
            <v/>
          </cell>
          <cell r="L44" t="str">
            <v/>
          </cell>
          <cell r="M44" t="str">
            <v/>
          </cell>
          <cell r="N44" t="str">
            <v/>
          </cell>
          <cell r="O44"/>
          <cell r="P44"/>
          <cell r="V44">
            <v>40057</v>
          </cell>
          <cell r="W44"/>
          <cell r="X44" t="str">
            <v/>
          </cell>
          <cell r="Y44" t="str">
            <v/>
          </cell>
          <cell r="Z44" t="str">
            <v/>
          </cell>
          <cell r="AA44"/>
          <cell r="AB44">
            <v>0</v>
          </cell>
          <cell r="AC44" t="str">
            <v/>
          </cell>
          <cell r="AD44" t="str">
            <v/>
          </cell>
          <cell r="AE44" t="str">
            <v/>
          </cell>
          <cell r="AF44">
            <v>40057</v>
          </cell>
          <cell r="AG44"/>
          <cell r="AH44" t="str">
            <v/>
          </cell>
          <cell r="AI44"/>
          <cell r="AJ44" t="str">
            <v/>
          </cell>
        </row>
      </sheetData>
      <sheetData sheetId="22">
        <row r="9">
          <cell r="D9"/>
          <cell r="E9" t="str">
            <v>Mensual</v>
          </cell>
          <cell r="F9"/>
          <cell r="G9"/>
          <cell r="H9"/>
          <cell r="I9"/>
          <cell r="J9"/>
          <cell r="K9" t="str">
            <v>Acumulado anual</v>
          </cell>
          <cell r="L9"/>
          <cell r="M9"/>
          <cell r="N9"/>
          <cell r="O9"/>
          <cell r="P9"/>
          <cell r="V9" t="str">
            <v>Mes</v>
          </cell>
          <cell r="W9"/>
          <cell r="X9"/>
          <cell r="Y9"/>
          <cell r="Z9"/>
          <cell r="AA9"/>
          <cell r="AB9"/>
          <cell r="AC9"/>
          <cell r="AD9"/>
          <cell r="AE9"/>
          <cell r="AF9" t="str">
            <v>Mes</v>
          </cell>
          <cell r="AG9"/>
          <cell r="AH9"/>
          <cell r="AI9"/>
          <cell r="AJ9"/>
        </row>
        <row r="10">
          <cell r="D10" t="str">
            <v>Fecha</v>
          </cell>
          <cell r="E10" t="str">
            <v>Estimado</v>
          </cell>
          <cell r="F10" t="str">
            <v>Performance</v>
          </cell>
          <cell r="G10"/>
          <cell r="H10"/>
          <cell r="I10" t="str">
            <v>Limites</v>
          </cell>
          <cell r="J10"/>
          <cell r="K10" t="str">
            <v>Estimado</v>
          </cell>
          <cell r="L10" t="str">
            <v>Performance</v>
          </cell>
          <cell r="M10"/>
          <cell r="N10"/>
          <cell r="O10" t="str">
            <v>Limites</v>
          </cell>
          <cell r="P10"/>
          <cell r="Q10"/>
          <cell r="R10"/>
          <cell r="S10"/>
          <cell r="T10"/>
          <cell r="U10"/>
          <cell r="V10"/>
          <cell r="W10" t="str">
            <v>Valores</v>
          </cell>
          <cell r="X10"/>
          <cell r="Y10" t="str">
            <v>Var 1.</v>
          </cell>
          <cell r="Z10"/>
          <cell r="AA10" t="str">
            <v>Proyectado</v>
          </cell>
          <cell r="AB10" t="str">
            <v>Anual</v>
          </cell>
          <cell r="AC10" t="str">
            <v>Var 2.</v>
          </cell>
          <cell r="AD10"/>
          <cell r="AE10" t="str">
            <v>% Avance 
del Año</v>
          </cell>
          <cell r="AF10"/>
          <cell r="AG10" t="str">
            <v>Valores</v>
          </cell>
          <cell r="AH10"/>
          <cell r="AI10" t="str">
            <v>Var 1.</v>
          </cell>
          <cell r="AJ10"/>
        </row>
        <row r="11">
          <cell r="D11"/>
          <cell r="E11"/>
          <cell r="F11"/>
          <cell r="G11"/>
          <cell r="H11"/>
          <cell r="I11" t="str">
            <v>Sup</v>
          </cell>
          <cell r="J11" t="str">
            <v>Inf</v>
          </cell>
          <cell r="K11"/>
          <cell r="L11"/>
          <cell r="M11"/>
          <cell r="N11"/>
          <cell r="O11" t="str">
            <v>Sup</v>
          </cell>
          <cell r="P11" t="str">
            <v>Inf</v>
          </cell>
          <cell r="Q11"/>
          <cell r="R11"/>
          <cell r="S11"/>
          <cell r="T11"/>
          <cell r="U11"/>
          <cell r="V11" t="str">
            <v>Fecha</v>
          </cell>
          <cell r="W11" t="str">
            <v>Anteriores</v>
          </cell>
          <cell r="X11" t="str">
            <v>Real</v>
          </cell>
          <cell r="Y11" t="str">
            <v>Unidades</v>
          </cell>
          <cell r="Z11" t="str">
            <v>%</v>
          </cell>
          <cell r="AA11"/>
          <cell r="AB11" t="str">
            <v>Proyectado</v>
          </cell>
          <cell r="AC11" t="str">
            <v>Unidades</v>
          </cell>
          <cell r="AD11" t="str">
            <v>%</v>
          </cell>
          <cell r="AE11"/>
          <cell r="AF11" t="str">
            <v>Fecha</v>
          </cell>
          <cell r="AG11" t="str">
            <v>Anteriores</v>
          </cell>
          <cell r="AH11" t="str">
            <v>Real</v>
          </cell>
          <cell r="AI11" t="str">
            <v>Unidades</v>
          </cell>
          <cell r="AJ11" t="str">
            <v>%</v>
          </cell>
        </row>
        <row r="12">
          <cell r="D12">
            <v>39083</v>
          </cell>
          <cell r="E12">
            <v>2.0366598778004071E-3</v>
          </cell>
          <cell r="F12" t="str">
            <v>g</v>
          </cell>
          <cell r="G12" t="str">
            <v>c</v>
          </cell>
          <cell r="H12" t="str">
            <v>c</v>
          </cell>
          <cell r="I12">
            <v>8.0000000000000002E-3</v>
          </cell>
          <cell r="J12">
            <v>5.0000000000000001E-3</v>
          </cell>
          <cell r="K12"/>
          <cell r="L12" t="str">
            <v/>
          </cell>
          <cell r="M12" t="str">
            <v/>
          </cell>
          <cell r="N12" t="str">
            <v/>
          </cell>
          <cell r="O12">
            <v>7.0000000000000007E-2</v>
          </cell>
          <cell r="P12">
            <v>0.06</v>
          </cell>
          <cell r="Q12"/>
          <cell r="R12"/>
          <cell r="S12"/>
          <cell r="T12"/>
          <cell r="U12"/>
          <cell r="V12">
            <v>39083</v>
          </cell>
          <cell r="W12"/>
          <cell r="X12">
            <v>2.0366598778004071E-3</v>
          </cell>
          <cell r="Y12"/>
          <cell r="Z12"/>
          <cell r="AA12"/>
          <cell r="AB12">
            <v>0</v>
          </cell>
          <cell r="AC12" t="str">
            <v/>
          </cell>
          <cell r="AD12" t="str">
            <v/>
          </cell>
          <cell r="AE12" t="str">
            <v/>
          </cell>
          <cell r="AF12">
            <v>39083</v>
          </cell>
          <cell r="AG12"/>
          <cell r="AH12"/>
          <cell r="AI12" t="str">
            <v/>
          </cell>
          <cell r="AJ12"/>
        </row>
        <row r="13">
          <cell r="D13">
            <v>39114</v>
          </cell>
          <cell r="E13">
            <v>7.9601990049751239E-3</v>
          </cell>
          <cell r="F13" t="str">
            <v>c</v>
          </cell>
          <cell r="G13" t="str">
            <v>g</v>
          </cell>
          <cell r="H13" t="str">
            <v>c</v>
          </cell>
          <cell r="I13">
            <v>8.0000000000000002E-3</v>
          </cell>
          <cell r="J13">
            <v>5.0000000000000001E-3</v>
          </cell>
          <cell r="K13"/>
          <cell r="L13" t="str">
            <v/>
          </cell>
          <cell r="M13" t="str">
            <v/>
          </cell>
          <cell r="N13" t="str">
            <v/>
          </cell>
          <cell r="O13">
            <v>7.0000000000000007E-2</v>
          </cell>
          <cell r="P13">
            <v>0.06</v>
          </cell>
          <cell r="Q13"/>
          <cell r="R13"/>
          <cell r="S13"/>
          <cell r="T13"/>
          <cell r="U13"/>
          <cell r="V13">
            <v>39114</v>
          </cell>
          <cell r="W13"/>
          <cell r="X13">
            <v>7.9601990049751239E-3</v>
          </cell>
          <cell r="Y13"/>
          <cell r="Z13"/>
          <cell r="AA13"/>
          <cell r="AB13">
            <v>0</v>
          </cell>
          <cell r="AC13" t="str">
            <v/>
          </cell>
          <cell r="AD13" t="str">
            <v/>
          </cell>
          <cell r="AE13" t="str">
            <v/>
          </cell>
          <cell r="AF13">
            <v>39114</v>
          </cell>
          <cell r="AG13"/>
          <cell r="AH13"/>
          <cell r="AI13" t="str">
            <v/>
          </cell>
          <cell r="AJ13"/>
        </row>
        <row r="14">
          <cell r="D14">
            <v>39142</v>
          </cell>
          <cell r="E14">
            <v>1.9672131147540984E-3</v>
          </cell>
          <cell r="F14" t="str">
            <v>g</v>
          </cell>
          <cell r="G14" t="str">
            <v>c</v>
          </cell>
          <cell r="H14" t="str">
            <v>c</v>
          </cell>
          <cell r="I14">
            <v>8.0000000000000002E-3</v>
          </cell>
          <cell r="J14">
            <v>5.0000000000000001E-3</v>
          </cell>
          <cell r="K14"/>
          <cell r="L14" t="str">
            <v/>
          </cell>
          <cell r="M14" t="str">
            <v/>
          </cell>
          <cell r="N14" t="str">
            <v/>
          </cell>
          <cell r="O14">
            <v>7.0000000000000007E-2</v>
          </cell>
          <cell r="P14">
            <v>0.06</v>
          </cell>
          <cell r="Q14"/>
          <cell r="R14"/>
          <cell r="S14"/>
          <cell r="T14"/>
          <cell r="U14"/>
          <cell r="V14">
            <v>39142</v>
          </cell>
          <cell r="W14"/>
          <cell r="X14">
            <v>1.9672131147540984E-3</v>
          </cell>
          <cell r="Y14"/>
          <cell r="Z14"/>
          <cell r="AA14"/>
          <cell r="AB14">
            <v>0</v>
          </cell>
          <cell r="AC14" t="str">
            <v/>
          </cell>
          <cell r="AD14" t="str">
            <v/>
          </cell>
          <cell r="AE14" t="str">
            <v/>
          </cell>
          <cell r="AF14">
            <v>39142</v>
          </cell>
          <cell r="AG14"/>
          <cell r="AH14"/>
          <cell r="AI14" t="str">
            <v/>
          </cell>
          <cell r="AJ14"/>
        </row>
        <row r="15">
          <cell r="D15">
            <v>39173</v>
          </cell>
          <cell r="E15">
            <v>9.7323600973236012E-3</v>
          </cell>
          <cell r="F15" t="str">
            <v>c</v>
          </cell>
          <cell r="G15" t="str">
            <v>c</v>
          </cell>
          <cell r="H15" t="str">
            <v>g</v>
          </cell>
          <cell r="I15">
            <v>8.0000000000000002E-3</v>
          </cell>
          <cell r="J15">
            <v>5.0000000000000001E-3</v>
          </cell>
          <cell r="K15"/>
          <cell r="L15" t="str">
            <v/>
          </cell>
          <cell r="M15" t="str">
            <v/>
          </cell>
          <cell r="N15" t="str">
            <v/>
          </cell>
          <cell r="O15">
            <v>7.0000000000000007E-2</v>
          </cell>
          <cell r="P15">
            <v>0.06</v>
          </cell>
          <cell r="Q15"/>
          <cell r="R15"/>
          <cell r="S15"/>
          <cell r="T15"/>
          <cell r="U15"/>
          <cell r="V15">
            <v>39173</v>
          </cell>
          <cell r="W15"/>
          <cell r="X15">
            <v>9.7323600973236012E-3</v>
          </cell>
          <cell r="Y15"/>
          <cell r="Z15"/>
          <cell r="AA15"/>
          <cell r="AB15">
            <v>0</v>
          </cell>
          <cell r="AC15" t="str">
            <v/>
          </cell>
          <cell r="AD15" t="str">
            <v/>
          </cell>
          <cell r="AE15" t="str">
            <v/>
          </cell>
          <cell r="AF15">
            <v>39173</v>
          </cell>
          <cell r="AG15"/>
          <cell r="AH15"/>
          <cell r="AI15" t="str">
            <v/>
          </cell>
          <cell r="AJ15"/>
        </row>
        <row r="16">
          <cell r="D16">
            <v>39203</v>
          </cell>
          <cell r="E16">
            <v>5.798221878623889E-3</v>
          </cell>
          <cell r="F16" t="str">
            <v>c</v>
          </cell>
          <cell r="G16" t="str">
            <v>g</v>
          </cell>
          <cell r="H16" t="str">
            <v>c</v>
          </cell>
          <cell r="I16">
            <v>8.0000000000000002E-3</v>
          </cell>
          <cell r="J16">
            <v>5.0000000000000001E-3</v>
          </cell>
          <cell r="K16"/>
          <cell r="L16" t="str">
            <v/>
          </cell>
          <cell r="M16" t="str">
            <v/>
          </cell>
          <cell r="N16" t="str">
            <v/>
          </cell>
          <cell r="O16">
            <v>7.0000000000000007E-2</v>
          </cell>
          <cell r="P16">
            <v>0.06</v>
          </cell>
          <cell r="Q16"/>
          <cell r="R16"/>
          <cell r="S16"/>
          <cell r="T16"/>
          <cell r="U16"/>
          <cell r="V16">
            <v>39203</v>
          </cell>
          <cell r="W16"/>
          <cell r="X16">
            <v>5.798221878623889E-3</v>
          </cell>
          <cell r="Y16"/>
          <cell r="Z16"/>
          <cell r="AA16"/>
          <cell r="AB16">
            <v>0</v>
          </cell>
          <cell r="AC16" t="str">
            <v/>
          </cell>
          <cell r="AD16" t="str">
            <v/>
          </cell>
          <cell r="AE16" t="str">
            <v/>
          </cell>
          <cell r="AF16">
            <v>39203</v>
          </cell>
          <cell r="AG16"/>
          <cell r="AH16"/>
          <cell r="AI16" t="str">
            <v/>
          </cell>
          <cell r="AJ16"/>
        </row>
        <row r="17">
          <cell r="D17">
            <v>39234</v>
          </cell>
          <cell r="E17">
            <v>7.6287349014621739E-3</v>
          </cell>
          <cell r="F17" t="str">
            <v>c</v>
          </cell>
          <cell r="G17" t="str">
            <v>g</v>
          </cell>
          <cell r="H17" t="str">
            <v>c</v>
          </cell>
          <cell r="I17">
            <v>8.0000000000000002E-3</v>
          </cell>
          <cell r="J17">
            <v>5.0000000000000001E-3</v>
          </cell>
          <cell r="K17"/>
          <cell r="L17" t="str">
            <v/>
          </cell>
          <cell r="M17" t="str">
            <v/>
          </cell>
          <cell r="N17" t="str">
            <v/>
          </cell>
          <cell r="O17">
            <v>7.0000000000000007E-2</v>
          </cell>
          <cell r="P17">
            <v>0.06</v>
          </cell>
          <cell r="Q17"/>
          <cell r="R17"/>
          <cell r="S17"/>
          <cell r="T17"/>
          <cell r="U17"/>
          <cell r="V17">
            <v>39234</v>
          </cell>
          <cell r="W17"/>
          <cell r="X17">
            <v>7.6287349014621739E-3</v>
          </cell>
          <cell r="Y17"/>
          <cell r="Z17"/>
          <cell r="AA17"/>
          <cell r="AB17">
            <v>0</v>
          </cell>
          <cell r="AC17" t="str">
            <v/>
          </cell>
          <cell r="AD17" t="str">
            <v/>
          </cell>
          <cell r="AE17" t="str">
            <v/>
          </cell>
          <cell r="AF17">
            <v>39234</v>
          </cell>
          <cell r="AG17"/>
          <cell r="AH17"/>
          <cell r="AI17" t="str">
            <v/>
          </cell>
          <cell r="AJ17"/>
        </row>
        <row r="18">
          <cell r="D18">
            <v>39264</v>
          </cell>
          <cell r="E18">
            <v>0</v>
          </cell>
          <cell r="F18" t="str">
            <v>g</v>
          </cell>
          <cell r="G18" t="str">
            <v>c</v>
          </cell>
          <cell r="H18" t="str">
            <v>c</v>
          </cell>
          <cell r="I18">
            <v>8.0000000000000002E-3</v>
          </cell>
          <cell r="J18">
            <v>5.0000000000000001E-3</v>
          </cell>
          <cell r="K18"/>
          <cell r="L18" t="str">
            <v/>
          </cell>
          <cell r="M18" t="str">
            <v/>
          </cell>
          <cell r="N18" t="str">
            <v/>
          </cell>
          <cell r="O18">
            <v>7.0000000000000007E-2</v>
          </cell>
          <cell r="P18">
            <v>0.06</v>
          </cell>
          <cell r="Q18"/>
          <cell r="R18"/>
          <cell r="S18"/>
          <cell r="T18"/>
          <cell r="U18"/>
          <cell r="V18">
            <v>39264</v>
          </cell>
          <cell r="W18"/>
          <cell r="X18">
            <v>0</v>
          </cell>
          <cell r="Y18"/>
          <cell r="Z18"/>
          <cell r="AA18"/>
          <cell r="AB18">
            <v>0</v>
          </cell>
          <cell r="AC18" t="str">
            <v/>
          </cell>
          <cell r="AD18" t="str">
            <v/>
          </cell>
          <cell r="AE18" t="str">
            <v/>
          </cell>
          <cell r="AF18">
            <v>39264</v>
          </cell>
          <cell r="AG18"/>
          <cell r="AH18"/>
          <cell r="AI18" t="str">
            <v/>
          </cell>
          <cell r="AJ18"/>
        </row>
        <row r="19">
          <cell r="D19">
            <v>39295</v>
          </cell>
          <cell r="E19">
            <v>7.4557315936626279E-3</v>
          </cell>
          <cell r="F19" t="str">
            <v>c</v>
          </cell>
          <cell r="G19" t="str">
            <v>g</v>
          </cell>
          <cell r="H19" t="str">
            <v>c</v>
          </cell>
          <cell r="I19">
            <v>8.0000000000000002E-3</v>
          </cell>
          <cell r="J19">
            <v>5.0000000000000001E-3</v>
          </cell>
          <cell r="K19"/>
          <cell r="L19" t="str">
            <v/>
          </cell>
          <cell r="M19" t="str">
            <v/>
          </cell>
          <cell r="N19" t="str">
            <v/>
          </cell>
          <cell r="O19">
            <v>7.0000000000000007E-2</v>
          </cell>
          <cell r="P19">
            <v>0.06</v>
          </cell>
          <cell r="Q19"/>
          <cell r="R19"/>
          <cell r="S19"/>
          <cell r="T19"/>
          <cell r="U19"/>
          <cell r="V19">
            <v>39295</v>
          </cell>
          <cell r="W19"/>
          <cell r="X19">
            <v>7.4557315936626279E-3</v>
          </cell>
          <cell r="Y19"/>
          <cell r="Z19"/>
          <cell r="AA19"/>
          <cell r="AB19">
            <v>0</v>
          </cell>
          <cell r="AC19" t="str">
            <v/>
          </cell>
          <cell r="AD19" t="str">
            <v/>
          </cell>
          <cell r="AE19" t="str">
            <v/>
          </cell>
          <cell r="AF19">
            <v>39295</v>
          </cell>
          <cell r="AG19"/>
          <cell r="AH19"/>
          <cell r="AI19" t="str">
            <v/>
          </cell>
          <cell r="AJ19" t="str">
            <v/>
          </cell>
        </row>
        <row r="20">
          <cell r="D20">
            <v>39326</v>
          </cell>
          <cell r="E20">
            <v>9.2726148773954256E-3</v>
          </cell>
          <cell r="F20" t="str">
            <v>c</v>
          </cell>
          <cell r="G20" t="str">
            <v>c</v>
          </cell>
          <cell r="H20" t="str">
            <v>g</v>
          </cell>
          <cell r="I20">
            <v>8.0000000000000002E-3</v>
          </cell>
          <cell r="J20">
            <v>5.0000000000000001E-3</v>
          </cell>
          <cell r="K20"/>
          <cell r="L20" t="str">
            <v/>
          </cell>
          <cell r="M20" t="str">
            <v/>
          </cell>
          <cell r="N20" t="str">
            <v/>
          </cell>
          <cell r="O20">
            <v>7.0000000000000007E-2</v>
          </cell>
          <cell r="P20">
            <v>0.06</v>
          </cell>
          <cell r="Q20"/>
          <cell r="R20"/>
          <cell r="S20"/>
          <cell r="T20"/>
          <cell r="U20"/>
          <cell r="V20">
            <v>39326</v>
          </cell>
          <cell r="W20"/>
          <cell r="X20">
            <v>9.2726148773954256E-3</v>
          </cell>
          <cell r="Y20"/>
          <cell r="Z20"/>
          <cell r="AA20"/>
          <cell r="AB20">
            <v>0</v>
          </cell>
          <cell r="AC20" t="str">
            <v/>
          </cell>
          <cell r="AD20" t="str">
            <v/>
          </cell>
          <cell r="AE20" t="str">
            <v/>
          </cell>
          <cell r="AF20">
            <v>39326</v>
          </cell>
          <cell r="AG20"/>
          <cell r="AH20"/>
          <cell r="AI20" t="str">
            <v/>
          </cell>
          <cell r="AJ20" t="str">
            <v/>
          </cell>
        </row>
        <row r="21">
          <cell r="D21">
            <v>39356</v>
          </cell>
          <cell r="E21">
            <v>7.3868882733148658E-3</v>
          </cell>
          <cell r="F21" t="str">
            <v>c</v>
          </cell>
          <cell r="G21" t="str">
            <v>g</v>
          </cell>
          <cell r="H21" t="str">
            <v>c</v>
          </cell>
          <cell r="I21">
            <v>8.0000000000000002E-3</v>
          </cell>
          <cell r="J21">
            <v>5.0000000000000001E-3</v>
          </cell>
          <cell r="K21"/>
          <cell r="L21" t="str">
            <v/>
          </cell>
          <cell r="M21" t="str">
            <v/>
          </cell>
          <cell r="N21" t="str">
            <v/>
          </cell>
          <cell r="O21">
            <v>7.0000000000000007E-2</v>
          </cell>
          <cell r="P21">
            <v>0.06</v>
          </cell>
          <cell r="Q21"/>
          <cell r="R21"/>
          <cell r="S21"/>
          <cell r="T21"/>
          <cell r="U21"/>
          <cell r="V21">
            <v>39356</v>
          </cell>
          <cell r="W21"/>
          <cell r="X21">
            <v>7.3868882733148658E-3</v>
          </cell>
          <cell r="Y21"/>
          <cell r="Z21"/>
          <cell r="AA21"/>
          <cell r="AB21">
            <v>0</v>
          </cell>
          <cell r="AC21" t="str">
            <v/>
          </cell>
          <cell r="AD21" t="str">
            <v/>
          </cell>
          <cell r="AE21" t="str">
            <v/>
          </cell>
          <cell r="AF21">
            <v>39356</v>
          </cell>
          <cell r="AG21"/>
          <cell r="AH21"/>
          <cell r="AI21" t="str">
            <v/>
          </cell>
          <cell r="AJ21" t="str">
            <v/>
          </cell>
        </row>
        <row r="22">
          <cell r="D22">
            <v>39387</v>
          </cell>
          <cell r="E22">
            <v>1.8410041841004185E-3</v>
          </cell>
          <cell r="F22" t="str">
            <v>g</v>
          </cell>
          <cell r="G22" t="str">
            <v>c</v>
          </cell>
          <cell r="H22" t="str">
            <v>c</v>
          </cell>
          <cell r="I22">
            <v>8.0000000000000002E-3</v>
          </cell>
          <cell r="J22">
            <v>5.0000000000000001E-3</v>
          </cell>
          <cell r="K22"/>
          <cell r="L22" t="str">
            <v/>
          </cell>
          <cell r="M22" t="str">
            <v/>
          </cell>
          <cell r="N22" t="str">
            <v/>
          </cell>
          <cell r="O22">
            <v>7.0000000000000007E-2</v>
          </cell>
          <cell r="P22">
            <v>0.06</v>
          </cell>
          <cell r="Q22"/>
          <cell r="R22"/>
          <cell r="S22"/>
          <cell r="T22"/>
          <cell r="U22"/>
          <cell r="V22">
            <v>39387</v>
          </cell>
          <cell r="W22"/>
          <cell r="X22">
            <v>1.8410041841004185E-3</v>
          </cell>
          <cell r="Y22"/>
          <cell r="Z22"/>
          <cell r="AA22"/>
          <cell r="AB22">
            <v>0</v>
          </cell>
          <cell r="AC22" t="str">
            <v/>
          </cell>
          <cell r="AD22" t="str">
            <v/>
          </cell>
          <cell r="AE22" t="str">
            <v/>
          </cell>
          <cell r="AF22">
            <v>39387</v>
          </cell>
          <cell r="AG22"/>
          <cell r="AH22"/>
          <cell r="AI22" t="str">
            <v/>
          </cell>
          <cell r="AJ22" t="str">
            <v/>
          </cell>
        </row>
        <row r="23">
          <cell r="D23">
            <v>39417</v>
          </cell>
          <cell r="E23">
            <v>3.6708473539308656E-3</v>
          </cell>
          <cell r="F23" t="str">
            <v>g</v>
          </cell>
          <cell r="G23" t="str">
            <v>c</v>
          </cell>
          <cell r="H23" t="str">
            <v>c</v>
          </cell>
          <cell r="I23">
            <v>8.0000000000000002E-3</v>
          </cell>
          <cell r="J23">
            <v>5.0000000000000001E-3</v>
          </cell>
          <cell r="K23">
            <v>6.2404405016824711E-2</v>
          </cell>
          <cell r="L23" t="str">
            <v>c</v>
          </cell>
          <cell r="M23" t="str">
            <v>g</v>
          </cell>
          <cell r="N23" t="str">
            <v>c</v>
          </cell>
          <cell r="O23">
            <v>7.0000000000000007E-2</v>
          </cell>
          <cell r="P23">
            <v>0.06</v>
          </cell>
          <cell r="Q23"/>
          <cell r="R23"/>
          <cell r="S23"/>
          <cell r="T23"/>
          <cell r="U23"/>
          <cell r="V23">
            <v>39417</v>
          </cell>
          <cell r="W23"/>
          <cell r="X23">
            <v>3.6708473539308656E-3</v>
          </cell>
          <cell r="Y23">
            <v>3.6708473539308656E-3</v>
          </cell>
          <cell r="Z23"/>
          <cell r="AA23"/>
          <cell r="AB23">
            <v>0</v>
          </cell>
          <cell r="AC23" t="str">
            <v/>
          </cell>
          <cell r="AD23" t="str">
            <v/>
          </cell>
          <cell r="AE23" t="str">
            <v/>
          </cell>
          <cell r="AF23">
            <v>39417</v>
          </cell>
          <cell r="AG23"/>
          <cell r="AH23">
            <v>6.2404405016824711E-2</v>
          </cell>
          <cell r="AI23">
            <v>6.2404405016824711E-2</v>
          </cell>
          <cell r="AJ23" t="str">
            <v/>
          </cell>
        </row>
        <row r="24">
          <cell r="D24">
            <v>39448</v>
          </cell>
          <cell r="E24">
            <v>1.0221465076660987E-2</v>
          </cell>
          <cell r="F24" t="str">
            <v>c</v>
          </cell>
          <cell r="G24" t="str">
            <v>c</v>
          </cell>
          <cell r="H24" t="str">
            <v>g</v>
          </cell>
          <cell r="I24">
            <v>8.0000000000000002E-3</v>
          </cell>
          <cell r="J24">
            <v>5.0000000000000001E-3</v>
          </cell>
          <cell r="K24">
            <v>6.6439522998296419E-2</v>
          </cell>
          <cell r="L24" t="str">
            <v>c</v>
          </cell>
          <cell r="M24" t="str">
            <v>g</v>
          </cell>
          <cell r="N24" t="str">
            <v>c</v>
          </cell>
          <cell r="O24">
            <v>7.0000000000000007E-2</v>
          </cell>
          <cell r="P24">
            <v>0.06</v>
          </cell>
          <cell r="Q24"/>
          <cell r="R24"/>
          <cell r="S24"/>
          <cell r="T24"/>
          <cell r="U24"/>
          <cell r="V24">
            <v>39448</v>
          </cell>
          <cell r="W24">
            <v>2.0366598778004071E-3</v>
          </cell>
          <cell r="X24">
            <v>1.0221465076660987E-2</v>
          </cell>
          <cell r="Y24">
            <v>8.1848051988605806E-3</v>
          </cell>
          <cell r="Z24">
            <v>4.0187393526405453</v>
          </cell>
          <cell r="AA24"/>
          <cell r="AB24">
            <v>0</v>
          </cell>
          <cell r="AC24" t="str">
            <v/>
          </cell>
          <cell r="AD24" t="str">
            <v/>
          </cell>
          <cell r="AE24" t="str">
            <v/>
          </cell>
          <cell r="AF24">
            <v>39448</v>
          </cell>
          <cell r="AG24"/>
          <cell r="AH24">
            <v>6.6439522998296419E-2</v>
          </cell>
          <cell r="AI24">
            <v>6.6439522998296419E-2</v>
          </cell>
          <cell r="AJ24"/>
        </row>
        <row r="25">
          <cell r="D25">
            <v>39479</v>
          </cell>
          <cell r="E25">
            <v>8.4817642069550461E-3</v>
          </cell>
          <cell r="F25" t="str">
            <v>c</v>
          </cell>
          <cell r="G25" t="str">
            <v>c</v>
          </cell>
          <cell r="H25" t="str">
            <v>g</v>
          </cell>
          <cell r="I25">
            <v>8.0000000000000002E-3</v>
          </cell>
          <cell r="J25">
            <v>5.0000000000000001E-3</v>
          </cell>
          <cell r="K25">
            <v>6.7854113655640369E-2</v>
          </cell>
          <cell r="L25" t="str">
            <v>c</v>
          </cell>
          <cell r="M25" t="str">
            <v>g</v>
          </cell>
          <cell r="N25" t="str">
            <v>c</v>
          </cell>
          <cell r="O25">
            <v>7.0000000000000007E-2</v>
          </cell>
          <cell r="P25">
            <v>0.06</v>
          </cell>
          <cell r="Q25"/>
          <cell r="R25"/>
          <cell r="S25"/>
          <cell r="T25"/>
          <cell r="U25"/>
          <cell r="V25">
            <v>39479</v>
          </cell>
          <cell r="W25">
            <v>7.9601990049751239E-3</v>
          </cell>
          <cell r="X25">
            <v>8.4817642069550461E-3</v>
          </cell>
          <cell r="Y25">
            <v>5.2156520197992225E-4</v>
          </cell>
          <cell r="Z25">
            <v>6.5521628498727669E-2</v>
          </cell>
          <cell r="AA25"/>
          <cell r="AB25">
            <v>0</v>
          </cell>
          <cell r="AC25" t="str">
            <v/>
          </cell>
          <cell r="AD25" t="str">
            <v/>
          </cell>
          <cell r="AE25" t="str">
            <v/>
          </cell>
          <cell r="AF25">
            <v>39479</v>
          </cell>
          <cell r="AG25"/>
          <cell r="AH25">
            <v>6.7854113655640369E-2</v>
          </cell>
          <cell r="AI25">
            <v>6.7854113655640369E-2</v>
          </cell>
          <cell r="AJ25"/>
        </row>
        <row r="26">
          <cell r="D26">
            <v>39508</v>
          </cell>
          <cell r="E26">
            <v>3.3726812816188868E-3</v>
          </cell>
          <cell r="F26" t="str">
            <v>g</v>
          </cell>
          <cell r="G26" t="str">
            <v>c</v>
          </cell>
          <cell r="H26" t="str">
            <v>c</v>
          </cell>
          <cell r="I26">
            <v>8.0000000000000002E-3</v>
          </cell>
          <cell r="J26">
            <v>5.0000000000000001E-3</v>
          </cell>
          <cell r="K26">
            <v>6.9139966273187178E-2</v>
          </cell>
          <cell r="L26" t="str">
            <v>c</v>
          </cell>
          <cell r="M26" t="str">
            <v>g</v>
          </cell>
          <cell r="N26" t="str">
            <v>c</v>
          </cell>
          <cell r="O26">
            <v>7.0000000000000007E-2</v>
          </cell>
          <cell r="P26">
            <v>0.06</v>
          </cell>
          <cell r="Q26"/>
          <cell r="R26"/>
          <cell r="S26"/>
          <cell r="T26"/>
          <cell r="U26"/>
          <cell r="V26">
            <v>39508</v>
          </cell>
          <cell r="W26">
            <v>1.9672131147540984E-3</v>
          </cell>
          <cell r="X26">
            <v>3.3726812816188868E-3</v>
          </cell>
          <cell r="Y26">
            <v>1.4054681668647885E-3</v>
          </cell>
          <cell r="Z26">
            <v>0.71444631815626747</v>
          </cell>
          <cell r="AA26"/>
          <cell r="AB26">
            <v>0</v>
          </cell>
          <cell r="AC26" t="str">
            <v/>
          </cell>
          <cell r="AD26" t="str">
            <v/>
          </cell>
          <cell r="AE26" t="str">
            <v/>
          </cell>
          <cell r="AF26">
            <v>39508</v>
          </cell>
          <cell r="AG26"/>
          <cell r="AH26">
            <v>6.9139966273187178E-2</v>
          </cell>
          <cell r="AI26">
            <v>6.9139966273187178E-2</v>
          </cell>
          <cell r="AJ26"/>
        </row>
        <row r="27">
          <cell r="D27">
            <v>39539</v>
          </cell>
          <cell r="E27">
            <v>5.0335570469798654E-3</v>
          </cell>
          <cell r="F27" t="str">
            <v>c</v>
          </cell>
          <cell r="G27" t="str">
            <v>g</v>
          </cell>
          <cell r="H27" t="str">
            <v>c</v>
          </cell>
          <cell r="I27">
            <v>8.0000000000000002E-3</v>
          </cell>
          <cell r="J27">
            <v>5.0000000000000001E-3</v>
          </cell>
          <cell r="K27">
            <v>6.5436241610738258E-2</v>
          </cell>
          <cell r="L27" t="str">
            <v>c</v>
          </cell>
          <cell r="M27" t="str">
            <v>g</v>
          </cell>
          <cell r="N27" t="str">
            <v>c</v>
          </cell>
          <cell r="O27">
            <v>7.0000000000000007E-2</v>
          </cell>
          <cell r="P27">
            <v>0.06</v>
          </cell>
          <cell r="Q27"/>
          <cell r="R27"/>
          <cell r="S27"/>
          <cell r="T27"/>
          <cell r="U27"/>
          <cell r="V27">
            <v>39539</v>
          </cell>
          <cell r="W27">
            <v>9.7323600973236012E-3</v>
          </cell>
          <cell r="X27">
            <v>5.0335570469798654E-3</v>
          </cell>
          <cell r="Y27">
            <v>-4.6988030503437358E-3</v>
          </cell>
          <cell r="Z27">
            <v>-0.48280201342281881</v>
          </cell>
          <cell r="AA27"/>
          <cell r="AB27">
            <v>0</v>
          </cell>
          <cell r="AC27" t="str">
            <v/>
          </cell>
          <cell r="AD27" t="str">
            <v/>
          </cell>
          <cell r="AE27" t="str">
            <v/>
          </cell>
          <cell r="AF27">
            <v>39539</v>
          </cell>
          <cell r="AG27"/>
          <cell r="AH27">
            <v>6.5436241610738258E-2</v>
          </cell>
          <cell r="AI27">
            <v>6.5436241610738258E-2</v>
          </cell>
          <cell r="AJ27"/>
        </row>
        <row r="28">
          <cell r="D28">
            <v>39569</v>
          </cell>
          <cell r="E28">
            <v>0</v>
          </cell>
          <cell r="F28" t="str">
            <v>g</v>
          </cell>
          <cell r="G28" t="str">
            <v>c</v>
          </cell>
          <cell r="H28" t="str">
            <v>c</v>
          </cell>
          <cell r="I28">
            <v>8.0000000000000002E-3</v>
          </cell>
          <cell r="J28">
            <v>5.0000000000000001E-3</v>
          </cell>
          <cell r="K28">
            <v>6.0240963855421686E-2</v>
          </cell>
          <cell r="L28" t="str">
            <v>c</v>
          </cell>
          <cell r="M28" t="str">
            <v>g</v>
          </cell>
          <cell r="N28" t="str">
            <v>c</v>
          </cell>
          <cell r="O28">
            <v>7.0000000000000007E-2</v>
          </cell>
          <cell r="P28">
            <v>0.06</v>
          </cell>
          <cell r="Q28"/>
          <cell r="R28"/>
          <cell r="S28"/>
          <cell r="T28"/>
          <cell r="U28"/>
          <cell r="V28">
            <v>39569</v>
          </cell>
          <cell r="W28">
            <v>5.798221878623889E-3</v>
          </cell>
          <cell r="X28">
            <v>0</v>
          </cell>
          <cell r="Y28">
            <v>-5.798221878623889E-3</v>
          </cell>
          <cell r="Z28">
            <v>-1</v>
          </cell>
          <cell r="AA28"/>
          <cell r="AB28">
            <v>0</v>
          </cell>
          <cell r="AC28" t="str">
            <v/>
          </cell>
          <cell r="AD28" t="str">
            <v/>
          </cell>
          <cell r="AE28" t="str">
            <v/>
          </cell>
          <cell r="AF28">
            <v>39569</v>
          </cell>
          <cell r="AG28"/>
          <cell r="AH28">
            <v>6.0240963855421686E-2</v>
          </cell>
          <cell r="AI28">
            <v>6.0240963855421686E-2</v>
          </cell>
          <cell r="AJ28"/>
        </row>
        <row r="29">
          <cell r="D29">
            <v>39600</v>
          </cell>
          <cell r="E29">
            <v>5.0111358574610248E-3</v>
          </cell>
          <cell r="F29" t="str">
            <v>c</v>
          </cell>
          <cell r="G29" t="str">
            <v>g</v>
          </cell>
          <cell r="H29" t="str">
            <v>c</v>
          </cell>
          <cell r="I29">
            <v>8.0000000000000002E-3</v>
          </cell>
          <cell r="J29">
            <v>5.0000000000000001E-3</v>
          </cell>
          <cell r="K29">
            <v>5.8463251670378621E-2</v>
          </cell>
          <cell r="L29" t="str">
            <v>g</v>
          </cell>
          <cell r="M29" t="str">
            <v>c</v>
          </cell>
          <cell r="N29" t="str">
            <v>c</v>
          </cell>
          <cell r="O29">
            <v>7.0000000000000007E-2</v>
          </cell>
          <cell r="P29">
            <v>0.06</v>
          </cell>
          <cell r="Q29"/>
          <cell r="R29"/>
          <cell r="S29"/>
          <cell r="T29"/>
          <cell r="U29"/>
          <cell r="V29">
            <v>39600</v>
          </cell>
          <cell r="W29">
            <v>7.6287349014621739E-3</v>
          </cell>
          <cell r="X29">
            <v>5.0111358574610248E-3</v>
          </cell>
          <cell r="Y29">
            <v>-2.617599044001149E-3</v>
          </cell>
          <cell r="Z29">
            <v>-0.34312360801781727</v>
          </cell>
          <cell r="AA29"/>
          <cell r="AB29">
            <v>0</v>
          </cell>
          <cell r="AC29" t="str">
            <v/>
          </cell>
          <cell r="AD29" t="str">
            <v/>
          </cell>
          <cell r="AE29" t="str">
            <v/>
          </cell>
          <cell r="AF29">
            <v>39600</v>
          </cell>
          <cell r="AG29"/>
          <cell r="AH29">
            <v>5.8463251670378621E-2</v>
          </cell>
          <cell r="AI29">
            <v>5.8463251670378621E-2</v>
          </cell>
          <cell r="AJ29"/>
        </row>
        <row r="30">
          <cell r="D30">
            <v>39630</v>
          </cell>
          <cell r="E30">
            <v>5.0023820867079564E-3</v>
          </cell>
          <cell r="F30" t="str">
            <v>c</v>
          </cell>
          <cell r="G30" t="str">
            <v>g</v>
          </cell>
          <cell r="H30" t="str">
            <v>c</v>
          </cell>
          <cell r="I30">
            <v>8.0000000000000002E-3</v>
          </cell>
          <cell r="J30">
            <v>5.0000000000000001E-3</v>
          </cell>
          <cell r="K30">
            <v>6.3363506431634117E-2</v>
          </cell>
          <cell r="L30" t="str">
            <v>c</v>
          </cell>
          <cell r="M30" t="str">
            <v>g</v>
          </cell>
          <cell r="N30" t="str">
            <v>c</v>
          </cell>
          <cell r="O30">
            <v>7.0000000000000007E-2</v>
          </cell>
          <cell r="P30">
            <v>0.06</v>
          </cell>
          <cell r="Q30"/>
          <cell r="R30"/>
          <cell r="S30"/>
          <cell r="T30"/>
          <cell r="U30"/>
          <cell r="V30">
            <v>39630</v>
          </cell>
          <cell r="W30">
            <v>0</v>
          </cell>
          <cell r="X30">
            <v>5.0023820867079564E-3</v>
          </cell>
          <cell r="Y30">
            <v>5.0023820867079564E-3</v>
          </cell>
          <cell r="Z30" t="e">
            <v>#DIV/0!</v>
          </cell>
          <cell r="AA30"/>
          <cell r="AB30">
            <v>0</v>
          </cell>
          <cell r="AC30" t="str">
            <v/>
          </cell>
          <cell r="AD30" t="str">
            <v/>
          </cell>
          <cell r="AE30" t="str">
            <v/>
          </cell>
          <cell r="AF30">
            <v>39630</v>
          </cell>
          <cell r="AG30"/>
          <cell r="AH30">
            <v>6.3363506431634117E-2</v>
          </cell>
          <cell r="AI30">
            <v>6.3363506431634117E-2</v>
          </cell>
          <cell r="AJ30"/>
        </row>
        <row r="31">
          <cell r="D31">
            <v>39661</v>
          </cell>
          <cell r="E31">
            <v>1.6625103906899418E-3</v>
          </cell>
          <cell r="F31" t="str">
            <v>g</v>
          </cell>
          <cell r="G31" t="str">
            <v>c</v>
          </cell>
          <cell r="H31" t="str">
            <v>c</v>
          </cell>
          <cell r="I31">
            <v>8.0000000000000002E-3</v>
          </cell>
          <cell r="J31">
            <v>5.0000000000000001E-3</v>
          </cell>
          <cell r="K31">
            <v>5.8187863674147966E-2</v>
          </cell>
          <cell r="L31" t="str">
            <v>g</v>
          </cell>
          <cell r="M31" t="str">
            <v>c</v>
          </cell>
          <cell r="N31" t="str">
            <v>c</v>
          </cell>
          <cell r="O31">
            <v>7.0000000000000007E-2</v>
          </cell>
          <cell r="P31">
            <v>0.06</v>
          </cell>
          <cell r="Q31"/>
          <cell r="R31"/>
          <cell r="S31"/>
          <cell r="T31"/>
          <cell r="U31"/>
          <cell r="V31">
            <v>39661</v>
          </cell>
          <cell r="W31">
            <v>7.4557315936626279E-3</v>
          </cell>
          <cell r="X31">
            <v>1.6625103906899418E-3</v>
          </cell>
          <cell r="Y31">
            <v>-5.7932212029726858E-3</v>
          </cell>
          <cell r="Z31">
            <v>-0.77701579384871156</v>
          </cell>
          <cell r="AA31"/>
          <cell r="AB31">
            <v>0</v>
          </cell>
          <cell r="AC31" t="str">
            <v/>
          </cell>
          <cell r="AD31" t="str">
            <v/>
          </cell>
          <cell r="AE31" t="str">
            <v/>
          </cell>
          <cell r="AF31">
            <v>39661</v>
          </cell>
          <cell r="AG31"/>
          <cell r="AH31">
            <v>5.8187863674147966E-2</v>
          </cell>
          <cell r="AI31">
            <v>5.8187863674147966E-2</v>
          </cell>
          <cell r="AJ31"/>
        </row>
        <row r="32">
          <cell r="D32">
            <v>39692</v>
          </cell>
          <cell r="E32">
            <v>8.3056478405315621E-3</v>
          </cell>
          <cell r="F32" t="str">
            <v>c</v>
          </cell>
          <cell r="G32" t="str">
            <v>c</v>
          </cell>
          <cell r="H32" t="str">
            <v>g</v>
          </cell>
          <cell r="I32">
            <v>8.0000000000000002E-3</v>
          </cell>
          <cell r="J32">
            <v>5.0000000000000001E-3</v>
          </cell>
          <cell r="K32">
            <v>5.8139534883720929E-2</v>
          </cell>
          <cell r="L32" t="str">
            <v>g</v>
          </cell>
          <cell r="M32" t="str">
            <v>c</v>
          </cell>
          <cell r="N32" t="str">
            <v>c</v>
          </cell>
          <cell r="O32">
            <v>7.0000000000000007E-2</v>
          </cell>
          <cell r="P32">
            <v>0.06</v>
          </cell>
          <cell r="Q32"/>
          <cell r="R32"/>
          <cell r="S32"/>
          <cell r="T32"/>
          <cell r="U32"/>
          <cell r="V32">
            <v>39692</v>
          </cell>
          <cell r="W32">
            <v>9.2726148773954256E-3</v>
          </cell>
          <cell r="X32">
            <v>8.3056478405315621E-3</v>
          </cell>
          <cell r="Y32">
            <v>-9.6696703686386352E-4</v>
          </cell>
          <cell r="Z32">
            <v>-0.10428202288667399</v>
          </cell>
          <cell r="AA32"/>
          <cell r="AB32">
            <v>0</v>
          </cell>
          <cell r="AC32" t="str">
            <v/>
          </cell>
          <cell r="AD32" t="str">
            <v/>
          </cell>
          <cell r="AE32" t="str">
            <v/>
          </cell>
          <cell r="AF32">
            <v>39692</v>
          </cell>
          <cell r="AG32"/>
          <cell r="AH32">
            <v>5.8139534883720929E-2</v>
          </cell>
          <cell r="AI32"/>
          <cell r="AJ32"/>
        </row>
        <row r="33">
          <cell r="D33">
            <v>39722</v>
          </cell>
          <cell r="E33">
            <v>1.6578249336870025E-3</v>
          </cell>
          <cell r="F33" t="str">
            <v>g</v>
          </cell>
          <cell r="G33" t="str">
            <v>c</v>
          </cell>
          <cell r="H33" t="str">
            <v>c</v>
          </cell>
          <cell r="I33">
            <v>8.0000000000000002E-3</v>
          </cell>
          <cell r="J33">
            <v>5.0000000000000001E-3</v>
          </cell>
          <cell r="K33">
            <v>5.305039787798408E-2</v>
          </cell>
          <cell r="L33" t="str">
            <v>g</v>
          </cell>
          <cell r="M33" t="str">
            <v>c</v>
          </cell>
          <cell r="N33" t="str">
            <v>c</v>
          </cell>
          <cell r="O33">
            <v>7.0000000000000007E-2</v>
          </cell>
          <cell r="P33">
            <v>0.06</v>
          </cell>
          <cell r="Q33"/>
          <cell r="R33"/>
          <cell r="S33"/>
          <cell r="T33"/>
          <cell r="U33"/>
          <cell r="V33">
            <v>39722</v>
          </cell>
          <cell r="W33">
            <v>7.3868882733148658E-3</v>
          </cell>
          <cell r="X33">
            <v>1.6578249336870025E-3</v>
          </cell>
          <cell r="Y33">
            <v>-5.7290633396278635E-3</v>
          </cell>
          <cell r="Z33">
            <v>-0.77557194960212206</v>
          </cell>
          <cell r="AA33"/>
          <cell r="AB33">
            <v>0</v>
          </cell>
          <cell r="AC33" t="str">
            <v/>
          </cell>
          <cell r="AD33" t="str">
            <v/>
          </cell>
          <cell r="AE33" t="str">
            <v/>
          </cell>
          <cell r="AF33">
            <v>39722</v>
          </cell>
          <cell r="AG33"/>
          <cell r="AH33">
            <v>5.305039787798408E-2</v>
          </cell>
          <cell r="AI33"/>
          <cell r="AJ33"/>
        </row>
        <row r="34">
          <cell r="D34">
            <v>39753</v>
          </cell>
          <cell r="E34">
            <v>3.3097638032194977E-3</v>
          </cell>
          <cell r="F34" t="str">
            <v>g</v>
          </cell>
          <cell r="G34" t="str">
            <v>c</v>
          </cell>
          <cell r="H34" t="str">
            <v>c</v>
          </cell>
          <cell r="I34">
            <v>8.0000000000000002E-3</v>
          </cell>
          <cell r="J34">
            <v>5.0000000000000001E-3</v>
          </cell>
          <cell r="K34">
            <v>5.4611102753121712E-2</v>
          </cell>
          <cell r="L34" t="str">
            <v>g</v>
          </cell>
          <cell r="M34" t="str">
            <v>c</v>
          </cell>
          <cell r="N34" t="str">
            <v>c</v>
          </cell>
          <cell r="O34">
            <v>7.0000000000000007E-2</v>
          </cell>
          <cell r="P34">
            <v>0.06</v>
          </cell>
          <cell r="Q34"/>
          <cell r="R34"/>
          <cell r="S34"/>
          <cell r="T34"/>
          <cell r="U34"/>
          <cell r="V34">
            <v>39753</v>
          </cell>
          <cell r="W34">
            <v>1.8410041841004185E-3</v>
          </cell>
          <cell r="X34">
            <v>3.3097638032194977E-3</v>
          </cell>
          <cell r="Y34">
            <v>1.4687596191190792E-3</v>
          </cell>
          <cell r="Z34">
            <v>0.79780352038513613</v>
          </cell>
          <cell r="AA34"/>
          <cell r="AB34">
            <v>0</v>
          </cell>
          <cell r="AC34" t="str">
            <v/>
          </cell>
          <cell r="AD34" t="str">
            <v/>
          </cell>
          <cell r="AE34" t="str">
            <v/>
          </cell>
          <cell r="AF34">
            <v>39753</v>
          </cell>
          <cell r="AG34"/>
          <cell r="AH34">
            <v>5.4611102753121712E-2</v>
          </cell>
          <cell r="AI34"/>
          <cell r="AJ34"/>
        </row>
        <row r="35">
          <cell r="D35">
            <v>39783</v>
          </cell>
          <cell r="E35">
            <v>1.6889514426460237E-3</v>
          </cell>
          <cell r="F35" t="str">
            <v>g</v>
          </cell>
          <cell r="G35" t="str">
            <v>c</v>
          </cell>
          <cell r="H35" t="str">
            <v>c</v>
          </cell>
          <cell r="I35">
            <v>8.0000000000000002E-3</v>
          </cell>
          <cell r="J35">
            <v>5.0000000000000001E-3</v>
          </cell>
          <cell r="K35">
            <v>5.404644616467276E-2</v>
          </cell>
          <cell r="L35" t="str">
            <v>g</v>
          </cell>
          <cell r="M35" t="str">
            <v>c</v>
          </cell>
          <cell r="N35" t="str">
            <v>c</v>
          </cell>
          <cell r="O35">
            <v>7.0000000000000007E-2</v>
          </cell>
          <cell r="P35">
            <v>0.06</v>
          </cell>
          <cell r="Q35"/>
          <cell r="R35"/>
          <cell r="S35"/>
          <cell r="T35"/>
          <cell r="U35"/>
          <cell r="V35">
            <v>39783</v>
          </cell>
          <cell r="W35">
            <v>3.6708473539308656E-3</v>
          </cell>
          <cell r="X35">
            <v>1.6889514426460237E-3</v>
          </cell>
          <cell r="Y35">
            <v>-1.9818959112848419E-3</v>
          </cell>
          <cell r="Z35">
            <v>-0.53990147783251241</v>
          </cell>
          <cell r="AA35"/>
          <cell r="AB35">
            <v>0</v>
          </cell>
          <cell r="AC35" t="str">
            <v/>
          </cell>
          <cell r="AD35" t="str">
            <v/>
          </cell>
          <cell r="AE35" t="str">
            <v/>
          </cell>
          <cell r="AF35">
            <v>39783</v>
          </cell>
          <cell r="AG35">
            <v>6.2404405016824711E-2</v>
          </cell>
          <cell r="AH35">
            <v>5.404644616467276E-2</v>
          </cell>
          <cell r="AI35"/>
          <cell r="AJ35">
            <v>-0.13393219356708197</v>
          </cell>
        </row>
        <row r="36">
          <cell r="D36">
            <v>39814</v>
          </cell>
          <cell r="E36" t="str">
            <v/>
          </cell>
          <cell r="F36"/>
          <cell r="G36"/>
          <cell r="H36"/>
          <cell r="I36">
            <v>8.0000000000000002E-3</v>
          </cell>
          <cell r="J36">
            <v>5.0000000000000001E-3</v>
          </cell>
          <cell r="K36" t="str">
            <v/>
          </cell>
          <cell r="L36"/>
          <cell r="M36"/>
          <cell r="N36"/>
          <cell r="O36">
            <v>7.0000000000000007E-2</v>
          </cell>
          <cell r="P36">
            <v>0.06</v>
          </cell>
          <cell r="Q36"/>
          <cell r="R36"/>
          <cell r="S36"/>
          <cell r="T36"/>
          <cell r="U36"/>
          <cell r="V36">
            <v>39814</v>
          </cell>
          <cell r="W36">
            <v>1.0221465076660987E-2</v>
          </cell>
          <cell r="X36" t="str">
            <v/>
          </cell>
          <cell r="Y36" t="str">
            <v/>
          </cell>
          <cell r="Z36" t="str">
            <v/>
          </cell>
          <cell r="AA36"/>
          <cell r="AB36">
            <v>0</v>
          </cell>
          <cell r="AC36" t="str">
            <v/>
          </cell>
          <cell r="AD36" t="str">
            <v/>
          </cell>
          <cell r="AE36" t="str">
            <v/>
          </cell>
          <cell r="AF36">
            <v>39814</v>
          </cell>
          <cell r="AG36">
            <v>6.6439522998296419E-2</v>
          </cell>
          <cell r="AH36" t="str">
            <v/>
          </cell>
          <cell r="AI36"/>
          <cell r="AJ36" t="str">
            <v/>
          </cell>
        </row>
        <row r="37">
          <cell r="D37">
            <v>39845</v>
          </cell>
          <cell r="E37" t="str">
            <v/>
          </cell>
          <cell r="F37"/>
          <cell r="G37"/>
          <cell r="H37"/>
          <cell r="I37">
            <v>8.0000000000000002E-3</v>
          </cell>
          <cell r="J37">
            <v>5.0000000000000001E-3</v>
          </cell>
          <cell r="K37" t="str">
            <v/>
          </cell>
          <cell r="L37"/>
          <cell r="M37"/>
          <cell r="N37"/>
          <cell r="O37">
            <v>7.0000000000000007E-2</v>
          </cell>
          <cell r="P37">
            <v>0.06</v>
          </cell>
          <cell r="Q37"/>
          <cell r="R37"/>
          <cell r="S37"/>
          <cell r="T37"/>
          <cell r="U37"/>
          <cell r="V37">
            <v>39845</v>
          </cell>
          <cell r="W37">
            <v>8.4817642069550461E-3</v>
          </cell>
          <cell r="X37" t="str">
            <v/>
          </cell>
          <cell r="Y37" t="str">
            <v/>
          </cell>
          <cell r="Z37" t="str">
            <v/>
          </cell>
          <cell r="AA37"/>
          <cell r="AB37">
            <v>0</v>
          </cell>
          <cell r="AC37" t="str">
            <v/>
          </cell>
          <cell r="AD37" t="str">
            <v/>
          </cell>
          <cell r="AE37" t="str">
            <v/>
          </cell>
          <cell r="AF37">
            <v>39845</v>
          </cell>
          <cell r="AG37">
            <v>6.7854113655640369E-2</v>
          </cell>
          <cell r="AH37" t="str">
            <v/>
          </cell>
          <cell r="AI37"/>
          <cell r="AJ37" t="str">
            <v/>
          </cell>
        </row>
        <row r="38">
          <cell r="D38">
            <v>39873</v>
          </cell>
          <cell r="E38" t="str">
            <v/>
          </cell>
          <cell r="F38"/>
          <cell r="G38"/>
          <cell r="H38"/>
          <cell r="I38">
            <v>8.0000000000000002E-3</v>
          </cell>
          <cell r="J38">
            <v>5.0000000000000001E-3</v>
          </cell>
          <cell r="K38" t="str">
            <v/>
          </cell>
          <cell r="L38"/>
          <cell r="M38"/>
          <cell r="N38"/>
          <cell r="O38">
            <v>7.0000000000000007E-2</v>
          </cell>
          <cell r="P38">
            <v>0.06</v>
          </cell>
          <cell r="Q38"/>
          <cell r="R38"/>
          <cell r="S38"/>
          <cell r="T38"/>
          <cell r="U38"/>
          <cell r="V38">
            <v>39873</v>
          </cell>
          <cell r="W38">
            <v>3.3726812816188868E-3</v>
          </cell>
          <cell r="X38" t="str">
            <v/>
          </cell>
          <cell r="Y38" t="str">
            <v/>
          </cell>
          <cell r="Z38" t="str">
            <v/>
          </cell>
          <cell r="AA38"/>
          <cell r="AB38">
            <v>0</v>
          </cell>
          <cell r="AC38" t="str">
            <v/>
          </cell>
          <cell r="AD38" t="str">
            <v/>
          </cell>
          <cell r="AE38" t="str">
            <v/>
          </cell>
          <cell r="AF38">
            <v>39873</v>
          </cell>
          <cell r="AG38">
            <v>6.9139966273187178E-2</v>
          </cell>
          <cell r="AH38" t="str">
            <v/>
          </cell>
          <cell r="AI38"/>
          <cell r="AJ38" t="str">
            <v/>
          </cell>
        </row>
        <row r="39">
          <cell r="D39">
            <v>39904</v>
          </cell>
          <cell r="E39" t="str">
            <v/>
          </cell>
          <cell r="F39"/>
          <cell r="G39"/>
          <cell r="H39"/>
          <cell r="I39">
            <v>8.0000000000000002E-3</v>
          </cell>
          <cell r="J39">
            <v>5.0000000000000001E-3</v>
          </cell>
          <cell r="K39" t="str">
            <v/>
          </cell>
          <cell r="L39"/>
          <cell r="M39"/>
          <cell r="N39"/>
          <cell r="O39">
            <v>7.0000000000000007E-2</v>
          </cell>
          <cell r="P39">
            <v>0.06</v>
          </cell>
          <cell r="V39">
            <v>39904</v>
          </cell>
          <cell r="W39">
            <v>5.0335570469798654E-3</v>
          </cell>
          <cell r="X39" t="str">
            <v/>
          </cell>
          <cell r="Y39" t="str">
            <v/>
          </cell>
          <cell r="Z39" t="str">
            <v/>
          </cell>
          <cell r="AA39"/>
          <cell r="AB39">
            <v>0</v>
          </cell>
          <cell r="AC39" t="str">
            <v/>
          </cell>
          <cell r="AD39" t="str">
            <v/>
          </cell>
          <cell r="AE39" t="str">
            <v/>
          </cell>
          <cell r="AF39">
            <v>39904</v>
          </cell>
          <cell r="AG39">
            <v>6.5436241610738258E-2</v>
          </cell>
          <cell r="AH39" t="str">
            <v/>
          </cell>
          <cell r="AI39"/>
          <cell r="AJ39" t="str">
            <v/>
          </cell>
        </row>
        <row r="40">
          <cell r="D40">
            <v>39934</v>
          </cell>
          <cell r="E40" t="str">
            <v/>
          </cell>
          <cell r="F40"/>
          <cell r="G40"/>
          <cell r="H40"/>
          <cell r="I40">
            <v>8.0000000000000002E-3</v>
          </cell>
          <cell r="J40">
            <v>5.0000000000000001E-3</v>
          </cell>
          <cell r="K40" t="str">
            <v/>
          </cell>
          <cell r="L40"/>
          <cell r="M40"/>
          <cell r="N40"/>
          <cell r="O40">
            <v>7.0000000000000007E-2</v>
          </cell>
          <cell r="P40">
            <v>0.06</v>
          </cell>
          <cell r="V40">
            <v>39934</v>
          </cell>
          <cell r="W40"/>
          <cell r="X40"/>
          <cell r="Y40" t="str">
            <v/>
          </cell>
          <cell r="Z40" t="str">
            <v/>
          </cell>
          <cell r="AA40"/>
          <cell r="AB40">
            <v>0</v>
          </cell>
          <cell r="AC40" t="str">
            <v/>
          </cell>
          <cell r="AD40" t="str">
            <v/>
          </cell>
          <cell r="AE40" t="str">
            <v/>
          </cell>
          <cell r="AF40">
            <v>39934</v>
          </cell>
          <cell r="AG40"/>
          <cell r="AH40" t="str">
            <v/>
          </cell>
          <cell r="AI40"/>
          <cell r="AJ40" t="str">
            <v/>
          </cell>
        </row>
        <row r="41">
          <cell r="D41">
            <v>39965</v>
          </cell>
          <cell r="E41" t="str">
            <v/>
          </cell>
          <cell r="F41"/>
          <cell r="G41"/>
          <cell r="H41"/>
          <cell r="I41">
            <v>8.0000000000000002E-3</v>
          </cell>
          <cell r="J41">
            <v>5.0000000000000001E-3</v>
          </cell>
          <cell r="K41" t="str">
            <v/>
          </cell>
          <cell r="L41"/>
          <cell r="M41"/>
          <cell r="N41"/>
          <cell r="O41">
            <v>7.0000000000000007E-2</v>
          </cell>
          <cell r="P41">
            <v>0.06</v>
          </cell>
          <cell r="V41">
            <v>39965</v>
          </cell>
          <cell r="W41"/>
          <cell r="X41"/>
          <cell r="Y41" t="str">
            <v/>
          </cell>
          <cell r="Z41" t="str">
            <v/>
          </cell>
          <cell r="AA41"/>
          <cell r="AB41">
            <v>0</v>
          </cell>
          <cell r="AC41" t="str">
            <v/>
          </cell>
          <cell r="AD41" t="str">
            <v/>
          </cell>
          <cell r="AE41" t="str">
            <v/>
          </cell>
          <cell r="AF41">
            <v>39965</v>
          </cell>
          <cell r="AG41"/>
          <cell r="AH41" t="str">
            <v/>
          </cell>
          <cell r="AI41"/>
          <cell r="AJ41" t="str">
            <v/>
          </cell>
        </row>
        <row r="42">
          <cell r="D42">
            <v>39995</v>
          </cell>
          <cell r="E42" t="str">
            <v/>
          </cell>
          <cell r="F42"/>
          <cell r="G42"/>
          <cell r="H42"/>
          <cell r="I42">
            <v>8.0000000000000002E-3</v>
          </cell>
          <cell r="J42">
            <v>5.0000000000000001E-3</v>
          </cell>
          <cell r="K42" t="str">
            <v/>
          </cell>
          <cell r="L42"/>
          <cell r="M42"/>
          <cell r="N42"/>
          <cell r="O42">
            <v>7.0000000000000007E-2</v>
          </cell>
          <cell r="P42">
            <v>0.06</v>
          </cell>
          <cell r="V42">
            <v>39995</v>
          </cell>
          <cell r="W42"/>
          <cell r="X42"/>
          <cell r="Y42" t="str">
            <v/>
          </cell>
          <cell r="Z42" t="str">
            <v/>
          </cell>
          <cell r="AA42"/>
          <cell r="AB42">
            <v>0</v>
          </cell>
          <cell r="AC42" t="str">
            <v/>
          </cell>
          <cell r="AD42" t="str">
            <v/>
          </cell>
          <cell r="AE42" t="str">
            <v/>
          </cell>
          <cell r="AF42">
            <v>39995</v>
          </cell>
          <cell r="AG42"/>
          <cell r="AH42" t="str">
            <v/>
          </cell>
          <cell r="AI42"/>
          <cell r="AJ42" t="str">
            <v/>
          </cell>
        </row>
        <row r="43">
          <cell r="D43">
            <v>40026</v>
          </cell>
          <cell r="E43" t="str">
            <v/>
          </cell>
          <cell r="F43"/>
          <cell r="G43"/>
          <cell r="H43"/>
          <cell r="I43">
            <v>8.0000000000000002E-3</v>
          </cell>
          <cell r="J43">
            <v>5.0000000000000001E-3</v>
          </cell>
          <cell r="K43" t="str">
            <v/>
          </cell>
          <cell r="L43"/>
          <cell r="M43"/>
          <cell r="N43"/>
          <cell r="O43">
            <v>7.0000000000000007E-2</v>
          </cell>
          <cell r="P43">
            <v>0.06</v>
          </cell>
          <cell r="V43">
            <v>40026</v>
          </cell>
          <cell r="W43"/>
          <cell r="X43"/>
          <cell r="Y43" t="str">
            <v/>
          </cell>
          <cell r="Z43" t="str">
            <v/>
          </cell>
          <cell r="AA43"/>
          <cell r="AB43">
            <v>0</v>
          </cell>
          <cell r="AC43" t="str">
            <v/>
          </cell>
          <cell r="AD43" t="str">
            <v/>
          </cell>
          <cell r="AE43" t="str">
            <v/>
          </cell>
          <cell r="AF43">
            <v>40026</v>
          </cell>
          <cell r="AG43"/>
          <cell r="AH43" t="str">
            <v/>
          </cell>
          <cell r="AI43"/>
          <cell r="AJ43" t="str">
            <v/>
          </cell>
        </row>
        <row r="44">
          <cell r="D44">
            <v>40057</v>
          </cell>
          <cell r="E44" t="str">
            <v/>
          </cell>
          <cell r="F44"/>
          <cell r="G44"/>
          <cell r="H44"/>
          <cell r="I44">
            <v>8.0000000000000002E-3</v>
          </cell>
          <cell r="J44">
            <v>5.0000000000000001E-3</v>
          </cell>
          <cell r="K44" t="str">
            <v/>
          </cell>
          <cell r="L44"/>
          <cell r="M44"/>
          <cell r="N44"/>
          <cell r="O44">
            <v>7.0000000000000007E-2</v>
          </cell>
          <cell r="P44">
            <v>0.06</v>
          </cell>
          <cell r="V44">
            <v>40057</v>
          </cell>
          <cell r="W44"/>
          <cell r="X44"/>
          <cell r="Y44" t="str">
            <v/>
          </cell>
          <cell r="Z44" t="str">
            <v/>
          </cell>
          <cell r="AA44"/>
          <cell r="AB44">
            <v>0</v>
          </cell>
          <cell r="AC44" t="str">
            <v/>
          </cell>
          <cell r="AD44" t="str">
            <v/>
          </cell>
          <cell r="AE44" t="str">
            <v/>
          </cell>
          <cell r="AF44">
            <v>40057</v>
          </cell>
          <cell r="AG44"/>
          <cell r="AH44" t="str">
            <v/>
          </cell>
          <cell r="AI44"/>
          <cell r="AJ44" t="str">
            <v/>
          </cell>
        </row>
      </sheetData>
      <sheetData sheetId="23">
        <row r="9">
          <cell r="D9"/>
          <cell r="E9" t="str">
            <v>Dias de Vacaciones Vencidas</v>
          </cell>
          <cell r="F9"/>
          <cell r="G9"/>
          <cell r="H9"/>
          <cell r="I9"/>
          <cell r="J9"/>
          <cell r="K9" t="str">
            <v>Personas con Vacaciones Vencidas</v>
          </cell>
          <cell r="L9"/>
          <cell r="M9"/>
          <cell r="N9"/>
          <cell r="O9"/>
          <cell r="P9"/>
          <cell r="Q9" t="str">
            <v>Vacaciones Vencidas</v>
          </cell>
          <cell r="R9"/>
          <cell r="S9"/>
          <cell r="T9"/>
          <cell r="U9"/>
          <cell r="V9"/>
          <cell r="AA9" t="str">
            <v>Mes</v>
          </cell>
          <cell r="AB9"/>
          <cell r="AC9"/>
          <cell r="AD9"/>
          <cell r="AE9"/>
          <cell r="AF9"/>
          <cell r="AG9"/>
          <cell r="AH9"/>
          <cell r="AI9"/>
          <cell r="AJ9"/>
          <cell r="AK9" t="str">
            <v>Mes</v>
          </cell>
          <cell r="AL9"/>
          <cell r="AM9"/>
          <cell r="AN9"/>
          <cell r="AO9"/>
          <cell r="AP9"/>
          <cell r="AQ9"/>
          <cell r="AR9"/>
          <cell r="AS9"/>
          <cell r="AT9"/>
          <cell r="AU9" t="str">
            <v>Mes</v>
          </cell>
          <cell r="AV9"/>
          <cell r="AW9"/>
          <cell r="AX9"/>
          <cell r="AY9"/>
        </row>
        <row r="10">
          <cell r="D10" t="str">
            <v>Fecha</v>
          </cell>
          <cell r="E10" t="str">
            <v>Estimado</v>
          </cell>
          <cell r="F10" t="str">
            <v>Performance</v>
          </cell>
          <cell r="G10"/>
          <cell r="H10"/>
          <cell r="I10" t="str">
            <v>Limites</v>
          </cell>
          <cell r="J10"/>
          <cell r="K10" t="str">
            <v>Estimado</v>
          </cell>
          <cell r="L10" t="str">
            <v>Performance</v>
          </cell>
          <cell r="M10"/>
          <cell r="N10"/>
          <cell r="O10" t="str">
            <v>Limites</v>
          </cell>
          <cell r="P10"/>
          <cell r="Q10" t="str">
            <v>Estimado</v>
          </cell>
          <cell r="R10" t="str">
            <v>Performance</v>
          </cell>
          <cell r="S10"/>
          <cell r="T10"/>
          <cell r="U10" t="str">
            <v>Limites</v>
          </cell>
          <cell r="V10"/>
          <cell r="W10"/>
          <cell r="X10"/>
          <cell r="Y10"/>
          <cell r="Z10"/>
          <cell r="AA10"/>
          <cell r="AB10" t="str">
            <v>Valores</v>
          </cell>
          <cell r="AC10"/>
          <cell r="AD10" t="str">
            <v>Var 1.</v>
          </cell>
          <cell r="AE10"/>
          <cell r="AF10" t="str">
            <v>Proyectado</v>
          </cell>
          <cell r="AG10" t="str">
            <v>Anual</v>
          </cell>
          <cell r="AH10" t="str">
            <v>Var 2.</v>
          </cell>
          <cell r="AI10"/>
          <cell r="AJ10" t="str">
            <v>% Avance 
del Año</v>
          </cell>
          <cell r="AK10"/>
          <cell r="AL10" t="str">
            <v>Valores</v>
          </cell>
          <cell r="AM10"/>
          <cell r="AN10" t="str">
            <v>Var 1.</v>
          </cell>
          <cell r="AO10"/>
          <cell r="AP10" t="str">
            <v>Proyectado</v>
          </cell>
          <cell r="AQ10" t="str">
            <v>Anual</v>
          </cell>
          <cell r="AR10" t="str">
            <v>Var 2.</v>
          </cell>
          <cell r="AS10"/>
          <cell r="AT10" t="str">
            <v>% Avance 
del Año</v>
          </cell>
          <cell r="AU10"/>
          <cell r="AV10" t="str">
            <v>Valores</v>
          </cell>
          <cell r="AW10"/>
          <cell r="AX10" t="str">
            <v>Var 1.</v>
          </cell>
          <cell r="AY10"/>
        </row>
        <row r="11">
          <cell r="D11"/>
          <cell r="E11"/>
          <cell r="F11"/>
          <cell r="G11"/>
          <cell r="H11"/>
          <cell r="I11" t="str">
            <v>Sup</v>
          </cell>
          <cell r="J11" t="str">
            <v>Inf</v>
          </cell>
          <cell r="K11"/>
          <cell r="L11"/>
          <cell r="M11"/>
          <cell r="N11"/>
          <cell r="O11" t="str">
            <v>Sup</v>
          </cell>
          <cell r="P11" t="str">
            <v>Inf</v>
          </cell>
          <cell r="Q11"/>
          <cell r="R11"/>
          <cell r="S11"/>
          <cell r="T11"/>
          <cell r="U11" t="str">
            <v>Sup</v>
          </cell>
          <cell r="V11" t="str">
            <v>Inf</v>
          </cell>
          <cell r="W11"/>
          <cell r="X11"/>
          <cell r="Y11"/>
          <cell r="Z11"/>
          <cell r="AA11" t="str">
            <v>Fecha</v>
          </cell>
          <cell r="AB11" t="str">
            <v>Anteriores</v>
          </cell>
          <cell r="AC11" t="str">
            <v>Real</v>
          </cell>
          <cell r="AD11" t="str">
            <v>Unidades</v>
          </cell>
          <cell r="AE11" t="str">
            <v>%</v>
          </cell>
          <cell r="AF11"/>
          <cell r="AG11" t="str">
            <v>Proyectado</v>
          </cell>
          <cell r="AH11" t="str">
            <v>Unidades</v>
          </cell>
          <cell r="AI11" t="str">
            <v>%</v>
          </cell>
          <cell r="AJ11"/>
          <cell r="AK11" t="str">
            <v>Fecha</v>
          </cell>
          <cell r="AL11" t="str">
            <v>Anteriores</v>
          </cell>
          <cell r="AM11" t="str">
            <v>Real</v>
          </cell>
          <cell r="AN11" t="str">
            <v>Unidades</v>
          </cell>
          <cell r="AO11" t="str">
            <v>%</v>
          </cell>
          <cell r="AP11"/>
          <cell r="AQ11" t="str">
            <v>Proyectado</v>
          </cell>
          <cell r="AR11" t="str">
            <v>Unidades</v>
          </cell>
          <cell r="AS11" t="str">
            <v>%</v>
          </cell>
          <cell r="AT11"/>
          <cell r="AU11" t="str">
            <v>Fecha</v>
          </cell>
          <cell r="AV11" t="str">
            <v>Anteriores</v>
          </cell>
          <cell r="AW11" t="str">
            <v>Real</v>
          </cell>
          <cell r="AX11" t="str">
            <v>Unidades</v>
          </cell>
          <cell r="AY11" t="str">
            <v>%</v>
          </cell>
        </row>
        <row r="12">
          <cell r="D12">
            <v>39083</v>
          </cell>
          <cell r="E12"/>
          <cell r="F12" t="str">
            <v/>
          </cell>
          <cell r="G12" t="str">
            <v/>
          </cell>
          <cell r="H12" t="str">
            <v/>
          </cell>
          <cell r="I12"/>
          <cell r="J12"/>
          <cell r="K12"/>
          <cell r="L12" t="str">
            <v/>
          </cell>
          <cell r="M12" t="str">
            <v/>
          </cell>
          <cell r="N12" t="str">
            <v/>
          </cell>
          <cell r="O12"/>
          <cell r="P12"/>
          <cell r="Q12"/>
          <cell r="R12" t="str">
            <v/>
          </cell>
          <cell r="S12" t="str">
            <v/>
          </cell>
          <cell r="T12" t="str">
            <v/>
          </cell>
          <cell r="U12"/>
          <cell r="V12"/>
          <cell r="W12"/>
          <cell r="X12"/>
          <cell r="Y12"/>
          <cell r="Z12"/>
          <cell r="AA12">
            <v>39083</v>
          </cell>
          <cell r="AB12"/>
          <cell r="AC12" t="str">
            <v/>
          </cell>
          <cell r="AD12" t="str">
            <v/>
          </cell>
          <cell r="AE12"/>
          <cell r="AF12"/>
          <cell r="AG12">
            <v>0</v>
          </cell>
          <cell r="AH12" t="str">
            <v/>
          </cell>
          <cell r="AI12" t="str">
            <v/>
          </cell>
          <cell r="AJ12" t="str">
            <v/>
          </cell>
          <cell r="AK12">
            <v>39083</v>
          </cell>
          <cell r="AL12"/>
          <cell r="AM12" t="str">
            <v/>
          </cell>
          <cell r="AN12" t="str">
            <v/>
          </cell>
          <cell r="AO12" t="str">
            <v/>
          </cell>
          <cell r="AP12"/>
          <cell r="AQ12">
            <v>0</v>
          </cell>
          <cell r="AR12" t="str">
            <v/>
          </cell>
          <cell r="AS12" t="str">
            <v/>
          </cell>
          <cell r="AT12" t="str">
            <v/>
          </cell>
          <cell r="AU12">
            <v>39083</v>
          </cell>
          <cell r="AV12"/>
          <cell r="AW12" t="str">
            <v/>
          </cell>
          <cell r="AX12" t="str">
            <v/>
          </cell>
          <cell r="AY12"/>
        </row>
        <row r="13">
          <cell r="D13">
            <v>39114</v>
          </cell>
          <cell r="E13"/>
          <cell r="F13" t="str">
            <v/>
          </cell>
          <cell r="G13" t="str">
            <v/>
          </cell>
          <cell r="H13" t="str">
            <v/>
          </cell>
          <cell r="I13"/>
          <cell r="J13"/>
          <cell r="K13"/>
          <cell r="L13" t="str">
            <v/>
          </cell>
          <cell r="M13" t="str">
            <v/>
          </cell>
          <cell r="N13" t="str">
            <v/>
          </cell>
          <cell r="O13"/>
          <cell r="P13"/>
          <cell r="Q13"/>
          <cell r="R13" t="str">
            <v/>
          </cell>
          <cell r="S13" t="str">
            <v/>
          </cell>
          <cell r="T13" t="str">
            <v/>
          </cell>
          <cell r="U13"/>
          <cell r="V13"/>
          <cell r="W13"/>
          <cell r="X13"/>
          <cell r="Y13"/>
          <cell r="Z13"/>
          <cell r="AA13">
            <v>39114</v>
          </cell>
          <cell r="AB13"/>
          <cell r="AC13" t="str">
            <v/>
          </cell>
          <cell r="AD13" t="str">
            <v/>
          </cell>
          <cell r="AE13"/>
          <cell r="AF13"/>
          <cell r="AG13">
            <v>0</v>
          </cell>
          <cell r="AH13" t="str">
            <v/>
          </cell>
          <cell r="AI13" t="str">
            <v/>
          </cell>
          <cell r="AJ13" t="str">
            <v/>
          </cell>
          <cell r="AK13">
            <v>39114</v>
          </cell>
          <cell r="AL13"/>
          <cell r="AM13" t="str">
            <v/>
          </cell>
          <cell r="AN13" t="str">
            <v/>
          </cell>
          <cell r="AO13" t="str">
            <v/>
          </cell>
          <cell r="AP13"/>
          <cell r="AQ13">
            <v>0</v>
          </cell>
          <cell r="AR13" t="str">
            <v/>
          </cell>
          <cell r="AS13" t="str">
            <v/>
          </cell>
          <cell r="AT13" t="str">
            <v/>
          </cell>
          <cell r="AU13">
            <v>39114</v>
          </cell>
          <cell r="AV13"/>
          <cell r="AW13" t="str">
            <v/>
          </cell>
          <cell r="AX13" t="str">
            <v/>
          </cell>
          <cell r="AY13"/>
        </row>
        <row r="14">
          <cell r="D14">
            <v>39142</v>
          </cell>
          <cell r="E14"/>
          <cell r="F14" t="str">
            <v/>
          </cell>
          <cell r="G14" t="str">
            <v/>
          </cell>
          <cell r="H14" t="str">
            <v/>
          </cell>
          <cell r="I14"/>
          <cell r="J14"/>
          <cell r="K14"/>
          <cell r="L14" t="str">
            <v/>
          </cell>
          <cell r="M14" t="str">
            <v/>
          </cell>
          <cell r="N14" t="str">
            <v/>
          </cell>
          <cell r="O14"/>
          <cell r="P14"/>
          <cell r="Q14"/>
          <cell r="R14" t="str">
            <v/>
          </cell>
          <cell r="S14" t="str">
            <v/>
          </cell>
          <cell r="T14" t="str">
            <v/>
          </cell>
          <cell r="U14"/>
          <cell r="V14"/>
          <cell r="W14"/>
          <cell r="X14"/>
          <cell r="Y14"/>
          <cell r="Z14"/>
          <cell r="AA14">
            <v>39142</v>
          </cell>
          <cell r="AB14"/>
          <cell r="AC14" t="str">
            <v/>
          </cell>
          <cell r="AD14" t="str">
            <v/>
          </cell>
          <cell r="AE14"/>
          <cell r="AF14"/>
          <cell r="AG14">
            <v>0</v>
          </cell>
          <cell r="AH14" t="str">
            <v/>
          </cell>
          <cell r="AI14" t="str">
            <v/>
          </cell>
          <cell r="AJ14" t="str">
            <v/>
          </cell>
          <cell r="AK14">
            <v>39142</v>
          </cell>
          <cell r="AL14"/>
          <cell r="AM14" t="str">
            <v/>
          </cell>
          <cell r="AN14" t="str">
            <v/>
          </cell>
          <cell r="AO14" t="str">
            <v/>
          </cell>
          <cell r="AP14"/>
          <cell r="AQ14">
            <v>0</v>
          </cell>
          <cell r="AR14" t="str">
            <v/>
          </cell>
          <cell r="AS14" t="str">
            <v/>
          </cell>
          <cell r="AT14" t="str">
            <v/>
          </cell>
          <cell r="AU14">
            <v>39142</v>
          </cell>
          <cell r="AV14"/>
          <cell r="AW14" t="str">
            <v/>
          </cell>
          <cell r="AX14" t="str">
            <v/>
          </cell>
          <cell r="AY14"/>
        </row>
        <row r="15">
          <cell r="D15">
            <v>39173</v>
          </cell>
          <cell r="E15"/>
          <cell r="F15" t="str">
            <v/>
          </cell>
          <cell r="G15" t="str">
            <v/>
          </cell>
          <cell r="H15" t="str">
            <v/>
          </cell>
          <cell r="I15"/>
          <cell r="J15"/>
          <cell r="K15"/>
          <cell r="L15" t="str">
            <v/>
          </cell>
          <cell r="M15" t="str">
            <v/>
          </cell>
          <cell r="N15" t="str">
            <v/>
          </cell>
          <cell r="O15"/>
          <cell r="P15"/>
          <cell r="Q15"/>
          <cell r="R15" t="str">
            <v/>
          </cell>
          <cell r="S15" t="str">
            <v/>
          </cell>
          <cell r="T15" t="str">
            <v/>
          </cell>
          <cell r="U15"/>
          <cell r="V15"/>
          <cell r="W15"/>
          <cell r="X15"/>
          <cell r="Y15"/>
          <cell r="Z15"/>
          <cell r="AA15">
            <v>39173</v>
          </cell>
          <cell r="AB15"/>
          <cell r="AC15" t="str">
            <v/>
          </cell>
          <cell r="AD15" t="str">
            <v/>
          </cell>
          <cell r="AE15"/>
          <cell r="AF15"/>
          <cell r="AG15">
            <v>0</v>
          </cell>
          <cell r="AH15" t="str">
            <v/>
          </cell>
          <cell r="AI15" t="str">
            <v/>
          </cell>
          <cell r="AJ15" t="str">
            <v/>
          </cell>
          <cell r="AK15">
            <v>39173</v>
          </cell>
          <cell r="AL15"/>
          <cell r="AM15" t="str">
            <v/>
          </cell>
          <cell r="AN15" t="str">
            <v/>
          </cell>
          <cell r="AO15" t="str">
            <v/>
          </cell>
          <cell r="AP15"/>
          <cell r="AQ15">
            <v>0</v>
          </cell>
          <cell r="AR15" t="str">
            <v/>
          </cell>
          <cell r="AS15" t="str">
            <v/>
          </cell>
          <cell r="AT15" t="str">
            <v/>
          </cell>
          <cell r="AU15">
            <v>39173</v>
          </cell>
          <cell r="AV15"/>
          <cell r="AW15" t="str">
            <v/>
          </cell>
          <cell r="AX15" t="str">
            <v/>
          </cell>
          <cell r="AY15"/>
        </row>
        <row r="16">
          <cell r="D16">
            <v>39203</v>
          </cell>
          <cell r="E16"/>
          <cell r="F16" t="str">
            <v/>
          </cell>
          <cell r="G16" t="str">
            <v/>
          </cell>
          <cell r="H16" t="str">
            <v/>
          </cell>
          <cell r="I16"/>
          <cell r="J16"/>
          <cell r="K16"/>
          <cell r="L16" t="str">
            <v/>
          </cell>
          <cell r="M16" t="str">
            <v/>
          </cell>
          <cell r="N16" t="str">
            <v/>
          </cell>
          <cell r="O16"/>
          <cell r="P16"/>
          <cell r="Q16"/>
          <cell r="R16" t="str">
            <v/>
          </cell>
          <cell r="S16" t="str">
            <v/>
          </cell>
          <cell r="T16" t="str">
            <v/>
          </cell>
          <cell r="U16"/>
          <cell r="V16"/>
          <cell r="W16"/>
          <cell r="X16"/>
          <cell r="Y16"/>
          <cell r="Z16"/>
          <cell r="AA16">
            <v>39203</v>
          </cell>
          <cell r="AB16"/>
          <cell r="AC16" t="str">
            <v/>
          </cell>
          <cell r="AD16" t="str">
            <v/>
          </cell>
          <cell r="AE16"/>
          <cell r="AF16"/>
          <cell r="AG16">
            <v>0</v>
          </cell>
          <cell r="AH16" t="str">
            <v/>
          </cell>
          <cell r="AI16" t="str">
            <v/>
          </cell>
          <cell r="AJ16" t="str">
            <v/>
          </cell>
          <cell r="AK16">
            <v>39203</v>
          </cell>
          <cell r="AL16"/>
          <cell r="AM16" t="str">
            <v/>
          </cell>
          <cell r="AN16" t="str">
            <v/>
          </cell>
          <cell r="AO16" t="str">
            <v/>
          </cell>
          <cell r="AP16"/>
          <cell r="AQ16">
            <v>0</v>
          </cell>
          <cell r="AR16" t="str">
            <v/>
          </cell>
          <cell r="AS16" t="str">
            <v/>
          </cell>
          <cell r="AT16" t="str">
            <v/>
          </cell>
          <cell r="AU16">
            <v>39203</v>
          </cell>
          <cell r="AV16"/>
          <cell r="AW16" t="str">
            <v/>
          </cell>
          <cell r="AX16" t="str">
            <v/>
          </cell>
          <cell r="AY16"/>
        </row>
        <row r="17">
          <cell r="D17">
            <v>39234</v>
          </cell>
          <cell r="E17"/>
          <cell r="F17" t="str">
            <v/>
          </cell>
          <cell r="G17" t="str">
            <v/>
          </cell>
          <cell r="H17" t="str">
            <v/>
          </cell>
          <cell r="I17"/>
          <cell r="J17"/>
          <cell r="K17"/>
          <cell r="L17" t="str">
            <v/>
          </cell>
          <cell r="M17" t="str">
            <v/>
          </cell>
          <cell r="N17" t="str">
            <v/>
          </cell>
          <cell r="O17"/>
          <cell r="P17"/>
          <cell r="Q17"/>
          <cell r="R17" t="str">
            <v/>
          </cell>
          <cell r="S17" t="str">
            <v/>
          </cell>
          <cell r="T17" t="str">
            <v/>
          </cell>
          <cell r="U17"/>
          <cell r="V17"/>
          <cell r="W17"/>
          <cell r="X17"/>
          <cell r="Y17"/>
          <cell r="Z17"/>
          <cell r="AA17">
            <v>39234</v>
          </cell>
          <cell r="AB17"/>
          <cell r="AC17" t="str">
            <v/>
          </cell>
          <cell r="AD17" t="str">
            <v/>
          </cell>
          <cell r="AE17"/>
          <cell r="AF17"/>
          <cell r="AG17">
            <v>0</v>
          </cell>
          <cell r="AH17" t="str">
            <v/>
          </cell>
          <cell r="AI17" t="str">
            <v/>
          </cell>
          <cell r="AJ17" t="str">
            <v/>
          </cell>
          <cell r="AK17">
            <v>39234</v>
          </cell>
          <cell r="AL17"/>
          <cell r="AM17" t="str">
            <v/>
          </cell>
          <cell r="AN17" t="str">
            <v/>
          </cell>
          <cell r="AO17" t="str">
            <v/>
          </cell>
          <cell r="AP17"/>
          <cell r="AQ17">
            <v>0</v>
          </cell>
          <cell r="AR17" t="str">
            <v/>
          </cell>
          <cell r="AS17" t="str">
            <v/>
          </cell>
          <cell r="AT17" t="str">
            <v/>
          </cell>
          <cell r="AU17">
            <v>39234</v>
          </cell>
          <cell r="AV17"/>
          <cell r="AW17" t="str">
            <v/>
          </cell>
          <cell r="AX17" t="str">
            <v/>
          </cell>
          <cell r="AY17"/>
        </row>
        <row r="18">
          <cell r="D18">
            <v>39264</v>
          </cell>
          <cell r="E18"/>
          <cell r="F18" t="str">
            <v/>
          </cell>
          <cell r="G18" t="str">
            <v/>
          </cell>
          <cell r="H18" t="str">
            <v/>
          </cell>
          <cell r="I18"/>
          <cell r="J18"/>
          <cell r="K18"/>
          <cell r="L18" t="str">
            <v/>
          </cell>
          <cell r="M18" t="str">
            <v/>
          </cell>
          <cell r="N18" t="str">
            <v/>
          </cell>
          <cell r="O18"/>
          <cell r="P18"/>
          <cell r="Q18"/>
          <cell r="R18" t="str">
            <v/>
          </cell>
          <cell r="S18" t="str">
            <v/>
          </cell>
          <cell r="T18" t="str">
            <v/>
          </cell>
          <cell r="U18"/>
          <cell r="V18"/>
          <cell r="W18"/>
          <cell r="X18"/>
          <cell r="Y18"/>
          <cell r="Z18"/>
          <cell r="AA18">
            <v>39264</v>
          </cell>
          <cell r="AB18"/>
          <cell r="AC18" t="str">
            <v/>
          </cell>
          <cell r="AD18" t="str">
            <v/>
          </cell>
          <cell r="AE18"/>
          <cell r="AF18"/>
          <cell r="AG18">
            <v>0</v>
          </cell>
          <cell r="AH18" t="str">
            <v/>
          </cell>
          <cell r="AI18" t="str">
            <v/>
          </cell>
          <cell r="AJ18" t="str">
            <v/>
          </cell>
          <cell r="AK18">
            <v>39264</v>
          </cell>
          <cell r="AL18"/>
          <cell r="AM18" t="str">
            <v/>
          </cell>
          <cell r="AN18" t="str">
            <v/>
          </cell>
          <cell r="AO18" t="str">
            <v/>
          </cell>
          <cell r="AP18"/>
          <cell r="AQ18">
            <v>0</v>
          </cell>
          <cell r="AR18" t="str">
            <v/>
          </cell>
          <cell r="AS18" t="str">
            <v/>
          </cell>
          <cell r="AT18" t="str">
            <v/>
          </cell>
          <cell r="AU18">
            <v>39264</v>
          </cell>
          <cell r="AV18"/>
          <cell r="AW18" t="str">
            <v/>
          </cell>
          <cell r="AX18" t="str">
            <v/>
          </cell>
          <cell r="AY18"/>
        </row>
        <row r="19">
          <cell r="D19">
            <v>39295</v>
          </cell>
          <cell r="E19"/>
          <cell r="F19" t="str">
            <v/>
          </cell>
          <cell r="G19" t="str">
            <v/>
          </cell>
          <cell r="H19" t="str">
            <v/>
          </cell>
          <cell r="I19"/>
          <cell r="J19"/>
          <cell r="K19"/>
          <cell r="L19" t="str">
            <v/>
          </cell>
          <cell r="M19" t="str">
            <v/>
          </cell>
          <cell r="N19" t="str">
            <v/>
          </cell>
          <cell r="O19"/>
          <cell r="P19"/>
          <cell r="Q19"/>
          <cell r="R19" t="str">
            <v/>
          </cell>
          <cell r="S19" t="str">
            <v/>
          </cell>
          <cell r="T19" t="str">
            <v/>
          </cell>
          <cell r="U19"/>
          <cell r="V19"/>
          <cell r="W19"/>
          <cell r="X19"/>
          <cell r="Y19"/>
          <cell r="Z19"/>
          <cell r="AA19">
            <v>39295</v>
          </cell>
          <cell r="AB19"/>
          <cell r="AC19" t="str">
            <v/>
          </cell>
          <cell r="AD19" t="str">
            <v/>
          </cell>
          <cell r="AE19"/>
          <cell r="AF19"/>
          <cell r="AG19">
            <v>0</v>
          </cell>
          <cell r="AH19" t="str">
            <v/>
          </cell>
          <cell r="AI19" t="str">
            <v/>
          </cell>
          <cell r="AJ19" t="str">
            <v/>
          </cell>
          <cell r="AK19">
            <v>39295</v>
          </cell>
          <cell r="AL19"/>
          <cell r="AM19" t="str">
            <v/>
          </cell>
          <cell r="AN19" t="str">
            <v/>
          </cell>
          <cell r="AO19" t="str">
            <v/>
          </cell>
          <cell r="AP19"/>
          <cell r="AQ19">
            <v>0</v>
          </cell>
          <cell r="AR19" t="str">
            <v/>
          </cell>
          <cell r="AS19" t="str">
            <v/>
          </cell>
          <cell r="AT19" t="str">
            <v/>
          </cell>
          <cell r="AU19">
            <v>39295</v>
          </cell>
          <cell r="AV19"/>
          <cell r="AW19" t="str">
            <v/>
          </cell>
          <cell r="AX19" t="str">
            <v/>
          </cell>
          <cell r="AY19"/>
        </row>
        <row r="20">
          <cell r="D20">
            <v>39326</v>
          </cell>
          <cell r="E20"/>
          <cell r="F20" t="str">
            <v/>
          </cell>
          <cell r="G20" t="str">
            <v/>
          </cell>
          <cell r="H20" t="str">
            <v/>
          </cell>
          <cell r="I20"/>
          <cell r="J20"/>
          <cell r="K20"/>
          <cell r="L20" t="str">
            <v/>
          </cell>
          <cell r="M20" t="str">
            <v/>
          </cell>
          <cell r="N20" t="str">
            <v/>
          </cell>
          <cell r="O20"/>
          <cell r="P20"/>
          <cell r="Q20"/>
          <cell r="R20" t="str">
            <v/>
          </cell>
          <cell r="S20" t="str">
            <v/>
          </cell>
          <cell r="T20" t="str">
            <v/>
          </cell>
          <cell r="U20"/>
          <cell r="V20"/>
          <cell r="W20"/>
          <cell r="X20"/>
          <cell r="Y20"/>
          <cell r="Z20"/>
          <cell r="AA20">
            <v>39326</v>
          </cell>
          <cell r="AB20"/>
          <cell r="AC20" t="str">
            <v/>
          </cell>
          <cell r="AD20" t="str">
            <v/>
          </cell>
          <cell r="AE20"/>
          <cell r="AF20"/>
          <cell r="AG20">
            <v>0</v>
          </cell>
          <cell r="AH20" t="str">
            <v/>
          </cell>
          <cell r="AI20" t="str">
            <v/>
          </cell>
          <cell r="AJ20" t="str">
            <v/>
          </cell>
          <cell r="AK20">
            <v>39326</v>
          </cell>
          <cell r="AL20"/>
          <cell r="AM20" t="str">
            <v/>
          </cell>
          <cell r="AN20" t="str">
            <v/>
          </cell>
          <cell r="AO20" t="str">
            <v/>
          </cell>
          <cell r="AP20"/>
          <cell r="AQ20">
            <v>0</v>
          </cell>
          <cell r="AR20" t="str">
            <v/>
          </cell>
          <cell r="AS20" t="str">
            <v/>
          </cell>
          <cell r="AT20" t="str">
            <v/>
          </cell>
          <cell r="AU20">
            <v>39326</v>
          </cell>
          <cell r="AV20"/>
          <cell r="AW20" t="str">
            <v/>
          </cell>
          <cell r="AX20" t="str">
            <v/>
          </cell>
          <cell r="AY20"/>
        </row>
        <row r="21">
          <cell r="D21">
            <v>39356</v>
          </cell>
          <cell r="E21"/>
          <cell r="F21" t="str">
            <v/>
          </cell>
          <cell r="G21" t="str">
            <v/>
          </cell>
          <cell r="H21" t="str">
            <v/>
          </cell>
          <cell r="I21"/>
          <cell r="J21"/>
          <cell r="K21"/>
          <cell r="L21" t="str">
            <v/>
          </cell>
          <cell r="M21" t="str">
            <v/>
          </cell>
          <cell r="N21" t="str">
            <v/>
          </cell>
          <cell r="O21"/>
          <cell r="P21"/>
          <cell r="Q21"/>
          <cell r="R21" t="str">
            <v/>
          </cell>
          <cell r="S21" t="str">
            <v/>
          </cell>
          <cell r="T21" t="str">
            <v/>
          </cell>
          <cell r="U21"/>
          <cell r="V21"/>
          <cell r="W21"/>
          <cell r="X21"/>
          <cell r="Y21"/>
          <cell r="Z21"/>
          <cell r="AA21">
            <v>39356</v>
          </cell>
          <cell r="AB21"/>
          <cell r="AC21" t="str">
            <v/>
          </cell>
          <cell r="AD21" t="str">
            <v/>
          </cell>
          <cell r="AE21"/>
          <cell r="AF21"/>
          <cell r="AG21">
            <v>0</v>
          </cell>
          <cell r="AH21" t="str">
            <v/>
          </cell>
          <cell r="AI21" t="str">
            <v/>
          </cell>
          <cell r="AJ21" t="str">
            <v/>
          </cell>
          <cell r="AK21">
            <v>39356</v>
          </cell>
          <cell r="AL21"/>
          <cell r="AM21" t="str">
            <v/>
          </cell>
          <cell r="AN21" t="str">
            <v/>
          </cell>
          <cell r="AO21" t="str">
            <v/>
          </cell>
          <cell r="AP21"/>
          <cell r="AQ21">
            <v>0</v>
          </cell>
          <cell r="AR21" t="str">
            <v/>
          </cell>
          <cell r="AS21" t="str">
            <v/>
          </cell>
          <cell r="AT21" t="str">
            <v/>
          </cell>
          <cell r="AU21">
            <v>39356</v>
          </cell>
          <cell r="AV21"/>
          <cell r="AW21" t="str">
            <v/>
          </cell>
          <cell r="AX21" t="str">
            <v/>
          </cell>
          <cell r="AY21"/>
        </row>
        <row r="22">
          <cell r="D22">
            <v>39387</v>
          </cell>
          <cell r="E22"/>
          <cell r="F22" t="str">
            <v/>
          </cell>
          <cell r="G22" t="str">
            <v/>
          </cell>
          <cell r="H22" t="str">
            <v/>
          </cell>
          <cell r="I22"/>
          <cell r="J22"/>
          <cell r="K22"/>
          <cell r="L22" t="str">
            <v/>
          </cell>
          <cell r="M22" t="str">
            <v/>
          </cell>
          <cell r="N22" t="str">
            <v/>
          </cell>
          <cell r="O22"/>
          <cell r="P22"/>
          <cell r="Q22"/>
          <cell r="R22" t="str">
            <v/>
          </cell>
          <cell r="S22" t="str">
            <v/>
          </cell>
          <cell r="T22" t="str">
            <v/>
          </cell>
          <cell r="U22"/>
          <cell r="V22"/>
          <cell r="W22"/>
          <cell r="X22"/>
          <cell r="Y22"/>
          <cell r="Z22"/>
          <cell r="AA22">
            <v>39387</v>
          </cell>
          <cell r="AB22"/>
          <cell r="AC22" t="str">
            <v/>
          </cell>
          <cell r="AD22" t="str">
            <v/>
          </cell>
          <cell r="AE22"/>
          <cell r="AF22"/>
          <cell r="AG22">
            <v>0</v>
          </cell>
          <cell r="AH22" t="str">
            <v/>
          </cell>
          <cell r="AI22" t="str">
            <v/>
          </cell>
          <cell r="AJ22" t="str">
            <v/>
          </cell>
          <cell r="AK22">
            <v>39387</v>
          </cell>
          <cell r="AL22"/>
          <cell r="AM22" t="str">
            <v/>
          </cell>
          <cell r="AN22" t="str">
            <v/>
          </cell>
          <cell r="AO22" t="str">
            <v/>
          </cell>
          <cell r="AP22"/>
          <cell r="AQ22">
            <v>0</v>
          </cell>
          <cell r="AR22" t="str">
            <v/>
          </cell>
          <cell r="AS22" t="str">
            <v/>
          </cell>
          <cell r="AT22" t="str">
            <v/>
          </cell>
          <cell r="AU22">
            <v>39387</v>
          </cell>
          <cell r="AV22"/>
          <cell r="AW22" t="str">
            <v/>
          </cell>
          <cell r="AX22" t="str">
            <v/>
          </cell>
          <cell r="AY22"/>
        </row>
        <row r="23">
          <cell r="D23">
            <v>39417</v>
          </cell>
          <cell r="E23">
            <v>519</v>
          </cell>
          <cell r="F23" t="str">
            <v>c</v>
          </cell>
          <cell r="G23" t="str">
            <v>c</v>
          </cell>
          <cell r="H23" t="str">
            <v>g</v>
          </cell>
          <cell r="I23">
            <v>100</v>
          </cell>
          <cell r="J23">
            <v>0</v>
          </cell>
          <cell r="K23">
            <v>18</v>
          </cell>
          <cell r="L23" t="str">
            <v>c</v>
          </cell>
          <cell r="M23" t="str">
            <v>c</v>
          </cell>
          <cell r="N23" t="str">
            <v>g</v>
          </cell>
          <cell r="O23">
            <v>900</v>
          </cell>
          <cell r="P23">
            <v>500</v>
          </cell>
          <cell r="Q23">
            <v>28.833333333333332</v>
          </cell>
          <cell r="R23" t="str">
            <v>c</v>
          </cell>
          <cell r="S23" t="str">
            <v>c</v>
          </cell>
          <cell r="T23" t="str">
            <v>g</v>
          </cell>
          <cell r="U23">
            <v>900</v>
          </cell>
          <cell r="V23">
            <v>500</v>
          </cell>
          <cell r="W23"/>
          <cell r="X23"/>
          <cell r="Y23"/>
          <cell r="Z23"/>
          <cell r="AA23">
            <v>39417</v>
          </cell>
          <cell r="AB23"/>
          <cell r="AC23">
            <v>519</v>
          </cell>
          <cell r="AD23">
            <v>519</v>
          </cell>
          <cell r="AE23"/>
          <cell r="AF23"/>
          <cell r="AG23">
            <v>0</v>
          </cell>
          <cell r="AH23" t="str">
            <v/>
          </cell>
          <cell r="AI23" t="str">
            <v/>
          </cell>
          <cell r="AJ23" t="str">
            <v/>
          </cell>
          <cell r="AK23">
            <v>39417</v>
          </cell>
          <cell r="AL23"/>
          <cell r="AM23">
            <v>18</v>
          </cell>
          <cell r="AN23">
            <v>18</v>
          </cell>
          <cell r="AO23"/>
          <cell r="AP23"/>
          <cell r="AQ23">
            <v>0</v>
          </cell>
          <cell r="AR23" t="str">
            <v/>
          </cell>
          <cell r="AS23" t="str">
            <v/>
          </cell>
          <cell r="AT23" t="str">
            <v/>
          </cell>
          <cell r="AU23">
            <v>39417</v>
          </cell>
          <cell r="AV23"/>
          <cell r="AW23">
            <v>28.833333333333332</v>
          </cell>
          <cell r="AX23">
            <v>28.833333333333332</v>
          </cell>
          <cell r="AY23"/>
        </row>
        <row r="24">
          <cell r="D24">
            <v>39448</v>
          </cell>
          <cell r="E24"/>
          <cell r="F24" t="str">
            <v/>
          </cell>
          <cell r="G24" t="str">
            <v/>
          </cell>
          <cell r="H24" t="str">
            <v/>
          </cell>
          <cell r="I24">
            <v>100</v>
          </cell>
          <cell r="J24">
            <v>0</v>
          </cell>
          <cell r="K24"/>
          <cell r="L24" t="str">
            <v/>
          </cell>
          <cell r="M24" t="str">
            <v/>
          </cell>
          <cell r="N24" t="str">
            <v/>
          </cell>
          <cell r="O24">
            <v>900</v>
          </cell>
          <cell r="P24">
            <v>500</v>
          </cell>
          <cell r="Q24"/>
          <cell r="R24" t="str">
            <v/>
          </cell>
          <cell r="S24" t="str">
            <v/>
          </cell>
          <cell r="T24" t="str">
            <v/>
          </cell>
          <cell r="U24">
            <v>900</v>
          </cell>
          <cell r="V24">
            <v>500</v>
          </cell>
          <cell r="W24"/>
          <cell r="X24"/>
          <cell r="Y24"/>
          <cell r="Z24"/>
          <cell r="AA24">
            <v>39448</v>
          </cell>
          <cell r="AB24" t="str">
            <v/>
          </cell>
          <cell r="AC24" t="str">
            <v/>
          </cell>
          <cell r="AD24" t="str">
            <v/>
          </cell>
          <cell r="AE24"/>
          <cell r="AF24"/>
          <cell r="AG24">
            <v>0</v>
          </cell>
          <cell r="AH24" t="str">
            <v/>
          </cell>
          <cell r="AI24" t="str">
            <v/>
          </cell>
          <cell r="AJ24" t="str">
            <v/>
          </cell>
          <cell r="AK24">
            <v>39448</v>
          </cell>
          <cell r="AL24" t="str">
            <v/>
          </cell>
          <cell r="AM24" t="str">
            <v/>
          </cell>
          <cell r="AN24" t="str">
            <v/>
          </cell>
          <cell r="AO24"/>
          <cell r="AP24"/>
          <cell r="AQ24">
            <v>0</v>
          </cell>
          <cell r="AR24" t="str">
            <v/>
          </cell>
          <cell r="AS24" t="str">
            <v/>
          </cell>
          <cell r="AT24" t="str">
            <v/>
          </cell>
          <cell r="AU24">
            <v>39448</v>
          </cell>
          <cell r="AV24" t="str">
            <v/>
          </cell>
          <cell r="AW24">
            <v>0</v>
          </cell>
          <cell r="AX24"/>
          <cell r="AY24"/>
        </row>
        <row r="25">
          <cell r="D25">
            <v>39479</v>
          </cell>
          <cell r="E25"/>
          <cell r="F25" t="str">
            <v/>
          </cell>
          <cell r="G25" t="str">
            <v/>
          </cell>
          <cell r="H25" t="str">
            <v/>
          </cell>
          <cell r="I25">
            <v>100</v>
          </cell>
          <cell r="J25">
            <v>0</v>
          </cell>
          <cell r="K25"/>
          <cell r="L25" t="str">
            <v/>
          </cell>
          <cell r="M25" t="str">
            <v/>
          </cell>
          <cell r="N25" t="str">
            <v/>
          </cell>
          <cell r="O25">
            <v>900</v>
          </cell>
          <cell r="P25">
            <v>500</v>
          </cell>
          <cell r="Q25"/>
          <cell r="R25" t="str">
            <v/>
          </cell>
          <cell r="S25" t="str">
            <v/>
          </cell>
          <cell r="T25" t="str">
            <v/>
          </cell>
          <cell r="U25">
            <v>900</v>
          </cell>
          <cell r="V25">
            <v>500</v>
          </cell>
          <cell r="W25"/>
          <cell r="X25"/>
          <cell r="Y25"/>
          <cell r="Z25"/>
          <cell r="AA25">
            <v>39479</v>
          </cell>
          <cell r="AB25" t="str">
            <v/>
          </cell>
          <cell r="AC25" t="str">
            <v/>
          </cell>
          <cell r="AD25" t="str">
            <v/>
          </cell>
          <cell r="AE25"/>
          <cell r="AF25"/>
          <cell r="AG25">
            <v>0</v>
          </cell>
          <cell r="AH25" t="str">
            <v/>
          </cell>
          <cell r="AI25" t="str">
            <v/>
          </cell>
          <cell r="AJ25" t="str">
            <v/>
          </cell>
          <cell r="AK25">
            <v>39479</v>
          </cell>
          <cell r="AL25" t="str">
            <v/>
          </cell>
          <cell r="AM25" t="str">
            <v/>
          </cell>
          <cell r="AN25" t="str">
            <v/>
          </cell>
          <cell r="AO25"/>
          <cell r="AP25"/>
          <cell r="AQ25">
            <v>0</v>
          </cell>
          <cell r="AR25" t="str">
            <v/>
          </cell>
          <cell r="AS25" t="str">
            <v/>
          </cell>
          <cell r="AT25" t="str">
            <v/>
          </cell>
          <cell r="AU25">
            <v>39479</v>
          </cell>
          <cell r="AV25" t="str">
            <v/>
          </cell>
          <cell r="AW25">
            <v>0</v>
          </cell>
          <cell r="AX25"/>
          <cell r="AY25"/>
        </row>
        <row r="26">
          <cell r="D26">
            <v>39508</v>
          </cell>
          <cell r="E26">
            <v>934</v>
          </cell>
          <cell r="F26" t="str">
            <v>c</v>
          </cell>
          <cell r="G26" t="str">
            <v>c</v>
          </cell>
          <cell r="H26" t="str">
            <v>g</v>
          </cell>
          <cell r="I26">
            <v>100</v>
          </cell>
          <cell r="J26">
            <v>0</v>
          </cell>
          <cell r="K26">
            <v>35</v>
          </cell>
          <cell r="L26" t="str">
            <v>c</v>
          </cell>
          <cell r="M26" t="str">
            <v>c</v>
          </cell>
          <cell r="N26" t="str">
            <v>g</v>
          </cell>
          <cell r="O26">
            <v>900</v>
          </cell>
          <cell r="P26">
            <v>500</v>
          </cell>
          <cell r="Q26">
            <v>26.685714285714287</v>
          </cell>
          <cell r="R26" t="str">
            <v>c</v>
          </cell>
          <cell r="S26" t="str">
            <v>c</v>
          </cell>
          <cell r="T26" t="str">
            <v>g</v>
          </cell>
          <cell r="U26">
            <v>900</v>
          </cell>
          <cell r="V26">
            <v>500</v>
          </cell>
          <cell r="W26"/>
          <cell r="X26"/>
          <cell r="Y26"/>
          <cell r="Z26"/>
          <cell r="AA26">
            <v>39508</v>
          </cell>
          <cell r="AB26" t="str">
            <v/>
          </cell>
          <cell r="AC26">
            <v>934</v>
          </cell>
          <cell r="AD26"/>
          <cell r="AE26"/>
          <cell r="AF26"/>
          <cell r="AG26">
            <v>0</v>
          </cell>
          <cell r="AH26" t="str">
            <v/>
          </cell>
          <cell r="AI26" t="str">
            <v/>
          </cell>
          <cell r="AJ26" t="str">
            <v/>
          </cell>
          <cell r="AK26">
            <v>39508</v>
          </cell>
          <cell r="AL26" t="str">
            <v/>
          </cell>
          <cell r="AM26">
            <v>35</v>
          </cell>
          <cell r="AN26"/>
          <cell r="AO26"/>
          <cell r="AP26"/>
          <cell r="AQ26">
            <v>0</v>
          </cell>
          <cell r="AR26" t="str">
            <v/>
          </cell>
          <cell r="AS26" t="str">
            <v/>
          </cell>
          <cell r="AT26" t="str">
            <v/>
          </cell>
          <cell r="AU26">
            <v>39508</v>
          </cell>
          <cell r="AV26" t="str">
            <v/>
          </cell>
          <cell r="AW26">
            <v>26.685714285714287</v>
          </cell>
          <cell r="AX26"/>
          <cell r="AY26"/>
        </row>
        <row r="27">
          <cell r="D27">
            <v>39539</v>
          </cell>
          <cell r="E27">
            <v>888</v>
          </cell>
          <cell r="F27" t="str">
            <v>c</v>
          </cell>
          <cell r="G27" t="str">
            <v>c</v>
          </cell>
          <cell r="H27" t="str">
            <v>g</v>
          </cell>
          <cell r="I27">
            <v>100</v>
          </cell>
          <cell r="J27">
            <v>0</v>
          </cell>
          <cell r="K27"/>
          <cell r="L27" t="str">
            <v/>
          </cell>
          <cell r="M27" t="str">
            <v/>
          </cell>
          <cell r="N27" t="str">
            <v/>
          </cell>
          <cell r="O27">
            <v>900</v>
          </cell>
          <cell r="P27">
            <v>500</v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>
            <v>900</v>
          </cell>
          <cell r="V27">
            <v>500</v>
          </cell>
          <cell r="W27"/>
          <cell r="X27"/>
          <cell r="Y27"/>
          <cell r="Z27"/>
          <cell r="AA27">
            <v>39539</v>
          </cell>
          <cell r="AB27" t="str">
            <v/>
          </cell>
          <cell r="AC27">
            <v>888</v>
          </cell>
          <cell r="AD27"/>
          <cell r="AE27"/>
          <cell r="AF27"/>
          <cell r="AG27">
            <v>0</v>
          </cell>
          <cell r="AH27" t="str">
            <v/>
          </cell>
          <cell r="AI27" t="str">
            <v/>
          </cell>
          <cell r="AJ27" t="str">
            <v/>
          </cell>
          <cell r="AK27">
            <v>39539</v>
          </cell>
          <cell r="AL27" t="str">
            <v/>
          </cell>
          <cell r="AM27" t="str">
            <v/>
          </cell>
          <cell r="AN27" t="str">
            <v/>
          </cell>
          <cell r="AO27"/>
          <cell r="AP27"/>
          <cell r="AQ27">
            <v>0</v>
          </cell>
          <cell r="AR27" t="str">
            <v/>
          </cell>
          <cell r="AS27" t="str">
            <v/>
          </cell>
          <cell r="AT27" t="str">
            <v/>
          </cell>
          <cell r="AU27">
            <v>39539</v>
          </cell>
          <cell r="AV27" t="str">
            <v/>
          </cell>
          <cell r="AW27" t="str">
            <v/>
          </cell>
          <cell r="AX27" t="str">
            <v/>
          </cell>
          <cell r="AY27"/>
        </row>
        <row r="28">
          <cell r="D28">
            <v>39569</v>
          </cell>
          <cell r="E28">
            <v>1058</v>
          </cell>
          <cell r="F28" t="str">
            <v>c</v>
          </cell>
          <cell r="G28" t="str">
            <v>c</v>
          </cell>
          <cell r="H28" t="str">
            <v>g</v>
          </cell>
          <cell r="I28">
            <v>100</v>
          </cell>
          <cell r="J28">
            <v>0</v>
          </cell>
          <cell r="K28"/>
          <cell r="L28" t="str">
            <v/>
          </cell>
          <cell r="M28" t="str">
            <v/>
          </cell>
          <cell r="N28" t="str">
            <v/>
          </cell>
          <cell r="O28">
            <v>900</v>
          </cell>
          <cell r="P28">
            <v>500</v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  <cell r="U28">
            <v>900</v>
          </cell>
          <cell r="V28">
            <v>500</v>
          </cell>
          <cell r="W28"/>
          <cell r="X28"/>
          <cell r="Y28"/>
          <cell r="Z28"/>
          <cell r="AA28">
            <v>39569</v>
          </cell>
          <cell r="AB28" t="str">
            <v/>
          </cell>
          <cell r="AC28">
            <v>1058</v>
          </cell>
          <cell r="AD28"/>
          <cell r="AE28"/>
          <cell r="AF28"/>
          <cell r="AG28">
            <v>0</v>
          </cell>
          <cell r="AH28" t="str">
            <v/>
          </cell>
          <cell r="AI28" t="str">
            <v/>
          </cell>
          <cell r="AJ28" t="str">
            <v/>
          </cell>
          <cell r="AK28">
            <v>39569</v>
          </cell>
          <cell r="AL28" t="str">
            <v/>
          </cell>
          <cell r="AM28" t="str">
            <v/>
          </cell>
          <cell r="AN28" t="str">
            <v/>
          </cell>
          <cell r="AO28"/>
          <cell r="AP28"/>
          <cell r="AQ28">
            <v>0</v>
          </cell>
          <cell r="AR28" t="str">
            <v/>
          </cell>
          <cell r="AS28" t="str">
            <v/>
          </cell>
          <cell r="AT28" t="str">
            <v/>
          </cell>
          <cell r="AU28">
            <v>39569</v>
          </cell>
          <cell r="AV28" t="str">
            <v/>
          </cell>
          <cell r="AW28" t="str">
            <v/>
          </cell>
          <cell r="AX28" t="str">
            <v/>
          </cell>
          <cell r="AY28"/>
        </row>
        <row r="29">
          <cell r="D29">
            <v>39600</v>
          </cell>
          <cell r="E29">
            <v>762</v>
          </cell>
          <cell r="F29" t="str">
            <v>c</v>
          </cell>
          <cell r="G29" t="str">
            <v>c</v>
          </cell>
          <cell r="H29" t="str">
            <v>g</v>
          </cell>
          <cell r="I29">
            <v>100</v>
          </cell>
          <cell r="J29">
            <v>0</v>
          </cell>
          <cell r="K29"/>
          <cell r="L29" t="str">
            <v/>
          </cell>
          <cell r="M29" t="str">
            <v/>
          </cell>
          <cell r="N29" t="str">
            <v/>
          </cell>
          <cell r="O29">
            <v>900</v>
          </cell>
          <cell r="P29">
            <v>500</v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>
            <v>900</v>
          </cell>
          <cell r="V29">
            <v>500</v>
          </cell>
          <cell r="W29"/>
          <cell r="X29"/>
          <cell r="Y29"/>
          <cell r="Z29"/>
          <cell r="AA29">
            <v>39600</v>
          </cell>
          <cell r="AB29" t="str">
            <v/>
          </cell>
          <cell r="AC29">
            <v>762</v>
          </cell>
          <cell r="AD29"/>
          <cell r="AE29"/>
          <cell r="AF29"/>
          <cell r="AG29">
            <v>0</v>
          </cell>
          <cell r="AH29" t="str">
            <v/>
          </cell>
          <cell r="AI29" t="str">
            <v/>
          </cell>
          <cell r="AJ29" t="str">
            <v/>
          </cell>
          <cell r="AK29">
            <v>39600</v>
          </cell>
          <cell r="AL29" t="str">
            <v/>
          </cell>
          <cell r="AM29" t="str">
            <v/>
          </cell>
          <cell r="AN29" t="str">
            <v/>
          </cell>
          <cell r="AO29"/>
          <cell r="AP29"/>
          <cell r="AQ29">
            <v>0</v>
          </cell>
          <cell r="AR29" t="str">
            <v/>
          </cell>
          <cell r="AS29" t="str">
            <v/>
          </cell>
          <cell r="AT29" t="str">
            <v/>
          </cell>
          <cell r="AU29">
            <v>39600</v>
          </cell>
          <cell r="AV29" t="str">
            <v/>
          </cell>
          <cell r="AW29" t="str">
            <v/>
          </cell>
          <cell r="AX29" t="str">
            <v/>
          </cell>
          <cell r="AY29"/>
        </row>
        <row r="30">
          <cell r="D30">
            <v>39630</v>
          </cell>
          <cell r="E30">
            <v>782</v>
          </cell>
          <cell r="F30" t="str">
            <v>c</v>
          </cell>
          <cell r="G30" t="str">
            <v>c</v>
          </cell>
          <cell r="H30" t="str">
            <v>g</v>
          </cell>
          <cell r="I30">
            <v>100</v>
          </cell>
          <cell r="J30">
            <v>0</v>
          </cell>
          <cell r="K30"/>
          <cell r="L30" t="str">
            <v/>
          </cell>
          <cell r="M30" t="str">
            <v/>
          </cell>
          <cell r="N30" t="str">
            <v/>
          </cell>
          <cell r="O30">
            <v>900</v>
          </cell>
          <cell r="P30">
            <v>500</v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  <cell r="U30">
            <v>900</v>
          </cell>
          <cell r="V30">
            <v>500</v>
          </cell>
          <cell r="W30"/>
          <cell r="X30"/>
          <cell r="Y30"/>
          <cell r="Z30"/>
          <cell r="AA30">
            <v>39630</v>
          </cell>
          <cell r="AB30" t="str">
            <v/>
          </cell>
          <cell r="AC30">
            <v>782</v>
          </cell>
          <cell r="AD30"/>
          <cell r="AE30"/>
          <cell r="AF30"/>
          <cell r="AG30">
            <v>0</v>
          </cell>
          <cell r="AH30" t="str">
            <v/>
          </cell>
          <cell r="AI30" t="str">
            <v/>
          </cell>
          <cell r="AJ30" t="str">
            <v/>
          </cell>
          <cell r="AK30">
            <v>39630</v>
          </cell>
          <cell r="AL30" t="str">
            <v/>
          </cell>
          <cell r="AM30" t="str">
            <v/>
          </cell>
          <cell r="AN30" t="str">
            <v/>
          </cell>
          <cell r="AO30"/>
          <cell r="AP30"/>
          <cell r="AQ30">
            <v>0</v>
          </cell>
          <cell r="AR30" t="str">
            <v/>
          </cell>
          <cell r="AS30" t="str">
            <v/>
          </cell>
          <cell r="AT30" t="str">
            <v/>
          </cell>
          <cell r="AU30">
            <v>39630</v>
          </cell>
          <cell r="AV30" t="str">
            <v/>
          </cell>
          <cell r="AW30" t="str">
            <v/>
          </cell>
          <cell r="AX30" t="str">
            <v/>
          </cell>
          <cell r="AY30"/>
        </row>
        <row r="31">
          <cell r="D31">
            <v>39661</v>
          </cell>
          <cell r="E31">
            <v>716</v>
          </cell>
          <cell r="F31" t="str">
            <v>c</v>
          </cell>
          <cell r="G31" t="str">
            <v>c</v>
          </cell>
          <cell r="H31" t="str">
            <v>g</v>
          </cell>
          <cell r="I31">
            <v>100</v>
          </cell>
          <cell r="J31">
            <v>0</v>
          </cell>
          <cell r="K31"/>
          <cell r="L31" t="str">
            <v/>
          </cell>
          <cell r="M31" t="str">
            <v/>
          </cell>
          <cell r="N31" t="str">
            <v/>
          </cell>
          <cell r="O31">
            <v>900</v>
          </cell>
          <cell r="P31">
            <v>500</v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  <cell r="U31">
            <v>900</v>
          </cell>
          <cell r="V31">
            <v>500</v>
          </cell>
          <cell r="W31"/>
          <cell r="X31"/>
          <cell r="Y31"/>
          <cell r="Z31"/>
          <cell r="AA31">
            <v>39661</v>
          </cell>
          <cell r="AB31" t="str">
            <v/>
          </cell>
          <cell r="AC31">
            <v>716</v>
          </cell>
          <cell r="AD31"/>
          <cell r="AE31" t="e">
            <v>#VALUE!</v>
          </cell>
          <cell r="AF31"/>
          <cell r="AG31">
            <v>0</v>
          </cell>
          <cell r="AH31" t="str">
            <v/>
          </cell>
          <cell r="AI31" t="str">
            <v/>
          </cell>
          <cell r="AJ31" t="str">
            <v/>
          </cell>
          <cell r="AK31">
            <v>39661</v>
          </cell>
          <cell r="AL31" t="str">
            <v/>
          </cell>
          <cell r="AM31" t="str">
            <v/>
          </cell>
          <cell r="AN31" t="str">
            <v/>
          </cell>
          <cell r="AO31" t="str">
            <v/>
          </cell>
          <cell r="AP31"/>
          <cell r="AQ31">
            <v>0</v>
          </cell>
          <cell r="AR31" t="str">
            <v/>
          </cell>
          <cell r="AS31" t="str">
            <v/>
          </cell>
          <cell r="AT31" t="str">
            <v/>
          </cell>
          <cell r="AU31">
            <v>39661</v>
          </cell>
          <cell r="AV31" t="str">
            <v/>
          </cell>
          <cell r="AW31" t="str">
            <v/>
          </cell>
          <cell r="AX31" t="str">
            <v/>
          </cell>
          <cell r="AY31" t="str">
            <v/>
          </cell>
        </row>
        <row r="32">
          <cell r="D32">
            <v>39692</v>
          </cell>
          <cell r="E32">
            <v>619</v>
          </cell>
          <cell r="F32" t="str">
            <v>c</v>
          </cell>
          <cell r="G32" t="str">
            <v>c</v>
          </cell>
          <cell r="H32" t="str">
            <v>g</v>
          </cell>
          <cell r="I32">
            <v>100</v>
          </cell>
          <cell r="J32">
            <v>0</v>
          </cell>
          <cell r="K32"/>
          <cell r="L32"/>
          <cell r="M32"/>
          <cell r="N32"/>
          <cell r="O32">
            <v>900</v>
          </cell>
          <cell r="P32">
            <v>500</v>
          </cell>
          <cell r="Q32" t="str">
            <v/>
          </cell>
          <cell r="R32"/>
          <cell r="S32"/>
          <cell r="T32"/>
          <cell r="U32">
            <v>900</v>
          </cell>
          <cell r="V32">
            <v>500</v>
          </cell>
          <cell r="W32"/>
          <cell r="X32"/>
          <cell r="Y32"/>
          <cell r="Z32"/>
          <cell r="AA32">
            <v>39692</v>
          </cell>
          <cell r="AB32" t="str">
            <v/>
          </cell>
          <cell r="AC32">
            <v>619</v>
          </cell>
          <cell r="AD32"/>
          <cell r="AE32" t="e">
            <v>#VALUE!</v>
          </cell>
          <cell r="AF32"/>
          <cell r="AG32">
            <v>0</v>
          </cell>
          <cell r="AH32" t="str">
            <v/>
          </cell>
          <cell r="AI32" t="str">
            <v/>
          </cell>
          <cell r="AJ32" t="str">
            <v/>
          </cell>
          <cell r="AK32">
            <v>39692</v>
          </cell>
          <cell r="AL32" t="str">
            <v/>
          </cell>
          <cell r="AM32" t="str">
            <v/>
          </cell>
          <cell r="AN32"/>
          <cell r="AO32" t="str">
            <v/>
          </cell>
          <cell r="AP32"/>
          <cell r="AQ32">
            <v>0</v>
          </cell>
          <cell r="AR32" t="str">
            <v/>
          </cell>
          <cell r="AS32" t="str">
            <v/>
          </cell>
          <cell r="AT32" t="str">
            <v/>
          </cell>
          <cell r="AU32">
            <v>39692</v>
          </cell>
          <cell r="AV32" t="str">
            <v/>
          </cell>
          <cell r="AW32"/>
          <cell r="AX32" t="str">
            <v/>
          </cell>
          <cell r="AY32" t="str">
            <v/>
          </cell>
        </row>
        <row r="33">
          <cell r="D33">
            <v>39722</v>
          </cell>
          <cell r="E33">
            <v>636</v>
          </cell>
          <cell r="F33" t="str">
            <v>c</v>
          </cell>
          <cell r="G33" t="str">
            <v>c</v>
          </cell>
          <cell r="H33" t="str">
            <v>g</v>
          </cell>
          <cell r="I33">
            <v>100</v>
          </cell>
          <cell r="J33">
            <v>0</v>
          </cell>
          <cell r="K33"/>
          <cell r="L33"/>
          <cell r="M33"/>
          <cell r="N33"/>
          <cell r="O33">
            <v>900</v>
          </cell>
          <cell r="P33">
            <v>500</v>
          </cell>
          <cell r="Q33" t="str">
            <v/>
          </cell>
          <cell r="R33"/>
          <cell r="S33"/>
          <cell r="T33"/>
          <cell r="U33">
            <v>900</v>
          </cell>
          <cell r="V33">
            <v>500</v>
          </cell>
          <cell r="W33"/>
          <cell r="X33"/>
          <cell r="Y33"/>
          <cell r="Z33"/>
          <cell r="AA33">
            <v>39722</v>
          </cell>
          <cell r="AB33" t="str">
            <v/>
          </cell>
          <cell r="AC33">
            <v>636</v>
          </cell>
          <cell r="AD33"/>
          <cell r="AE33" t="e">
            <v>#VALUE!</v>
          </cell>
          <cell r="AF33"/>
          <cell r="AG33">
            <v>0</v>
          </cell>
          <cell r="AH33" t="str">
            <v/>
          </cell>
          <cell r="AI33" t="str">
            <v/>
          </cell>
          <cell r="AJ33" t="str">
            <v/>
          </cell>
          <cell r="AK33">
            <v>39722</v>
          </cell>
          <cell r="AL33" t="str">
            <v/>
          </cell>
          <cell r="AM33" t="str">
            <v/>
          </cell>
          <cell r="AN33"/>
          <cell r="AO33" t="str">
            <v/>
          </cell>
          <cell r="AP33"/>
          <cell r="AQ33">
            <v>0</v>
          </cell>
          <cell r="AR33" t="str">
            <v/>
          </cell>
          <cell r="AS33" t="str">
            <v/>
          </cell>
          <cell r="AT33" t="str">
            <v/>
          </cell>
          <cell r="AU33">
            <v>39722</v>
          </cell>
          <cell r="AV33" t="str">
            <v/>
          </cell>
          <cell r="AW33"/>
          <cell r="AX33" t="str">
            <v/>
          </cell>
          <cell r="AY33" t="str">
            <v/>
          </cell>
        </row>
        <row r="34">
          <cell r="D34">
            <v>39753</v>
          </cell>
          <cell r="E34">
            <v>543</v>
          </cell>
          <cell r="F34" t="str">
            <v>c</v>
          </cell>
          <cell r="G34" t="str">
            <v>c</v>
          </cell>
          <cell r="H34" t="str">
            <v>g</v>
          </cell>
          <cell r="I34">
            <v>100</v>
          </cell>
          <cell r="J34">
            <v>0</v>
          </cell>
          <cell r="K34"/>
          <cell r="L34"/>
          <cell r="M34"/>
          <cell r="N34"/>
          <cell r="O34">
            <v>900</v>
          </cell>
          <cell r="P34">
            <v>500</v>
          </cell>
          <cell r="Q34" t="str">
            <v/>
          </cell>
          <cell r="R34"/>
          <cell r="S34"/>
          <cell r="T34"/>
          <cell r="U34">
            <v>900</v>
          </cell>
          <cell r="V34">
            <v>500</v>
          </cell>
          <cell r="W34"/>
          <cell r="X34"/>
          <cell r="Y34"/>
          <cell r="Z34"/>
          <cell r="AA34">
            <v>39753</v>
          </cell>
          <cell r="AB34">
            <v>543</v>
          </cell>
          <cell r="AC34">
            <v>543</v>
          </cell>
          <cell r="AD34">
            <v>0</v>
          </cell>
          <cell r="AE34">
            <v>0</v>
          </cell>
          <cell r="AF34"/>
          <cell r="AG34">
            <v>0</v>
          </cell>
          <cell r="AH34" t="str">
            <v/>
          </cell>
          <cell r="AI34" t="str">
            <v/>
          </cell>
          <cell r="AJ34" t="str">
            <v/>
          </cell>
          <cell r="AK34">
            <v>39753</v>
          </cell>
          <cell r="AL34" t="str">
            <v/>
          </cell>
          <cell r="AM34" t="str">
            <v/>
          </cell>
          <cell r="AN34"/>
          <cell r="AO34" t="str">
            <v/>
          </cell>
          <cell r="AP34"/>
          <cell r="AQ34">
            <v>0</v>
          </cell>
          <cell r="AR34" t="str">
            <v/>
          </cell>
          <cell r="AS34" t="str">
            <v/>
          </cell>
          <cell r="AT34" t="str">
            <v/>
          </cell>
          <cell r="AU34">
            <v>39753</v>
          </cell>
          <cell r="AV34" t="str">
            <v/>
          </cell>
          <cell r="AW34"/>
          <cell r="AX34" t="str">
            <v/>
          </cell>
          <cell r="AY34" t="str">
            <v/>
          </cell>
        </row>
        <row r="35">
          <cell r="D35">
            <v>39783</v>
          </cell>
          <cell r="E35">
            <v>498</v>
          </cell>
          <cell r="F35" t="str">
            <v>c</v>
          </cell>
          <cell r="G35" t="str">
            <v>c</v>
          </cell>
          <cell r="H35" t="str">
            <v>g</v>
          </cell>
          <cell r="I35">
            <v>100</v>
          </cell>
          <cell r="J35">
            <v>0</v>
          </cell>
          <cell r="K35"/>
          <cell r="L35"/>
          <cell r="M35"/>
          <cell r="N35"/>
          <cell r="O35">
            <v>900</v>
          </cell>
          <cell r="P35">
            <v>500</v>
          </cell>
          <cell r="Q35" t="str">
            <v/>
          </cell>
          <cell r="R35"/>
          <cell r="S35"/>
          <cell r="T35"/>
          <cell r="U35">
            <v>900</v>
          </cell>
          <cell r="V35">
            <v>500</v>
          </cell>
          <cell r="W35"/>
          <cell r="X35"/>
          <cell r="Y35"/>
          <cell r="Z35"/>
          <cell r="AA35">
            <v>39783</v>
          </cell>
          <cell r="AB35">
            <v>519</v>
          </cell>
          <cell r="AC35">
            <v>498</v>
          </cell>
          <cell r="AD35">
            <v>-21</v>
          </cell>
          <cell r="AE35">
            <v>-4.0462427745664775E-2</v>
          </cell>
          <cell r="AF35"/>
          <cell r="AG35">
            <v>0</v>
          </cell>
          <cell r="AH35" t="str">
            <v/>
          </cell>
          <cell r="AI35" t="str">
            <v/>
          </cell>
          <cell r="AJ35" t="str">
            <v/>
          </cell>
          <cell r="AK35">
            <v>39783</v>
          </cell>
          <cell r="AL35">
            <v>18</v>
          </cell>
          <cell r="AM35" t="str">
            <v/>
          </cell>
          <cell r="AN35"/>
          <cell r="AO35" t="str">
            <v/>
          </cell>
          <cell r="AP35"/>
          <cell r="AQ35">
            <v>0</v>
          </cell>
          <cell r="AR35" t="str">
            <v/>
          </cell>
          <cell r="AS35" t="str">
            <v/>
          </cell>
          <cell r="AT35" t="str">
            <v/>
          </cell>
          <cell r="AU35">
            <v>39783</v>
          </cell>
          <cell r="AV35">
            <v>28.833333333333332</v>
          </cell>
          <cell r="AW35"/>
          <cell r="AX35" t="str">
            <v/>
          </cell>
          <cell r="AY35" t="str">
            <v/>
          </cell>
        </row>
        <row r="36">
          <cell r="D36">
            <v>39814</v>
          </cell>
          <cell r="E36"/>
          <cell r="F36" t="str">
            <v/>
          </cell>
          <cell r="G36" t="str">
            <v/>
          </cell>
          <cell r="H36" t="str">
            <v/>
          </cell>
          <cell r="I36">
            <v>100</v>
          </cell>
          <cell r="J36">
            <v>0</v>
          </cell>
          <cell r="K36"/>
          <cell r="L36"/>
          <cell r="M36"/>
          <cell r="N36"/>
          <cell r="O36"/>
          <cell r="P36"/>
          <cell r="Q36" t="str">
            <v/>
          </cell>
          <cell r="R36"/>
          <cell r="S36"/>
          <cell r="T36"/>
          <cell r="U36"/>
          <cell r="V36"/>
          <cell r="W36"/>
          <cell r="X36"/>
          <cell r="Y36"/>
          <cell r="Z36"/>
          <cell r="AA36">
            <v>39814</v>
          </cell>
          <cell r="AB36" t="str">
            <v/>
          </cell>
          <cell r="AC36" t="str">
            <v/>
          </cell>
          <cell r="AD36" t="str">
            <v/>
          </cell>
          <cell r="AE36" t="str">
            <v/>
          </cell>
          <cell r="AF36"/>
          <cell r="AG36">
            <v>0</v>
          </cell>
          <cell r="AH36" t="str">
            <v/>
          </cell>
          <cell r="AI36" t="str">
            <v/>
          </cell>
          <cell r="AJ36" t="str">
            <v/>
          </cell>
          <cell r="AK36">
            <v>39814</v>
          </cell>
          <cell r="AL36" t="str">
            <v/>
          </cell>
          <cell r="AM36" t="str">
            <v/>
          </cell>
          <cell r="AN36"/>
          <cell r="AO36" t="str">
            <v/>
          </cell>
          <cell r="AP36"/>
          <cell r="AQ36">
            <v>0</v>
          </cell>
          <cell r="AR36" t="str">
            <v/>
          </cell>
          <cell r="AS36" t="str">
            <v/>
          </cell>
          <cell r="AT36" t="str">
            <v/>
          </cell>
          <cell r="AU36">
            <v>39814</v>
          </cell>
          <cell r="AV36">
            <v>0</v>
          </cell>
          <cell r="AW36"/>
          <cell r="AX36" t="str">
            <v/>
          </cell>
          <cell r="AY36" t="str">
            <v/>
          </cell>
        </row>
        <row r="37">
          <cell r="D37">
            <v>39845</v>
          </cell>
          <cell r="E37"/>
          <cell r="F37" t="str">
            <v/>
          </cell>
          <cell r="G37" t="str">
            <v/>
          </cell>
          <cell r="H37" t="str">
            <v/>
          </cell>
          <cell r="I37">
            <v>100</v>
          </cell>
          <cell r="J37">
            <v>0</v>
          </cell>
          <cell r="K37"/>
          <cell r="L37"/>
          <cell r="M37"/>
          <cell r="N37"/>
          <cell r="O37"/>
          <cell r="P37"/>
          <cell r="Q37" t="str">
            <v/>
          </cell>
          <cell r="R37"/>
          <cell r="S37"/>
          <cell r="T37"/>
          <cell r="U37"/>
          <cell r="V37"/>
          <cell r="W37"/>
          <cell r="X37"/>
          <cell r="Y37"/>
          <cell r="Z37"/>
          <cell r="AA37">
            <v>39845</v>
          </cell>
          <cell r="AB37" t="str">
            <v/>
          </cell>
          <cell r="AC37" t="str">
            <v/>
          </cell>
          <cell r="AD37" t="str">
            <v/>
          </cell>
          <cell r="AE37" t="str">
            <v/>
          </cell>
          <cell r="AF37"/>
          <cell r="AG37">
            <v>0</v>
          </cell>
          <cell r="AH37" t="str">
            <v/>
          </cell>
          <cell r="AI37" t="str">
            <v/>
          </cell>
          <cell r="AJ37" t="str">
            <v/>
          </cell>
          <cell r="AK37">
            <v>39845</v>
          </cell>
          <cell r="AL37" t="str">
            <v/>
          </cell>
          <cell r="AM37" t="str">
            <v/>
          </cell>
          <cell r="AN37"/>
          <cell r="AO37" t="str">
            <v/>
          </cell>
          <cell r="AP37"/>
          <cell r="AQ37">
            <v>0</v>
          </cell>
          <cell r="AR37" t="str">
            <v/>
          </cell>
          <cell r="AS37" t="str">
            <v/>
          </cell>
          <cell r="AT37" t="str">
            <v/>
          </cell>
          <cell r="AU37">
            <v>39845</v>
          </cell>
          <cell r="AV37">
            <v>0</v>
          </cell>
          <cell r="AW37"/>
          <cell r="AX37" t="str">
            <v/>
          </cell>
          <cell r="AY37" t="str">
            <v/>
          </cell>
        </row>
        <row r="38">
          <cell r="D38">
            <v>39873</v>
          </cell>
          <cell r="E38"/>
          <cell r="F38" t="str">
            <v/>
          </cell>
          <cell r="G38" t="str">
            <v/>
          </cell>
          <cell r="H38" t="str">
            <v/>
          </cell>
          <cell r="I38">
            <v>100</v>
          </cell>
          <cell r="J38">
            <v>0</v>
          </cell>
          <cell r="K38"/>
          <cell r="L38"/>
          <cell r="M38"/>
          <cell r="N38"/>
          <cell r="O38"/>
          <cell r="P38"/>
          <cell r="Q38" t="str">
            <v/>
          </cell>
          <cell r="R38"/>
          <cell r="S38"/>
          <cell r="T38"/>
          <cell r="U38"/>
          <cell r="V38"/>
          <cell r="W38"/>
          <cell r="X38"/>
          <cell r="Y38"/>
          <cell r="Z38"/>
          <cell r="AA38">
            <v>39873</v>
          </cell>
          <cell r="AB38">
            <v>934</v>
          </cell>
          <cell r="AC38" t="str">
            <v/>
          </cell>
          <cell r="AD38" t="str">
            <v/>
          </cell>
          <cell r="AE38" t="str">
            <v/>
          </cell>
          <cell r="AF38"/>
          <cell r="AG38">
            <v>0</v>
          </cell>
          <cell r="AH38" t="str">
            <v/>
          </cell>
          <cell r="AI38" t="str">
            <v/>
          </cell>
          <cell r="AJ38" t="str">
            <v/>
          </cell>
          <cell r="AK38">
            <v>39873</v>
          </cell>
          <cell r="AL38">
            <v>35</v>
          </cell>
          <cell r="AM38" t="str">
            <v/>
          </cell>
          <cell r="AN38"/>
          <cell r="AO38" t="str">
            <v/>
          </cell>
          <cell r="AP38"/>
          <cell r="AQ38">
            <v>0</v>
          </cell>
          <cell r="AR38" t="str">
            <v/>
          </cell>
          <cell r="AS38" t="str">
            <v/>
          </cell>
          <cell r="AT38" t="str">
            <v/>
          </cell>
          <cell r="AU38">
            <v>39873</v>
          </cell>
          <cell r="AV38">
            <v>26.685714285714287</v>
          </cell>
          <cell r="AW38"/>
          <cell r="AX38" t="str">
            <v/>
          </cell>
          <cell r="AY38" t="str">
            <v/>
          </cell>
        </row>
        <row r="39">
          <cell r="D39">
            <v>39904</v>
          </cell>
          <cell r="E39"/>
          <cell r="F39" t="str">
            <v/>
          </cell>
          <cell r="G39" t="str">
            <v/>
          </cell>
          <cell r="H39" t="str">
            <v/>
          </cell>
          <cell r="I39">
            <v>100</v>
          </cell>
          <cell r="J39">
            <v>0</v>
          </cell>
          <cell r="K39"/>
          <cell r="L39"/>
          <cell r="M39"/>
          <cell r="N39"/>
          <cell r="O39"/>
          <cell r="P39"/>
          <cell r="Q39" t="str">
            <v/>
          </cell>
          <cell r="R39"/>
          <cell r="S39"/>
          <cell r="T39"/>
          <cell r="U39"/>
          <cell r="V39"/>
          <cell r="AA39">
            <v>39904</v>
          </cell>
          <cell r="AB39">
            <v>888</v>
          </cell>
          <cell r="AC39" t="str">
            <v/>
          </cell>
          <cell r="AD39" t="str">
            <v/>
          </cell>
          <cell r="AE39" t="str">
            <v/>
          </cell>
          <cell r="AF39"/>
          <cell r="AG39">
            <v>0</v>
          </cell>
          <cell r="AH39" t="str">
            <v/>
          </cell>
          <cell r="AI39" t="str">
            <v/>
          </cell>
          <cell r="AJ39" t="str">
            <v/>
          </cell>
          <cell r="AK39">
            <v>39904</v>
          </cell>
          <cell r="AL39" t="str">
            <v/>
          </cell>
          <cell r="AM39" t="str">
            <v/>
          </cell>
          <cell r="AN39"/>
          <cell r="AO39" t="str">
            <v/>
          </cell>
          <cell r="AP39"/>
          <cell r="AQ39">
            <v>0</v>
          </cell>
          <cell r="AR39" t="str">
            <v/>
          </cell>
          <cell r="AS39" t="str">
            <v/>
          </cell>
          <cell r="AT39" t="str">
            <v/>
          </cell>
          <cell r="AU39">
            <v>39904</v>
          </cell>
          <cell r="AV39" t="str">
            <v/>
          </cell>
          <cell r="AW39"/>
          <cell r="AX39" t="str">
            <v/>
          </cell>
          <cell r="AY39" t="str">
            <v/>
          </cell>
        </row>
        <row r="40">
          <cell r="D40">
            <v>39934</v>
          </cell>
          <cell r="E40"/>
          <cell r="F40" t="str">
            <v/>
          </cell>
          <cell r="G40" t="str">
            <v/>
          </cell>
          <cell r="H40" t="str">
            <v/>
          </cell>
          <cell r="I40">
            <v>100</v>
          </cell>
          <cell r="J40">
            <v>0</v>
          </cell>
          <cell r="K40"/>
          <cell r="L40"/>
          <cell r="M40"/>
          <cell r="N40"/>
          <cell r="O40"/>
          <cell r="P40"/>
          <cell r="Q40" t="str">
            <v/>
          </cell>
          <cell r="R40"/>
          <cell r="S40"/>
          <cell r="T40"/>
          <cell r="U40"/>
          <cell r="V40"/>
          <cell r="AA40">
            <v>39934</v>
          </cell>
          <cell r="AB40"/>
          <cell r="AC40" t="str">
            <v/>
          </cell>
          <cell r="AD40" t="str">
            <v/>
          </cell>
          <cell r="AE40" t="str">
            <v/>
          </cell>
          <cell r="AF40"/>
          <cell r="AG40">
            <v>0</v>
          </cell>
          <cell r="AH40" t="str">
            <v/>
          </cell>
          <cell r="AI40" t="str">
            <v/>
          </cell>
          <cell r="AJ40" t="str">
            <v/>
          </cell>
          <cell r="AK40">
            <v>39934</v>
          </cell>
          <cell r="AL40"/>
          <cell r="AM40" t="str">
            <v/>
          </cell>
          <cell r="AN40"/>
          <cell r="AO40" t="str">
            <v/>
          </cell>
          <cell r="AP40"/>
          <cell r="AQ40">
            <v>0</v>
          </cell>
          <cell r="AR40" t="str">
            <v/>
          </cell>
          <cell r="AS40" t="str">
            <v/>
          </cell>
          <cell r="AT40" t="str">
            <v/>
          </cell>
          <cell r="AU40">
            <v>39934</v>
          </cell>
          <cell r="AV40"/>
          <cell r="AW40"/>
          <cell r="AX40" t="str">
            <v/>
          </cell>
          <cell r="AY40" t="str">
            <v/>
          </cell>
        </row>
        <row r="41">
          <cell r="D41">
            <v>39965</v>
          </cell>
          <cell r="E41"/>
          <cell r="F41" t="str">
            <v/>
          </cell>
          <cell r="G41" t="str">
            <v/>
          </cell>
          <cell r="H41" t="str">
            <v/>
          </cell>
          <cell r="I41">
            <v>100</v>
          </cell>
          <cell r="J41">
            <v>0</v>
          </cell>
          <cell r="K41"/>
          <cell r="L41"/>
          <cell r="M41"/>
          <cell r="N41"/>
          <cell r="O41"/>
          <cell r="P41"/>
          <cell r="Q41" t="str">
            <v/>
          </cell>
          <cell r="R41"/>
          <cell r="S41"/>
          <cell r="T41"/>
          <cell r="U41"/>
          <cell r="V41"/>
          <cell r="AA41">
            <v>39965</v>
          </cell>
          <cell r="AB41"/>
          <cell r="AC41" t="str">
            <v/>
          </cell>
          <cell r="AD41" t="str">
            <v/>
          </cell>
          <cell r="AE41" t="str">
            <v/>
          </cell>
          <cell r="AF41"/>
          <cell r="AG41">
            <v>0</v>
          </cell>
          <cell r="AH41" t="str">
            <v/>
          </cell>
          <cell r="AI41" t="str">
            <v/>
          </cell>
          <cell r="AJ41" t="str">
            <v/>
          </cell>
          <cell r="AK41">
            <v>39965</v>
          </cell>
          <cell r="AL41"/>
          <cell r="AM41" t="str">
            <v/>
          </cell>
          <cell r="AN41"/>
          <cell r="AO41" t="str">
            <v/>
          </cell>
          <cell r="AP41"/>
          <cell r="AQ41">
            <v>0</v>
          </cell>
          <cell r="AR41" t="str">
            <v/>
          </cell>
          <cell r="AS41" t="str">
            <v/>
          </cell>
          <cell r="AT41" t="str">
            <v/>
          </cell>
          <cell r="AU41">
            <v>39965</v>
          </cell>
          <cell r="AV41"/>
          <cell r="AW41"/>
          <cell r="AX41" t="str">
            <v/>
          </cell>
          <cell r="AY41" t="str">
            <v/>
          </cell>
        </row>
        <row r="42">
          <cell r="D42">
            <v>39995</v>
          </cell>
          <cell r="E42"/>
          <cell r="F42" t="str">
            <v/>
          </cell>
          <cell r="G42" t="str">
            <v/>
          </cell>
          <cell r="H42" t="str">
            <v/>
          </cell>
          <cell r="I42">
            <v>100</v>
          </cell>
          <cell r="J42">
            <v>0</v>
          </cell>
          <cell r="K42"/>
          <cell r="L42"/>
          <cell r="M42"/>
          <cell r="N42"/>
          <cell r="O42"/>
          <cell r="P42"/>
          <cell r="Q42" t="str">
            <v/>
          </cell>
          <cell r="R42"/>
          <cell r="S42"/>
          <cell r="T42"/>
          <cell r="U42"/>
          <cell r="V42"/>
          <cell r="AA42">
            <v>39995</v>
          </cell>
          <cell r="AB42"/>
          <cell r="AC42" t="str">
            <v/>
          </cell>
          <cell r="AD42" t="str">
            <v/>
          </cell>
          <cell r="AE42" t="str">
            <v/>
          </cell>
          <cell r="AF42"/>
          <cell r="AG42">
            <v>0</v>
          </cell>
          <cell r="AH42" t="str">
            <v/>
          </cell>
          <cell r="AI42" t="str">
            <v/>
          </cell>
          <cell r="AJ42" t="str">
            <v/>
          </cell>
          <cell r="AK42">
            <v>39995</v>
          </cell>
          <cell r="AL42"/>
          <cell r="AM42" t="str">
            <v/>
          </cell>
          <cell r="AN42"/>
          <cell r="AO42" t="str">
            <v/>
          </cell>
          <cell r="AP42"/>
          <cell r="AQ42">
            <v>0</v>
          </cell>
          <cell r="AR42" t="str">
            <v/>
          </cell>
          <cell r="AS42" t="str">
            <v/>
          </cell>
          <cell r="AT42" t="str">
            <v/>
          </cell>
          <cell r="AU42">
            <v>39995</v>
          </cell>
          <cell r="AV42"/>
          <cell r="AW42"/>
          <cell r="AX42" t="str">
            <v/>
          </cell>
          <cell r="AY42" t="str">
            <v/>
          </cell>
        </row>
        <row r="43">
          <cell r="D43">
            <v>40026</v>
          </cell>
          <cell r="E43"/>
          <cell r="F43" t="str">
            <v/>
          </cell>
          <cell r="G43" t="str">
            <v/>
          </cell>
          <cell r="H43" t="str">
            <v/>
          </cell>
          <cell r="I43">
            <v>100</v>
          </cell>
          <cell r="J43">
            <v>0</v>
          </cell>
          <cell r="K43"/>
          <cell r="L43"/>
          <cell r="M43"/>
          <cell r="N43"/>
          <cell r="O43"/>
          <cell r="P43"/>
          <cell r="Q43" t="str">
            <v/>
          </cell>
          <cell r="R43"/>
          <cell r="S43"/>
          <cell r="T43"/>
          <cell r="U43"/>
          <cell r="V43"/>
          <cell r="AA43">
            <v>40026</v>
          </cell>
          <cell r="AB43"/>
          <cell r="AC43" t="str">
            <v/>
          </cell>
          <cell r="AD43" t="str">
            <v/>
          </cell>
          <cell r="AE43" t="str">
            <v/>
          </cell>
          <cell r="AF43"/>
          <cell r="AG43">
            <v>0</v>
          </cell>
          <cell r="AH43" t="str">
            <v/>
          </cell>
          <cell r="AI43" t="str">
            <v/>
          </cell>
          <cell r="AJ43" t="str">
            <v/>
          </cell>
          <cell r="AK43">
            <v>40026</v>
          </cell>
          <cell r="AL43"/>
          <cell r="AM43" t="str">
            <v/>
          </cell>
          <cell r="AN43"/>
          <cell r="AO43" t="str">
            <v/>
          </cell>
          <cell r="AP43"/>
          <cell r="AQ43">
            <v>0</v>
          </cell>
          <cell r="AR43" t="str">
            <v/>
          </cell>
          <cell r="AS43" t="str">
            <v/>
          </cell>
          <cell r="AT43" t="str">
            <v/>
          </cell>
          <cell r="AU43">
            <v>40026</v>
          </cell>
          <cell r="AV43"/>
          <cell r="AW43"/>
          <cell r="AX43" t="str">
            <v/>
          </cell>
          <cell r="AY43" t="str">
            <v/>
          </cell>
        </row>
        <row r="44">
          <cell r="D44">
            <v>40057</v>
          </cell>
          <cell r="E44"/>
          <cell r="F44" t="str">
            <v/>
          </cell>
          <cell r="G44" t="str">
            <v/>
          </cell>
          <cell r="H44" t="str">
            <v/>
          </cell>
          <cell r="I44">
            <v>100</v>
          </cell>
          <cell r="J44">
            <v>0</v>
          </cell>
          <cell r="K44"/>
          <cell r="L44"/>
          <cell r="M44"/>
          <cell r="N44"/>
          <cell r="O44"/>
          <cell r="P44"/>
          <cell r="Q44" t="str">
            <v/>
          </cell>
          <cell r="R44"/>
          <cell r="S44"/>
          <cell r="T44"/>
          <cell r="U44"/>
          <cell r="V44"/>
          <cell r="AA44">
            <v>40057</v>
          </cell>
          <cell r="AB44"/>
          <cell r="AC44" t="str">
            <v/>
          </cell>
          <cell r="AD44" t="str">
            <v/>
          </cell>
          <cell r="AE44" t="str">
            <v/>
          </cell>
          <cell r="AF44"/>
          <cell r="AG44">
            <v>0</v>
          </cell>
          <cell r="AH44" t="str">
            <v/>
          </cell>
          <cell r="AI44" t="str">
            <v/>
          </cell>
          <cell r="AJ44" t="str">
            <v/>
          </cell>
          <cell r="AK44">
            <v>40057</v>
          </cell>
          <cell r="AL44"/>
          <cell r="AM44" t="str">
            <v/>
          </cell>
          <cell r="AN44"/>
          <cell r="AO44" t="str">
            <v/>
          </cell>
          <cell r="AP44"/>
          <cell r="AQ44">
            <v>0</v>
          </cell>
          <cell r="AR44" t="str">
            <v/>
          </cell>
          <cell r="AS44" t="str">
            <v/>
          </cell>
          <cell r="AT44" t="str">
            <v/>
          </cell>
          <cell r="AU44">
            <v>40057</v>
          </cell>
          <cell r="AV44"/>
          <cell r="AW44"/>
          <cell r="AX44" t="str">
            <v/>
          </cell>
          <cell r="AY44" t="str">
            <v/>
          </cell>
        </row>
      </sheetData>
      <sheetData sheetId="24">
        <row r="10">
          <cell r="B10"/>
          <cell r="C10"/>
          <cell r="D10"/>
          <cell r="E10"/>
          <cell r="F10"/>
          <cell r="G10"/>
          <cell r="H10"/>
        </row>
        <row r="11">
          <cell r="B11"/>
          <cell r="C11" t="str">
            <v>Puntos</v>
          </cell>
          <cell r="D11"/>
          <cell r="E11"/>
          <cell r="F11"/>
          <cell r="G11"/>
          <cell r="H11"/>
        </row>
        <row r="12">
          <cell r="B12" t="str">
            <v>Año</v>
          </cell>
          <cell r="C12"/>
          <cell r="D12" t="str">
            <v>Performance</v>
          </cell>
          <cell r="E12"/>
          <cell r="F12"/>
          <cell r="G12" t="str">
            <v>Sup</v>
          </cell>
          <cell r="H12" t="str">
            <v>Inf</v>
          </cell>
        </row>
        <row r="13">
          <cell r="B13">
            <v>39083</v>
          </cell>
          <cell r="C13"/>
          <cell r="D13" t="str">
            <v/>
          </cell>
          <cell r="E13" t="str">
            <v/>
          </cell>
          <cell r="F13" t="str">
            <v/>
          </cell>
          <cell r="G13"/>
          <cell r="H13"/>
        </row>
        <row r="14">
          <cell r="B14">
            <v>39114</v>
          </cell>
          <cell r="C14"/>
          <cell r="D14" t="str">
            <v/>
          </cell>
          <cell r="E14" t="str">
            <v/>
          </cell>
          <cell r="F14" t="str">
            <v/>
          </cell>
          <cell r="G14"/>
          <cell r="H14"/>
        </row>
        <row r="15">
          <cell r="B15">
            <v>39142</v>
          </cell>
          <cell r="C15"/>
          <cell r="D15" t="str">
            <v/>
          </cell>
          <cell r="E15" t="str">
            <v/>
          </cell>
          <cell r="F15" t="str">
            <v/>
          </cell>
          <cell r="G15"/>
          <cell r="H15"/>
        </row>
        <row r="16">
          <cell r="B16">
            <v>39173</v>
          </cell>
          <cell r="C16"/>
          <cell r="D16" t="str">
            <v/>
          </cell>
          <cell r="E16" t="str">
            <v/>
          </cell>
          <cell r="F16" t="str">
            <v/>
          </cell>
          <cell r="G16"/>
          <cell r="H16"/>
        </row>
        <row r="17">
          <cell r="B17">
            <v>39203</v>
          </cell>
          <cell r="C17"/>
          <cell r="D17" t="str">
            <v/>
          </cell>
          <cell r="E17" t="str">
            <v/>
          </cell>
          <cell r="F17" t="str">
            <v/>
          </cell>
          <cell r="G17"/>
          <cell r="H17"/>
        </row>
        <row r="18">
          <cell r="B18">
            <v>39234</v>
          </cell>
          <cell r="C18"/>
          <cell r="D18" t="str">
            <v/>
          </cell>
          <cell r="E18" t="str">
            <v/>
          </cell>
          <cell r="F18" t="str">
            <v/>
          </cell>
          <cell r="G18"/>
          <cell r="H18"/>
        </row>
        <row r="19">
          <cell r="B19">
            <v>39264</v>
          </cell>
          <cell r="C19"/>
          <cell r="D19" t="str">
            <v/>
          </cell>
          <cell r="E19" t="str">
            <v/>
          </cell>
          <cell r="F19" t="str">
            <v/>
          </cell>
          <cell r="G19"/>
          <cell r="H19"/>
        </row>
        <row r="20">
          <cell r="B20">
            <v>39295</v>
          </cell>
          <cell r="C20"/>
          <cell r="D20" t="str">
            <v/>
          </cell>
          <cell r="E20" t="str">
            <v/>
          </cell>
          <cell r="F20" t="str">
            <v/>
          </cell>
          <cell r="G20"/>
          <cell r="H20"/>
        </row>
        <row r="21">
          <cell r="B21">
            <v>39326</v>
          </cell>
          <cell r="C21"/>
          <cell r="D21" t="str">
            <v/>
          </cell>
          <cell r="E21" t="str">
            <v/>
          </cell>
          <cell r="F21" t="str">
            <v/>
          </cell>
          <cell r="G21"/>
          <cell r="H21"/>
        </row>
        <row r="22">
          <cell r="B22">
            <v>39356</v>
          </cell>
          <cell r="C22"/>
          <cell r="D22" t="str">
            <v/>
          </cell>
          <cell r="E22" t="str">
            <v/>
          </cell>
          <cell r="F22" t="str">
            <v/>
          </cell>
          <cell r="G22"/>
          <cell r="H22"/>
        </row>
        <row r="23">
          <cell r="B23">
            <v>39387</v>
          </cell>
          <cell r="C23"/>
          <cell r="D23" t="str">
            <v/>
          </cell>
          <cell r="E23" t="str">
            <v/>
          </cell>
          <cell r="F23" t="str">
            <v/>
          </cell>
          <cell r="G23"/>
          <cell r="H23"/>
        </row>
        <row r="24">
          <cell r="B24">
            <v>39417</v>
          </cell>
          <cell r="C24"/>
          <cell r="D24" t="str">
            <v/>
          </cell>
          <cell r="E24" t="str">
            <v/>
          </cell>
          <cell r="F24" t="str">
            <v/>
          </cell>
          <cell r="G24"/>
          <cell r="H24"/>
        </row>
        <row r="25">
          <cell r="B25">
            <v>39448</v>
          </cell>
          <cell r="C25"/>
          <cell r="D25" t="str">
            <v/>
          </cell>
          <cell r="E25" t="str">
            <v/>
          </cell>
          <cell r="F25" t="str">
            <v/>
          </cell>
          <cell r="G25"/>
          <cell r="H25"/>
        </row>
        <row r="26">
          <cell r="B26">
            <v>39479</v>
          </cell>
          <cell r="C26"/>
          <cell r="D26" t="str">
            <v/>
          </cell>
          <cell r="E26" t="str">
            <v/>
          </cell>
          <cell r="F26" t="str">
            <v/>
          </cell>
          <cell r="G26"/>
          <cell r="H26"/>
        </row>
        <row r="27">
          <cell r="B27">
            <v>39508</v>
          </cell>
          <cell r="C27"/>
          <cell r="D27" t="str">
            <v/>
          </cell>
          <cell r="E27" t="str">
            <v/>
          </cell>
          <cell r="F27" t="str">
            <v/>
          </cell>
          <cell r="G27"/>
          <cell r="H27"/>
        </row>
        <row r="28">
          <cell r="B28">
            <v>39539</v>
          </cell>
          <cell r="C28"/>
          <cell r="D28" t="str">
            <v/>
          </cell>
          <cell r="E28" t="str">
            <v/>
          </cell>
          <cell r="F28" t="str">
            <v/>
          </cell>
          <cell r="G28"/>
          <cell r="H28"/>
        </row>
        <row r="29">
          <cell r="B29">
            <v>39569</v>
          </cell>
          <cell r="C29"/>
          <cell r="D29" t="str">
            <v/>
          </cell>
          <cell r="E29" t="str">
            <v/>
          </cell>
          <cell r="F29" t="str">
            <v/>
          </cell>
          <cell r="G29"/>
          <cell r="H29"/>
        </row>
        <row r="30">
          <cell r="B30">
            <v>39600</v>
          </cell>
          <cell r="C30"/>
          <cell r="D30" t="str">
            <v/>
          </cell>
          <cell r="E30" t="str">
            <v/>
          </cell>
          <cell r="F30" t="str">
            <v/>
          </cell>
          <cell r="G30"/>
          <cell r="H30"/>
        </row>
        <row r="31">
          <cell r="B31">
            <v>39630</v>
          </cell>
          <cell r="C31"/>
          <cell r="D31" t="str">
            <v/>
          </cell>
          <cell r="E31" t="str">
            <v/>
          </cell>
          <cell r="F31" t="str">
            <v/>
          </cell>
          <cell r="G31"/>
          <cell r="H31"/>
        </row>
        <row r="32">
          <cell r="B32">
            <v>39661</v>
          </cell>
          <cell r="C32"/>
          <cell r="D32" t="str">
            <v/>
          </cell>
          <cell r="E32" t="str">
            <v/>
          </cell>
          <cell r="F32" t="str">
            <v/>
          </cell>
          <cell r="G32"/>
          <cell r="H32"/>
        </row>
        <row r="33">
          <cell r="B33">
            <v>39692</v>
          </cell>
          <cell r="C33"/>
          <cell r="D33" t="str">
            <v/>
          </cell>
          <cell r="E33" t="str">
            <v/>
          </cell>
          <cell r="F33" t="str">
            <v/>
          </cell>
          <cell r="G33"/>
          <cell r="H33"/>
        </row>
        <row r="34">
          <cell r="B34">
            <v>39722</v>
          </cell>
          <cell r="C34"/>
          <cell r="D34" t="str">
            <v/>
          </cell>
          <cell r="E34" t="str">
            <v/>
          </cell>
          <cell r="F34" t="str">
            <v/>
          </cell>
          <cell r="G34"/>
          <cell r="H34"/>
        </row>
      </sheetData>
      <sheetData sheetId="25">
        <row r="10">
          <cell r="B10"/>
          <cell r="C10"/>
          <cell r="D10"/>
          <cell r="E10"/>
          <cell r="F10"/>
          <cell r="G10"/>
          <cell r="H10"/>
          <cell r="I10"/>
          <cell r="J10"/>
          <cell r="K10"/>
          <cell r="L10"/>
          <cell r="M10"/>
          <cell r="N10"/>
          <cell r="O10"/>
          <cell r="Q10" t="str">
            <v>Grado de satisfaccion de servicios</v>
          </cell>
          <cell r="R10"/>
          <cell r="S10"/>
          <cell r="T10"/>
          <cell r="U10"/>
          <cell r="V10"/>
          <cell r="W10"/>
          <cell r="X10" t="str">
            <v>Acum.  Grado de satisfaccion de servicios</v>
          </cell>
          <cell r="Y10"/>
          <cell r="Z10"/>
          <cell r="AA10"/>
          <cell r="AB10"/>
          <cell r="AC10"/>
          <cell r="AD10"/>
        </row>
        <row r="11">
          <cell r="B11"/>
          <cell r="C11" t="str">
            <v>CMA</v>
          </cell>
          <cell r="D11" t="str">
            <v>Cumplimiento de metas ambientales</v>
          </cell>
          <cell r="E11"/>
          <cell r="F11"/>
          <cell r="G11"/>
          <cell r="H11"/>
          <cell r="I11" t="str">
            <v>CMA</v>
          </cell>
          <cell r="J11" t="str">
            <v>Acum.  Cumplimiento de metas ambientales</v>
          </cell>
          <cell r="K11"/>
          <cell r="L11"/>
          <cell r="M11"/>
          <cell r="N11"/>
          <cell r="O11"/>
          <cell r="P11"/>
          <cell r="Q11"/>
          <cell r="R11" t="str">
            <v>Valores del mes</v>
          </cell>
          <cell r="S11"/>
          <cell r="T11" t="str">
            <v>Var 1.</v>
          </cell>
          <cell r="U11"/>
          <cell r="V11" t="str">
            <v>Acum. 
Anual Ant.</v>
          </cell>
          <cell r="W11" t="str">
            <v>Avance 
del Año</v>
          </cell>
          <cell r="X11"/>
          <cell r="Y11" t="str">
            <v>Valores del mes</v>
          </cell>
          <cell r="Z11"/>
          <cell r="AA11" t="str">
            <v>Var 1.</v>
          </cell>
          <cell r="AB11"/>
          <cell r="AC11" t="str">
            <v>Acum. 
Anual Ant.</v>
          </cell>
          <cell r="AD11" t="str">
            <v>Avance 
del Año</v>
          </cell>
        </row>
        <row r="12">
          <cell r="B12" t="str">
            <v>Año</v>
          </cell>
          <cell r="C12"/>
          <cell r="D12" t="str">
            <v>Performance</v>
          </cell>
          <cell r="E12"/>
          <cell r="F12"/>
          <cell r="G12" t="str">
            <v>Sup</v>
          </cell>
          <cell r="H12" t="str">
            <v>Inf</v>
          </cell>
          <cell r="I12"/>
          <cell r="J12" t="str">
            <v>Performance</v>
          </cell>
          <cell r="K12"/>
          <cell r="L12"/>
          <cell r="M12" t="str">
            <v>Sup</v>
          </cell>
          <cell r="N12" t="str">
            <v>Inf</v>
          </cell>
          <cell r="O12"/>
          <cell r="P12"/>
          <cell r="Q12" t="str">
            <v>Fecha</v>
          </cell>
          <cell r="R12" t="str">
            <v>Anteriores</v>
          </cell>
          <cell r="S12" t="str">
            <v>Real</v>
          </cell>
          <cell r="T12" t="str">
            <v>Unidades</v>
          </cell>
          <cell r="U12" t="str">
            <v>%</v>
          </cell>
          <cell r="V12"/>
          <cell r="W12"/>
          <cell r="X12" t="str">
            <v>Fecha</v>
          </cell>
          <cell r="Y12" t="str">
            <v>Anteriores</v>
          </cell>
          <cell r="Z12" t="str">
            <v>Real</v>
          </cell>
          <cell r="AA12" t="str">
            <v>Unidades</v>
          </cell>
          <cell r="AB12" t="str">
            <v>%</v>
          </cell>
          <cell r="AC12"/>
          <cell r="AD12"/>
        </row>
        <row r="13">
          <cell r="B13">
            <v>39083</v>
          </cell>
          <cell r="C13"/>
          <cell r="D13" t="str">
            <v/>
          </cell>
          <cell r="E13" t="str">
            <v/>
          </cell>
          <cell r="F13" t="str">
            <v/>
          </cell>
          <cell r="G13">
            <v>0.9</v>
          </cell>
          <cell r="H13">
            <v>0.9</v>
          </cell>
          <cell r="I13"/>
          <cell r="J13" t="str">
            <v/>
          </cell>
          <cell r="K13" t="str">
            <v/>
          </cell>
          <cell r="L13" t="str">
            <v/>
          </cell>
          <cell r="M13">
            <v>0.9</v>
          </cell>
          <cell r="N13">
            <v>0.9</v>
          </cell>
          <cell r="O13"/>
          <cell r="P13"/>
          <cell r="Q13">
            <v>39083</v>
          </cell>
          <cell r="R13"/>
          <cell r="S13"/>
          <cell r="T13" t="str">
            <v/>
          </cell>
          <cell r="U13"/>
          <cell r="V13"/>
          <cell r="W13"/>
          <cell r="X13">
            <v>39083</v>
          </cell>
          <cell r="Y13"/>
          <cell r="Z13"/>
          <cell r="AA13" t="str">
            <v/>
          </cell>
          <cell r="AB13"/>
          <cell r="AC13"/>
          <cell r="AD13"/>
        </row>
        <row r="14">
          <cell r="B14">
            <v>39114</v>
          </cell>
          <cell r="C14"/>
          <cell r="D14" t="str">
            <v/>
          </cell>
          <cell r="E14" t="str">
            <v/>
          </cell>
          <cell r="F14" t="str">
            <v/>
          </cell>
          <cell r="G14">
            <v>0.9</v>
          </cell>
          <cell r="H14">
            <v>0.9</v>
          </cell>
          <cell r="I14"/>
          <cell r="J14" t="str">
            <v/>
          </cell>
          <cell r="K14" t="str">
            <v/>
          </cell>
          <cell r="L14" t="str">
            <v/>
          </cell>
          <cell r="M14">
            <v>0.9</v>
          </cell>
          <cell r="N14">
            <v>0.9</v>
          </cell>
          <cell r="O14"/>
          <cell r="P14"/>
          <cell r="Q14">
            <v>39114</v>
          </cell>
          <cell r="R14"/>
          <cell r="S14"/>
          <cell r="T14" t="str">
            <v/>
          </cell>
          <cell r="U14"/>
          <cell r="V14"/>
          <cell r="W14"/>
          <cell r="X14">
            <v>39114</v>
          </cell>
          <cell r="Y14"/>
          <cell r="Z14"/>
          <cell r="AA14" t="str">
            <v/>
          </cell>
          <cell r="AB14"/>
          <cell r="AC14"/>
          <cell r="AD14"/>
        </row>
        <row r="15">
          <cell r="B15">
            <v>39142</v>
          </cell>
          <cell r="C15"/>
          <cell r="D15" t="str">
            <v/>
          </cell>
          <cell r="E15" t="str">
            <v/>
          </cell>
          <cell r="F15" t="str">
            <v/>
          </cell>
          <cell r="G15">
            <v>0.9</v>
          </cell>
          <cell r="H15">
            <v>0.9</v>
          </cell>
          <cell r="I15"/>
          <cell r="J15" t="str">
            <v/>
          </cell>
          <cell r="K15" t="str">
            <v/>
          </cell>
          <cell r="L15" t="str">
            <v/>
          </cell>
          <cell r="M15">
            <v>0.9</v>
          </cell>
          <cell r="N15">
            <v>0.9</v>
          </cell>
          <cell r="O15"/>
          <cell r="P15"/>
          <cell r="Q15">
            <v>39142</v>
          </cell>
          <cell r="R15"/>
          <cell r="S15"/>
          <cell r="T15" t="str">
            <v/>
          </cell>
          <cell r="U15"/>
          <cell r="V15"/>
          <cell r="W15"/>
          <cell r="X15">
            <v>39142</v>
          </cell>
          <cell r="Y15"/>
          <cell r="Z15"/>
          <cell r="AA15" t="str">
            <v/>
          </cell>
          <cell r="AB15"/>
          <cell r="AC15"/>
          <cell r="AD15"/>
        </row>
        <row r="16">
          <cell r="B16">
            <v>39173</v>
          </cell>
          <cell r="C16"/>
          <cell r="D16" t="str">
            <v/>
          </cell>
          <cell r="E16" t="str">
            <v/>
          </cell>
          <cell r="F16" t="str">
            <v/>
          </cell>
          <cell r="G16">
            <v>0.9</v>
          </cell>
          <cell r="H16">
            <v>0.9</v>
          </cell>
          <cell r="I16"/>
          <cell r="J16" t="str">
            <v/>
          </cell>
          <cell r="K16" t="str">
            <v/>
          </cell>
          <cell r="L16" t="str">
            <v/>
          </cell>
          <cell r="M16">
            <v>0.9</v>
          </cell>
          <cell r="N16">
            <v>0.9</v>
          </cell>
          <cell r="O16"/>
          <cell r="P16"/>
          <cell r="Q16">
            <v>39173</v>
          </cell>
          <cell r="R16"/>
          <cell r="S16"/>
          <cell r="T16" t="str">
            <v/>
          </cell>
          <cell r="U16"/>
          <cell r="V16"/>
          <cell r="W16"/>
          <cell r="X16">
            <v>39173</v>
          </cell>
          <cell r="Y16"/>
          <cell r="Z16"/>
          <cell r="AA16" t="str">
            <v/>
          </cell>
          <cell r="AB16"/>
          <cell r="AC16"/>
          <cell r="AD16"/>
        </row>
        <row r="17">
          <cell r="B17">
            <v>39203</v>
          </cell>
          <cell r="C17"/>
          <cell r="D17" t="str">
            <v/>
          </cell>
          <cell r="E17" t="str">
            <v/>
          </cell>
          <cell r="F17" t="str">
            <v/>
          </cell>
          <cell r="G17">
            <v>0.9</v>
          </cell>
          <cell r="H17">
            <v>0.9</v>
          </cell>
          <cell r="I17"/>
          <cell r="J17" t="str">
            <v/>
          </cell>
          <cell r="K17" t="str">
            <v/>
          </cell>
          <cell r="L17" t="str">
            <v/>
          </cell>
          <cell r="M17">
            <v>0.9</v>
          </cell>
          <cell r="N17">
            <v>0.9</v>
          </cell>
          <cell r="O17"/>
          <cell r="P17"/>
          <cell r="Q17">
            <v>39203</v>
          </cell>
          <cell r="R17"/>
          <cell r="S17"/>
          <cell r="T17" t="str">
            <v/>
          </cell>
          <cell r="U17"/>
          <cell r="V17"/>
          <cell r="W17"/>
          <cell r="X17">
            <v>39203</v>
          </cell>
          <cell r="Y17"/>
          <cell r="Z17"/>
          <cell r="AA17" t="str">
            <v/>
          </cell>
          <cell r="AB17"/>
          <cell r="AC17"/>
          <cell r="AD17"/>
        </row>
        <row r="18">
          <cell r="B18">
            <v>39234</v>
          </cell>
          <cell r="C18"/>
          <cell r="D18" t="str">
            <v/>
          </cell>
          <cell r="E18" t="str">
            <v/>
          </cell>
          <cell r="F18" t="str">
            <v/>
          </cell>
          <cell r="G18">
            <v>0.9</v>
          </cell>
          <cell r="H18">
            <v>0.9</v>
          </cell>
          <cell r="I18"/>
          <cell r="J18" t="str">
            <v/>
          </cell>
          <cell r="K18" t="str">
            <v/>
          </cell>
          <cell r="L18" t="str">
            <v/>
          </cell>
          <cell r="M18">
            <v>0.9</v>
          </cell>
          <cell r="N18">
            <v>0.9</v>
          </cell>
          <cell r="O18"/>
          <cell r="P18"/>
          <cell r="Q18">
            <v>39234</v>
          </cell>
          <cell r="R18"/>
          <cell r="S18"/>
          <cell r="T18" t="str">
            <v/>
          </cell>
          <cell r="U18"/>
          <cell r="V18"/>
          <cell r="W18"/>
          <cell r="X18">
            <v>39234</v>
          </cell>
          <cell r="Y18"/>
          <cell r="Z18"/>
          <cell r="AA18" t="str">
            <v/>
          </cell>
          <cell r="AB18"/>
          <cell r="AC18"/>
          <cell r="AD18"/>
        </row>
        <row r="19">
          <cell r="B19">
            <v>39264</v>
          </cell>
          <cell r="C19"/>
          <cell r="D19" t="str">
            <v/>
          </cell>
          <cell r="E19" t="str">
            <v/>
          </cell>
          <cell r="F19" t="str">
            <v/>
          </cell>
          <cell r="G19">
            <v>0.9</v>
          </cell>
          <cell r="H19">
            <v>0.9</v>
          </cell>
          <cell r="I19"/>
          <cell r="J19" t="str">
            <v/>
          </cell>
          <cell r="K19" t="str">
            <v/>
          </cell>
          <cell r="L19" t="str">
            <v/>
          </cell>
          <cell r="M19">
            <v>0.9</v>
          </cell>
          <cell r="N19">
            <v>0.9</v>
          </cell>
          <cell r="O19"/>
          <cell r="P19"/>
          <cell r="Q19">
            <v>39264</v>
          </cell>
          <cell r="R19"/>
          <cell r="S19"/>
          <cell r="T19" t="str">
            <v/>
          </cell>
          <cell r="U19"/>
          <cell r="V19"/>
          <cell r="W19"/>
          <cell r="X19">
            <v>39264</v>
          </cell>
          <cell r="Y19"/>
          <cell r="Z19"/>
          <cell r="AA19" t="str">
            <v/>
          </cell>
          <cell r="AB19"/>
          <cell r="AC19"/>
          <cell r="AD19"/>
        </row>
        <row r="20">
          <cell r="B20">
            <v>39295</v>
          </cell>
          <cell r="C20"/>
          <cell r="D20" t="str">
            <v/>
          </cell>
          <cell r="E20" t="str">
            <v/>
          </cell>
          <cell r="F20" t="str">
            <v/>
          </cell>
          <cell r="G20">
            <v>0.9</v>
          </cell>
          <cell r="H20">
            <v>0.9</v>
          </cell>
          <cell r="I20"/>
          <cell r="J20" t="str">
            <v/>
          </cell>
          <cell r="K20" t="str">
            <v/>
          </cell>
          <cell r="L20" t="str">
            <v/>
          </cell>
          <cell r="M20">
            <v>0.9</v>
          </cell>
          <cell r="N20">
            <v>0.9</v>
          </cell>
          <cell r="O20"/>
          <cell r="P20"/>
          <cell r="Q20">
            <v>39295</v>
          </cell>
          <cell r="R20"/>
          <cell r="S20"/>
          <cell r="T20" t="str">
            <v/>
          </cell>
          <cell r="U20"/>
          <cell r="V20"/>
          <cell r="W20"/>
          <cell r="X20">
            <v>39295</v>
          </cell>
          <cell r="Y20"/>
          <cell r="Z20"/>
          <cell r="AA20" t="str">
            <v/>
          </cell>
          <cell r="AB20"/>
          <cell r="AC20"/>
          <cell r="AD20"/>
        </row>
        <row r="21">
          <cell r="B21">
            <v>39326</v>
          </cell>
          <cell r="C21"/>
          <cell r="D21" t="str">
            <v/>
          </cell>
          <cell r="E21" t="str">
            <v/>
          </cell>
          <cell r="F21" t="str">
            <v/>
          </cell>
          <cell r="G21">
            <v>0.9</v>
          </cell>
          <cell r="H21">
            <v>0.9</v>
          </cell>
          <cell r="I21"/>
          <cell r="J21" t="str">
            <v/>
          </cell>
          <cell r="K21" t="str">
            <v/>
          </cell>
          <cell r="L21" t="str">
            <v/>
          </cell>
          <cell r="M21">
            <v>0.9</v>
          </cell>
          <cell r="N21">
            <v>0.9</v>
          </cell>
          <cell r="O21"/>
          <cell r="P21"/>
          <cell r="Q21">
            <v>39326</v>
          </cell>
          <cell r="R21"/>
          <cell r="S21"/>
          <cell r="T21" t="str">
            <v/>
          </cell>
          <cell r="U21"/>
          <cell r="V21"/>
          <cell r="W21"/>
          <cell r="X21">
            <v>39326</v>
          </cell>
          <cell r="Y21"/>
          <cell r="Z21"/>
          <cell r="AA21" t="str">
            <v/>
          </cell>
          <cell r="AB21"/>
          <cell r="AC21"/>
          <cell r="AD21"/>
        </row>
        <row r="22">
          <cell r="B22">
            <v>39356</v>
          </cell>
          <cell r="C22"/>
          <cell r="D22" t="str">
            <v/>
          </cell>
          <cell r="E22" t="str">
            <v/>
          </cell>
          <cell r="F22" t="str">
            <v/>
          </cell>
          <cell r="G22">
            <v>0.9</v>
          </cell>
          <cell r="H22">
            <v>0.9</v>
          </cell>
          <cell r="I22"/>
          <cell r="J22" t="str">
            <v/>
          </cell>
          <cell r="K22" t="str">
            <v/>
          </cell>
          <cell r="L22" t="str">
            <v/>
          </cell>
          <cell r="M22">
            <v>0.9</v>
          </cell>
          <cell r="N22">
            <v>0.9</v>
          </cell>
          <cell r="O22"/>
          <cell r="P22"/>
          <cell r="Q22">
            <v>39356</v>
          </cell>
          <cell r="R22"/>
          <cell r="S22"/>
          <cell r="T22" t="str">
            <v/>
          </cell>
          <cell r="U22"/>
          <cell r="V22"/>
          <cell r="W22"/>
          <cell r="X22">
            <v>39356</v>
          </cell>
          <cell r="Y22"/>
          <cell r="Z22"/>
          <cell r="AA22" t="str">
            <v/>
          </cell>
          <cell r="AB22"/>
          <cell r="AC22"/>
          <cell r="AD22"/>
        </row>
        <row r="23">
          <cell r="B23">
            <v>39387</v>
          </cell>
          <cell r="C23"/>
          <cell r="D23" t="str">
            <v/>
          </cell>
          <cell r="E23" t="str">
            <v/>
          </cell>
          <cell r="F23" t="str">
            <v/>
          </cell>
          <cell r="G23">
            <v>0.9</v>
          </cell>
          <cell r="H23">
            <v>0.9</v>
          </cell>
          <cell r="I23"/>
          <cell r="J23" t="str">
            <v/>
          </cell>
          <cell r="K23" t="str">
            <v/>
          </cell>
          <cell r="L23" t="str">
            <v/>
          </cell>
          <cell r="M23">
            <v>0.9</v>
          </cell>
          <cell r="N23">
            <v>0.9</v>
          </cell>
          <cell r="O23"/>
          <cell r="P23"/>
          <cell r="Q23">
            <v>39387</v>
          </cell>
          <cell r="R23"/>
          <cell r="S23"/>
          <cell r="T23" t="str">
            <v/>
          </cell>
          <cell r="U23"/>
          <cell r="V23"/>
          <cell r="W23"/>
          <cell r="X23">
            <v>39387</v>
          </cell>
          <cell r="Y23"/>
          <cell r="Z23"/>
          <cell r="AA23" t="str">
            <v/>
          </cell>
          <cell r="AB23"/>
          <cell r="AC23"/>
          <cell r="AD23"/>
        </row>
        <row r="24">
          <cell r="B24">
            <v>39417</v>
          </cell>
          <cell r="C24"/>
          <cell r="D24" t="str">
            <v/>
          </cell>
          <cell r="E24" t="str">
            <v/>
          </cell>
          <cell r="F24" t="str">
            <v/>
          </cell>
          <cell r="G24">
            <v>0.9</v>
          </cell>
          <cell r="H24">
            <v>0.9</v>
          </cell>
          <cell r="I24"/>
          <cell r="J24" t="str">
            <v/>
          </cell>
          <cell r="K24" t="str">
            <v/>
          </cell>
          <cell r="L24" t="str">
            <v/>
          </cell>
          <cell r="M24">
            <v>0.9</v>
          </cell>
          <cell r="N24">
            <v>0.9</v>
          </cell>
          <cell r="O24"/>
          <cell r="P24"/>
          <cell r="Q24">
            <v>39417</v>
          </cell>
          <cell r="R24"/>
          <cell r="S24"/>
          <cell r="T24" t="str">
            <v/>
          </cell>
          <cell r="U24"/>
          <cell r="V24"/>
          <cell r="W24"/>
          <cell r="X24">
            <v>39417</v>
          </cell>
          <cell r="Y24"/>
          <cell r="Z24"/>
          <cell r="AA24" t="str">
            <v/>
          </cell>
          <cell r="AB24"/>
          <cell r="AC24"/>
          <cell r="AD24"/>
        </row>
        <row r="25">
          <cell r="B25">
            <v>39448</v>
          </cell>
          <cell r="C25">
            <v>1</v>
          </cell>
          <cell r="D25" t="str">
            <v>g</v>
          </cell>
          <cell r="E25" t="str">
            <v>c</v>
          </cell>
          <cell r="F25" t="str">
            <v>c</v>
          </cell>
          <cell r="G25">
            <v>0.9</v>
          </cell>
          <cell r="H25">
            <v>0.9</v>
          </cell>
          <cell r="I25">
            <v>1</v>
          </cell>
          <cell r="J25" t="str">
            <v>g</v>
          </cell>
          <cell r="K25" t="str">
            <v>c</v>
          </cell>
          <cell r="L25" t="str">
            <v>c</v>
          </cell>
          <cell r="M25">
            <v>0.9</v>
          </cell>
          <cell r="N25">
            <v>0.9</v>
          </cell>
          <cell r="O25"/>
          <cell r="P25"/>
          <cell r="Q25">
            <v>39448</v>
          </cell>
          <cell r="R25"/>
          <cell r="S25">
            <v>1</v>
          </cell>
          <cell r="T25">
            <v>1</v>
          </cell>
          <cell r="U25" t="str">
            <v/>
          </cell>
          <cell r="V25">
            <v>8.92</v>
          </cell>
          <cell r="W25">
            <v>1</v>
          </cell>
          <cell r="X25">
            <v>39448</v>
          </cell>
          <cell r="Y25"/>
          <cell r="Z25">
            <v>1</v>
          </cell>
          <cell r="AA25">
            <v>1</v>
          </cell>
          <cell r="AB25" t="str">
            <v/>
          </cell>
          <cell r="AC25">
            <v>11.8431</v>
          </cell>
          <cell r="AD25">
            <v>1</v>
          </cell>
        </row>
        <row r="26">
          <cell r="B26">
            <v>39479</v>
          </cell>
          <cell r="C26">
            <v>0.92</v>
          </cell>
          <cell r="D26" t="str">
            <v>g</v>
          </cell>
          <cell r="E26" t="str">
            <v>c</v>
          </cell>
          <cell r="F26" t="str">
            <v>c</v>
          </cell>
          <cell r="G26">
            <v>0.9</v>
          </cell>
          <cell r="H26">
            <v>0.9</v>
          </cell>
          <cell r="I26">
            <v>0.96419999999999995</v>
          </cell>
          <cell r="J26" t="str">
            <v>g</v>
          </cell>
          <cell r="K26" t="str">
            <v>c</v>
          </cell>
          <cell r="L26" t="str">
            <v>c</v>
          </cell>
          <cell r="M26">
            <v>0.9</v>
          </cell>
          <cell r="N26">
            <v>0.9</v>
          </cell>
          <cell r="O26"/>
          <cell r="P26"/>
          <cell r="Q26">
            <v>39479</v>
          </cell>
          <cell r="R26"/>
          <cell r="S26">
            <v>0.92</v>
          </cell>
          <cell r="T26">
            <v>0.92</v>
          </cell>
          <cell r="U26" t="str">
            <v/>
          </cell>
          <cell r="V26">
            <v>8.92</v>
          </cell>
          <cell r="W26">
            <v>1.92</v>
          </cell>
          <cell r="X26">
            <v>39479</v>
          </cell>
          <cell r="Y26"/>
          <cell r="Z26">
            <v>0.96419999999999995</v>
          </cell>
          <cell r="AA26">
            <v>0.96419999999999995</v>
          </cell>
          <cell r="AB26" t="str">
            <v/>
          </cell>
          <cell r="AC26">
            <v>11.8431</v>
          </cell>
          <cell r="AD26">
            <v>1.9641999999999999</v>
          </cell>
        </row>
        <row r="27">
          <cell r="B27">
            <v>39508</v>
          </cell>
          <cell r="C27">
            <v>1</v>
          </cell>
          <cell r="D27" t="str">
            <v>g</v>
          </cell>
          <cell r="E27" t="str">
            <v>c</v>
          </cell>
          <cell r="F27" t="str">
            <v>c</v>
          </cell>
          <cell r="G27">
            <v>0.9</v>
          </cell>
          <cell r="H27">
            <v>0.9</v>
          </cell>
          <cell r="I27">
            <v>0.97670000000000001</v>
          </cell>
          <cell r="J27" t="str">
            <v>g</v>
          </cell>
          <cell r="K27" t="str">
            <v>c</v>
          </cell>
          <cell r="L27" t="str">
            <v>c</v>
          </cell>
          <cell r="M27">
            <v>0.9</v>
          </cell>
          <cell r="N27">
            <v>0.9</v>
          </cell>
          <cell r="O27"/>
          <cell r="P27"/>
          <cell r="Q27">
            <v>39508</v>
          </cell>
          <cell r="R27"/>
          <cell r="S27">
            <v>1</v>
          </cell>
          <cell r="T27">
            <v>1</v>
          </cell>
          <cell r="U27" t="str">
            <v/>
          </cell>
          <cell r="V27">
            <v>8.92</v>
          </cell>
          <cell r="W27">
            <v>2.92</v>
          </cell>
          <cell r="X27">
            <v>39508</v>
          </cell>
          <cell r="Y27"/>
          <cell r="Z27">
            <v>0.97670000000000001</v>
          </cell>
          <cell r="AA27">
            <v>0.97670000000000001</v>
          </cell>
          <cell r="AB27" t="str">
            <v/>
          </cell>
          <cell r="AC27">
            <v>11.8431</v>
          </cell>
          <cell r="AD27">
            <v>2.9409000000000001</v>
          </cell>
        </row>
        <row r="28">
          <cell r="B28">
            <v>39539</v>
          </cell>
          <cell r="C28">
            <v>1</v>
          </cell>
          <cell r="D28" t="str">
            <v>g</v>
          </cell>
          <cell r="E28" t="str">
            <v>c</v>
          </cell>
          <cell r="F28" t="str">
            <v>c</v>
          </cell>
          <cell r="G28">
            <v>0.9</v>
          </cell>
          <cell r="H28">
            <v>0.9</v>
          </cell>
          <cell r="I28">
            <v>0.97670000000000001</v>
          </cell>
          <cell r="J28" t="str">
            <v>g</v>
          </cell>
          <cell r="K28" t="str">
            <v>c</v>
          </cell>
          <cell r="L28" t="str">
            <v>c</v>
          </cell>
          <cell r="M28">
            <v>0.9</v>
          </cell>
          <cell r="N28">
            <v>0.9</v>
          </cell>
          <cell r="O28"/>
          <cell r="P28"/>
          <cell r="Q28">
            <v>39539</v>
          </cell>
          <cell r="R28"/>
          <cell r="S28">
            <v>1</v>
          </cell>
          <cell r="T28">
            <v>1</v>
          </cell>
          <cell r="U28" t="str">
            <v/>
          </cell>
          <cell r="V28">
            <v>8.92</v>
          </cell>
          <cell r="W28">
            <v>3.92</v>
          </cell>
          <cell r="X28">
            <v>39539</v>
          </cell>
          <cell r="Y28"/>
          <cell r="Z28">
            <v>0.97670000000000001</v>
          </cell>
          <cell r="AA28">
            <v>0.97670000000000001</v>
          </cell>
          <cell r="AB28" t="str">
            <v/>
          </cell>
          <cell r="AC28">
            <v>11.8431</v>
          </cell>
          <cell r="AD28">
            <v>3.9176000000000002</v>
          </cell>
        </row>
        <row r="29">
          <cell r="B29">
            <v>39569</v>
          </cell>
          <cell r="C29">
            <v>1</v>
          </cell>
          <cell r="D29" t="str">
            <v>g</v>
          </cell>
          <cell r="E29" t="str">
            <v>c</v>
          </cell>
          <cell r="F29" t="str">
            <v>c</v>
          </cell>
          <cell r="G29">
            <v>0.9</v>
          </cell>
          <cell r="H29">
            <v>0.9</v>
          </cell>
          <cell r="I29">
            <v>0.98240000000000005</v>
          </cell>
          <cell r="J29" t="str">
            <v>g</v>
          </cell>
          <cell r="K29" t="str">
            <v>c</v>
          </cell>
          <cell r="L29" t="str">
            <v>c</v>
          </cell>
          <cell r="M29">
            <v>0.9</v>
          </cell>
          <cell r="N29">
            <v>0.9</v>
          </cell>
          <cell r="O29"/>
          <cell r="P29"/>
          <cell r="Q29">
            <v>39569</v>
          </cell>
          <cell r="R29"/>
          <cell r="S29">
            <v>1</v>
          </cell>
          <cell r="T29">
            <v>1</v>
          </cell>
          <cell r="U29" t="str">
            <v/>
          </cell>
          <cell r="V29">
            <v>8.92</v>
          </cell>
          <cell r="W29">
            <v>4.92</v>
          </cell>
          <cell r="X29">
            <v>39569</v>
          </cell>
          <cell r="Y29"/>
          <cell r="Z29">
            <v>0.98240000000000005</v>
          </cell>
          <cell r="AA29">
            <v>0.98240000000000005</v>
          </cell>
          <cell r="AB29" t="str">
            <v/>
          </cell>
          <cell r="AC29">
            <v>11.8431</v>
          </cell>
          <cell r="AD29">
            <v>4.9000000000000004</v>
          </cell>
        </row>
        <row r="30">
          <cell r="B30">
            <v>39600</v>
          </cell>
          <cell r="C30">
            <v>1</v>
          </cell>
          <cell r="D30" t="str">
            <v>g</v>
          </cell>
          <cell r="E30" t="str">
            <v>c</v>
          </cell>
          <cell r="F30" t="str">
            <v>c</v>
          </cell>
          <cell r="G30">
            <v>0.9</v>
          </cell>
          <cell r="H30">
            <v>0.9</v>
          </cell>
          <cell r="I30">
            <v>0.98829999999999996</v>
          </cell>
          <cell r="J30" t="str">
            <v>g</v>
          </cell>
          <cell r="K30" t="str">
            <v>c</v>
          </cell>
          <cell r="L30" t="str">
            <v>c</v>
          </cell>
          <cell r="M30">
            <v>0.9</v>
          </cell>
          <cell r="N30">
            <v>0.9</v>
          </cell>
          <cell r="O30"/>
          <cell r="P30"/>
          <cell r="Q30">
            <v>39600</v>
          </cell>
          <cell r="R30"/>
          <cell r="S30">
            <v>1</v>
          </cell>
          <cell r="T30">
            <v>1</v>
          </cell>
          <cell r="U30" t="str">
            <v/>
          </cell>
          <cell r="V30">
            <v>8.92</v>
          </cell>
          <cell r="W30">
            <v>5.92</v>
          </cell>
          <cell r="X30">
            <v>39600</v>
          </cell>
          <cell r="Y30"/>
          <cell r="Z30">
            <v>0.98829999999999996</v>
          </cell>
          <cell r="AA30">
            <v>0.98829999999999996</v>
          </cell>
          <cell r="AB30" t="str">
            <v/>
          </cell>
          <cell r="AC30">
            <v>11.8431</v>
          </cell>
          <cell r="AD30">
            <v>5.8883000000000001</v>
          </cell>
        </row>
        <row r="31">
          <cell r="B31">
            <v>39630</v>
          </cell>
          <cell r="C31">
            <v>1</v>
          </cell>
          <cell r="D31" t="str">
            <v>g</v>
          </cell>
          <cell r="E31" t="str">
            <v>c</v>
          </cell>
          <cell r="F31" t="str">
            <v>c</v>
          </cell>
          <cell r="G31">
            <v>0.9</v>
          </cell>
          <cell r="H31">
            <v>0.9</v>
          </cell>
          <cell r="I31">
            <v>0.98939999999999995</v>
          </cell>
          <cell r="J31" t="str">
            <v>g</v>
          </cell>
          <cell r="K31" t="str">
            <v>c</v>
          </cell>
          <cell r="L31" t="str">
            <v>c</v>
          </cell>
          <cell r="M31">
            <v>0.9</v>
          </cell>
          <cell r="N31">
            <v>0.9</v>
          </cell>
          <cell r="O31"/>
          <cell r="P31"/>
          <cell r="Q31">
            <v>39630</v>
          </cell>
          <cell r="R31"/>
          <cell r="S31">
            <v>1</v>
          </cell>
          <cell r="T31">
            <v>1</v>
          </cell>
          <cell r="U31" t="str">
            <v/>
          </cell>
          <cell r="V31">
            <v>8.92</v>
          </cell>
          <cell r="W31">
            <v>6.92</v>
          </cell>
          <cell r="X31">
            <v>39630</v>
          </cell>
          <cell r="Y31"/>
          <cell r="Z31">
            <v>0.98939999999999995</v>
          </cell>
          <cell r="AA31">
            <v>0.98939999999999995</v>
          </cell>
          <cell r="AB31" t="str">
            <v/>
          </cell>
          <cell r="AC31">
            <v>11.8431</v>
          </cell>
          <cell r="AD31">
            <v>6.8776999999999999</v>
          </cell>
        </row>
        <row r="32">
          <cell r="B32">
            <v>39661</v>
          </cell>
          <cell r="C32">
            <v>1</v>
          </cell>
          <cell r="D32" t="str">
            <v>g</v>
          </cell>
          <cell r="E32" t="str">
            <v>c</v>
          </cell>
          <cell r="F32" t="str">
            <v>c</v>
          </cell>
          <cell r="G32">
            <v>0.9</v>
          </cell>
          <cell r="H32">
            <v>0.9</v>
          </cell>
          <cell r="I32">
            <v>0.99150000000000005</v>
          </cell>
          <cell r="J32" t="str">
            <v>g</v>
          </cell>
          <cell r="K32" t="str">
            <v>c</v>
          </cell>
          <cell r="L32" t="str">
            <v>c</v>
          </cell>
          <cell r="M32">
            <v>0.9</v>
          </cell>
          <cell r="N32">
            <v>0.9</v>
          </cell>
          <cell r="O32"/>
          <cell r="P32"/>
          <cell r="Q32">
            <v>39661</v>
          </cell>
          <cell r="R32"/>
          <cell r="S32">
            <v>1</v>
          </cell>
          <cell r="T32">
            <v>1</v>
          </cell>
          <cell r="U32" t="str">
            <v/>
          </cell>
          <cell r="V32">
            <v>8.92</v>
          </cell>
          <cell r="W32">
            <v>7.92</v>
          </cell>
          <cell r="X32">
            <v>39661</v>
          </cell>
          <cell r="Y32"/>
          <cell r="Z32">
            <v>0.99150000000000005</v>
          </cell>
          <cell r="AA32">
            <v>0.99150000000000005</v>
          </cell>
          <cell r="AB32" t="str">
            <v/>
          </cell>
          <cell r="AC32">
            <v>11.8431</v>
          </cell>
          <cell r="AD32">
            <v>7.8692000000000002</v>
          </cell>
        </row>
        <row r="33">
          <cell r="B33">
            <v>39692</v>
          </cell>
          <cell r="C33">
            <v>1</v>
          </cell>
          <cell r="D33" t="str">
            <v>g</v>
          </cell>
          <cell r="E33" t="str">
            <v>c</v>
          </cell>
          <cell r="F33" t="str">
            <v>c</v>
          </cell>
          <cell r="G33">
            <v>0.9</v>
          </cell>
          <cell r="H33">
            <v>0.9</v>
          </cell>
          <cell r="I33">
            <v>0.99239999999999995</v>
          </cell>
          <cell r="J33" t="str">
            <v>g</v>
          </cell>
          <cell r="K33" t="str">
            <v>c</v>
          </cell>
          <cell r="L33" t="str">
            <v>c</v>
          </cell>
          <cell r="M33">
            <v>0.9</v>
          </cell>
          <cell r="N33">
            <v>0.9</v>
          </cell>
          <cell r="O33"/>
          <cell r="P33"/>
          <cell r="Q33">
            <v>39692</v>
          </cell>
          <cell r="R33"/>
          <cell r="S33">
            <v>1</v>
          </cell>
          <cell r="T33">
            <v>1</v>
          </cell>
          <cell r="U33" t="str">
            <v/>
          </cell>
          <cell r="V33">
            <v>8.92</v>
          </cell>
          <cell r="W33">
            <v>8.92</v>
          </cell>
          <cell r="X33">
            <v>39692</v>
          </cell>
          <cell r="Y33"/>
          <cell r="Z33">
            <v>0.99239999999999995</v>
          </cell>
          <cell r="AA33"/>
          <cell r="AB33" t="str">
            <v/>
          </cell>
          <cell r="AC33">
            <v>11.8431</v>
          </cell>
          <cell r="AD33">
            <v>8.8615999999999993</v>
          </cell>
        </row>
        <row r="34">
          <cell r="B34">
            <v>39722</v>
          </cell>
          <cell r="C34">
            <v>1</v>
          </cell>
          <cell r="D34" t="str">
            <v>g</v>
          </cell>
          <cell r="E34" t="str">
            <v>c</v>
          </cell>
          <cell r="F34" t="str">
            <v>c</v>
          </cell>
          <cell r="G34">
            <v>0.9</v>
          </cell>
          <cell r="H34">
            <v>0.9</v>
          </cell>
          <cell r="I34">
            <v>0.99319999999999997</v>
          </cell>
          <cell r="J34" t="str">
            <v>g</v>
          </cell>
          <cell r="K34" t="str">
            <v>c</v>
          </cell>
          <cell r="L34" t="str">
            <v>c</v>
          </cell>
          <cell r="M34">
            <v>0.9</v>
          </cell>
          <cell r="N34">
            <v>0.9</v>
          </cell>
          <cell r="O34"/>
          <cell r="P34"/>
          <cell r="Q34">
            <v>39722</v>
          </cell>
          <cell r="R34"/>
          <cell r="S34"/>
          <cell r="T34"/>
          <cell r="U34" t="str">
            <v/>
          </cell>
          <cell r="V34">
            <v>8.92</v>
          </cell>
          <cell r="W34" t="str">
            <v/>
          </cell>
          <cell r="X34">
            <v>39722</v>
          </cell>
          <cell r="Y34"/>
          <cell r="Z34">
            <v>0.99319999999999997</v>
          </cell>
          <cell r="AA34"/>
          <cell r="AB34" t="str">
            <v/>
          </cell>
          <cell r="AC34">
            <v>11.8431</v>
          </cell>
          <cell r="AD34">
            <v>9.8547999999999991</v>
          </cell>
        </row>
        <row r="35">
          <cell r="B35">
            <v>39753</v>
          </cell>
          <cell r="C35">
            <v>1</v>
          </cell>
          <cell r="D35" t="str">
            <v>g</v>
          </cell>
          <cell r="E35" t="str">
            <v>c</v>
          </cell>
          <cell r="F35" t="str">
            <v>c</v>
          </cell>
          <cell r="G35">
            <v>0.9</v>
          </cell>
          <cell r="H35">
            <v>0.9</v>
          </cell>
          <cell r="I35">
            <v>0.99380000000000002</v>
          </cell>
          <cell r="J35" t="str">
            <v>g</v>
          </cell>
          <cell r="K35" t="str">
            <v>c</v>
          </cell>
          <cell r="L35" t="str">
            <v>c</v>
          </cell>
          <cell r="M35">
            <v>0.9</v>
          </cell>
          <cell r="N35">
            <v>0.9</v>
          </cell>
          <cell r="O35"/>
          <cell r="P35"/>
          <cell r="Q35">
            <v>39753</v>
          </cell>
          <cell r="R35"/>
          <cell r="S35"/>
          <cell r="T35"/>
          <cell r="U35" t="str">
            <v/>
          </cell>
          <cell r="V35">
            <v>8.92</v>
          </cell>
          <cell r="W35" t="str">
            <v/>
          </cell>
          <cell r="X35">
            <v>39753</v>
          </cell>
          <cell r="Y35"/>
          <cell r="Z35">
            <v>0.99380000000000002</v>
          </cell>
          <cell r="AA35"/>
          <cell r="AB35" t="str">
            <v/>
          </cell>
          <cell r="AC35">
            <v>11.8431</v>
          </cell>
          <cell r="AD35">
            <v>10.848599999999999</v>
          </cell>
        </row>
        <row r="36">
          <cell r="B36">
            <v>39783</v>
          </cell>
          <cell r="C36">
            <v>1</v>
          </cell>
          <cell r="D36" t="str">
            <v>g</v>
          </cell>
          <cell r="E36" t="str">
            <v>c</v>
          </cell>
          <cell r="F36" t="str">
            <v>c</v>
          </cell>
          <cell r="G36">
            <v>0.9</v>
          </cell>
          <cell r="H36">
            <v>0.9</v>
          </cell>
          <cell r="I36">
            <v>0.99450000000000005</v>
          </cell>
          <cell r="J36" t="str">
            <v>g</v>
          </cell>
          <cell r="K36" t="str">
            <v>c</v>
          </cell>
          <cell r="L36" t="str">
            <v>c</v>
          </cell>
          <cell r="M36">
            <v>0.9</v>
          </cell>
          <cell r="N36">
            <v>0.9</v>
          </cell>
          <cell r="O36"/>
          <cell r="P36"/>
          <cell r="Q36">
            <v>39783</v>
          </cell>
          <cell r="R36"/>
          <cell r="S36"/>
          <cell r="T36"/>
          <cell r="U36" t="str">
            <v/>
          </cell>
          <cell r="V36">
            <v>8.92</v>
          </cell>
          <cell r="W36" t="str">
            <v/>
          </cell>
          <cell r="X36">
            <v>39783</v>
          </cell>
          <cell r="Y36"/>
          <cell r="Z36">
            <v>0.99450000000000005</v>
          </cell>
          <cell r="AA36"/>
          <cell r="AB36" t="str">
            <v/>
          </cell>
          <cell r="AC36">
            <v>11.8431</v>
          </cell>
          <cell r="AD36">
            <v>11.8431</v>
          </cell>
        </row>
        <row r="37">
          <cell r="B37">
            <v>39814</v>
          </cell>
          <cell r="C37"/>
          <cell r="D37" t="str">
            <v/>
          </cell>
          <cell r="E37" t="str">
            <v/>
          </cell>
          <cell r="F37" t="str">
            <v/>
          </cell>
          <cell r="G37">
            <v>0.9</v>
          </cell>
          <cell r="H37">
            <v>0.9</v>
          </cell>
          <cell r="I37"/>
          <cell r="J37" t="str">
            <v/>
          </cell>
          <cell r="K37" t="str">
            <v/>
          </cell>
          <cell r="L37" t="str">
            <v/>
          </cell>
          <cell r="M37">
            <v>0.9</v>
          </cell>
          <cell r="N37">
            <v>0.9</v>
          </cell>
          <cell r="O37"/>
          <cell r="P37"/>
          <cell r="Q37">
            <v>39814</v>
          </cell>
          <cell r="R37">
            <v>1</v>
          </cell>
          <cell r="S37"/>
          <cell r="T37"/>
          <cell r="U37"/>
          <cell r="V37"/>
          <cell r="W37"/>
          <cell r="X37">
            <v>39814</v>
          </cell>
          <cell r="Y37">
            <v>1</v>
          </cell>
          <cell r="Z37" t="str">
            <v/>
          </cell>
          <cell r="AA37"/>
          <cell r="AB37"/>
          <cell r="AC37"/>
          <cell r="AD37"/>
        </row>
        <row r="38">
          <cell r="B38">
            <v>39845</v>
          </cell>
          <cell r="C38"/>
          <cell r="D38"/>
          <cell r="E38"/>
          <cell r="F38"/>
          <cell r="G38">
            <v>0.9</v>
          </cell>
          <cell r="H38">
            <v>0.9</v>
          </cell>
          <cell r="I38"/>
          <cell r="J38"/>
          <cell r="K38"/>
          <cell r="L38"/>
          <cell r="M38">
            <v>0.9</v>
          </cell>
          <cell r="N38">
            <v>0.9</v>
          </cell>
          <cell r="O38"/>
          <cell r="P38"/>
          <cell r="Q38">
            <v>39845</v>
          </cell>
          <cell r="R38">
            <v>0.92</v>
          </cell>
          <cell r="S38"/>
          <cell r="T38"/>
          <cell r="U38"/>
          <cell r="V38"/>
          <cell r="W38"/>
          <cell r="X38">
            <v>39845</v>
          </cell>
          <cell r="Y38">
            <v>0.96419999999999995</v>
          </cell>
          <cell r="Z38" t="str">
            <v/>
          </cell>
          <cell r="AA38"/>
          <cell r="AB38"/>
          <cell r="AC38"/>
          <cell r="AD38"/>
        </row>
        <row r="39">
          <cell r="B39">
            <v>39873</v>
          </cell>
          <cell r="C39"/>
          <cell r="D39"/>
          <cell r="E39"/>
          <cell r="F39"/>
          <cell r="G39">
            <v>0.9</v>
          </cell>
          <cell r="H39">
            <v>0.9</v>
          </cell>
          <cell r="I39"/>
          <cell r="J39"/>
          <cell r="K39"/>
          <cell r="L39"/>
          <cell r="M39">
            <v>0.9</v>
          </cell>
          <cell r="N39">
            <v>0.9</v>
          </cell>
          <cell r="P39"/>
          <cell r="Q39">
            <v>39873</v>
          </cell>
          <cell r="R39">
            <v>1</v>
          </cell>
          <cell r="S39"/>
          <cell r="T39"/>
          <cell r="U39"/>
          <cell r="V39"/>
          <cell r="W39"/>
          <cell r="X39">
            <v>39873</v>
          </cell>
          <cell r="Y39">
            <v>0.97670000000000001</v>
          </cell>
          <cell r="Z39" t="str">
            <v/>
          </cell>
          <cell r="AA39"/>
          <cell r="AB39"/>
          <cell r="AC39"/>
          <cell r="AD39"/>
        </row>
        <row r="40">
          <cell r="B40">
            <v>39904</v>
          </cell>
          <cell r="C40"/>
          <cell r="D40"/>
          <cell r="E40"/>
          <cell r="F40"/>
          <cell r="G40">
            <v>0.9</v>
          </cell>
          <cell r="H40">
            <v>0.9</v>
          </cell>
          <cell r="I40"/>
          <cell r="J40"/>
          <cell r="K40"/>
          <cell r="L40"/>
          <cell r="M40">
            <v>0.9</v>
          </cell>
          <cell r="N40">
            <v>0.9</v>
          </cell>
          <cell r="P40"/>
          <cell r="Q40">
            <v>39904</v>
          </cell>
          <cell r="R40">
            <v>1</v>
          </cell>
          <cell r="S40"/>
          <cell r="T40"/>
          <cell r="U40"/>
          <cell r="V40"/>
          <cell r="W40"/>
          <cell r="X40">
            <v>39904</v>
          </cell>
          <cell r="Y40">
            <v>0.97670000000000001</v>
          </cell>
          <cell r="Z40" t="str">
            <v/>
          </cell>
          <cell r="AA40"/>
          <cell r="AB40"/>
          <cell r="AC40"/>
          <cell r="AD40"/>
        </row>
        <row r="41">
          <cell r="B41">
            <v>39934</v>
          </cell>
          <cell r="C41"/>
          <cell r="D41"/>
          <cell r="E41"/>
          <cell r="F41"/>
          <cell r="G41">
            <v>0.9</v>
          </cell>
          <cell r="H41">
            <v>0.9</v>
          </cell>
          <cell r="I41"/>
          <cell r="J41"/>
          <cell r="K41"/>
          <cell r="L41"/>
          <cell r="M41">
            <v>0.9</v>
          </cell>
          <cell r="N41">
            <v>0.9</v>
          </cell>
          <cell r="P41"/>
          <cell r="Q41">
            <v>39934</v>
          </cell>
          <cell r="R41">
            <v>1</v>
          </cell>
          <cell r="S41"/>
          <cell r="T41"/>
          <cell r="U41"/>
          <cell r="V41"/>
          <cell r="W41"/>
          <cell r="X41">
            <v>39934</v>
          </cell>
          <cell r="Y41">
            <v>0.98240000000000005</v>
          </cell>
          <cell r="Z41" t="str">
            <v/>
          </cell>
          <cell r="AA41"/>
          <cell r="AB41"/>
          <cell r="AC41"/>
          <cell r="AD41"/>
        </row>
        <row r="42">
          <cell r="B42">
            <v>39965</v>
          </cell>
          <cell r="C42"/>
          <cell r="D42"/>
          <cell r="E42"/>
          <cell r="F42"/>
          <cell r="G42">
            <v>0.9</v>
          </cell>
          <cell r="H42">
            <v>0.9</v>
          </cell>
          <cell r="I42"/>
          <cell r="J42"/>
          <cell r="K42"/>
          <cell r="L42"/>
          <cell r="M42">
            <v>0.9</v>
          </cell>
          <cell r="N42">
            <v>0.9</v>
          </cell>
          <cell r="P42"/>
          <cell r="Q42">
            <v>39965</v>
          </cell>
          <cell r="R42">
            <v>1</v>
          </cell>
          <cell r="S42"/>
          <cell r="T42"/>
          <cell r="U42"/>
          <cell r="V42"/>
          <cell r="W42"/>
          <cell r="X42">
            <v>39965</v>
          </cell>
          <cell r="Y42">
            <v>0.98829999999999996</v>
          </cell>
          <cell r="Z42" t="str">
            <v/>
          </cell>
          <cell r="AA42"/>
          <cell r="AB42"/>
          <cell r="AC42"/>
          <cell r="AD42"/>
        </row>
        <row r="43">
          <cell r="B43">
            <v>39995</v>
          </cell>
          <cell r="C43"/>
          <cell r="D43"/>
          <cell r="E43"/>
          <cell r="F43"/>
          <cell r="G43">
            <v>0.9</v>
          </cell>
          <cell r="H43">
            <v>0.9</v>
          </cell>
          <cell r="I43"/>
          <cell r="J43"/>
          <cell r="K43"/>
          <cell r="L43"/>
          <cell r="M43">
            <v>0.9</v>
          </cell>
          <cell r="N43">
            <v>0.9</v>
          </cell>
          <cell r="P43"/>
          <cell r="Q43">
            <v>39995</v>
          </cell>
          <cell r="R43">
            <v>1</v>
          </cell>
          <cell r="S43"/>
          <cell r="T43"/>
          <cell r="U43"/>
          <cell r="V43"/>
          <cell r="W43"/>
          <cell r="X43">
            <v>39995</v>
          </cell>
          <cell r="Y43">
            <v>0.98939999999999995</v>
          </cell>
          <cell r="Z43" t="str">
            <v/>
          </cell>
          <cell r="AA43"/>
          <cell r="AB43"/>
          <cell r="AC43"/>
          <cell r="AD43"/>
        </row>
        <row r="44">
          <cell r="B44">
            <v>40026</v>
          </cell>
          <cell r="C44"/>
          <cell r="D44"/>
          <cell r="E44"/>
          <cell r="F44"/>
          <cell r="G44">
            <v>0.9</v>
          </cell>
          <cell r="H44">
            <v>0.9</v>
          </cell>
          <cell r="I44"/>
          <cell r="J44"/>
          <cell r="K44"/>
          <cell r="L44"/>
          <cell r="M44">
            <v>0.9</v>
          </cell>
          <cell r="N44">
            <v>0.9</v>
          </cell>
          <cell r="P44"/>
          <cell r="Q44">
            <v>40026</v>
          </cell>
          <cell r="R44"/>
          <cell r="S44"/>
          <cell r="T44"/>
          <cell r="U44"/>
          <cell r="V44"/>
          <cell r="W44"/>
          <cell r="X44">
            <v>40026</v>
          </cell>
          <cell r="Y44">
            <v>0.99150000000000005</v>
          </cell>
          <cell r="Z44" t="str">
            <v/>
          </cell>
          <cell r="AA44"/>
          <cell r="AB44"/>
          <cell r="AC44"/>
          <cell r="AD44"/>
        </row>
        <row r="45">
          <cell r="B45">
            <v>40057</v>
          </cell>
          <cell r="C45"/>
          <cell r="D45"/>
          <cell r="E45"/>
          <cell r="F45"/>
          <cell r="G45">
            <v>0.9</v>
          </cell>
          <cell r="H45">
            <v>0.9</v>
          </cell>
          <cell r="I45"/>
          <cell r="J45"/>
          <cell r="K45"/>
          <cell r="L45"/>
          <cell r="M45">
            <v>0.9</v>
          </cell>
          <cell r="N45">
            <v>0.9</v>
          </cell>
          <cell r="P45"/>
          <cell r="Q45">
            <v>40057</v>
          </cell>
          <cell r="R45"/>
          <cell r="S45"/>
          <cell r="T45"/>
          <cell r="U45"/>
          <cell r="V45"/>
          <cell r="W45"/>
          <cell r="X45">
            <v>40057</v>
          </cell>
          <cell r="Y45">
            <v>0.99239999999999995</v>
          </cell>
          <cell r="Z45" t="str">
            <v/>
          </cell>
          <cell r="AA45"/>
          <cell r="AB45"/>
          <cell r="AC45"/>
          <cell r="AD45"/>
        </row>
      </sheetData>
      <sheetData sheetId="26">
        <row r="9">
          <cell r="B9"/>
          <cell r="C9"/>
          <cell r="D9"/>
          <cell r="E9"/>
          <cell r="F9"/>
          <cell r="G9"/>
          <cell r="H9"/>
        </row>
        <row r="10">
          <cell r="B10" t="str">
            <v>Mes - Año</v>
          </cell>
          <cell r="C10"/>
          <cell r="D10" t="str">
            <v>% AD</v>
          </cell>
          <cell r="E10"/>
          <cell r="F10"/>
          <cell r="G10"/>
          <cell r="H10"/>
          <cell r="I10"/>
        </row>
        <row r="11">
          <cell r="B11"/>
          <cell r="C11"/>
          <cell r="D11"/>
          <cell r="E11" t="str">
            <v>Performance</v>
          </cell>
          <cell r="F11"/>
          <cell r="G11"/>
          <cell r="H11" t="str">
            <v>Sup</v>
          </cell>
          <cell r="I11" t="str">
            <v>Inf</v>
          </cell>
        </row>
        <row r="12">
          <cell r="B12">
            <v>39083</v>
          </cell>
          <cell r="C12"/>
          <cell r="D12">
            <v>1</v>
          </cell>
          <cell r="E12" t="str">
            <v>g</v>
          </cell>
          <cell r="F12" t="str">
            <v>c</v>
          </cell>
          <cell r="G12" t="str">
            <v>c</v>
          </cell>
          <cell r="H12">
            <v>0.9</v>
          </cell>
          <cell r="I12">
            <v>0.33</v>
          </cell>
        </row>
        <row r="13">
          <cell r="B13">
            <v>39114</v>
          </cell>
          <cell r="C13"/>
          <cell r="D13">
            <v>1</v>
          </cell>
          <cell r="E13" t="str">
            <v>g</v>
          </cell>
          <cell r="F13" t="str">
            <v>c</v>
          </cell>
          <cell r="G13" t="str">
            <v>c</v>
          </cell>
          <cell r="H13">
            <v>0.9</v>
          </cell>
          <cell r="I13">
            <v>0.33</v>
          </cell>
        </row>
        <row r="14">
          <cell r="B14">
            <v>39142</v>
          </cell>
          <cell r="C14"/>
          <cell r="D14">
            <v>1</v>
          </cell>
          <cell r="E14" t="str">
            <v>g</v>
          </cell>
          <cell r="F14" t="str">
            <v>c</v>
          </cell>
          <cell r="G14" t="str">
            <v>c</v>
          </cell>
          <cell r="H14">
            <v>0.9</v>
          </cell>
          <cell r="I14">
            <v>0.33</v>
          </cell>
        </row>
        <row r="15">
          <cell r="B15">
            <v>39173</v>
          </cell>
          <cell r="C15"/>
          <cell r="D15">
            <v>1</v>
          </cell>
          <cell r="E15" t="str">
            <v>g</v>
          </cell>
          <cell r="F15" t="str">
            <v>c</v>
          </cell>
          <cell r="G15" t="str">
            <v>c</v>
          </cell>
          <cell r="H15">
            <v>0.9</v>
          </cell>
          <cell r="I15">
            <v>0.33</v>
          </cell>
        </row>
        <row r="16">
          <cell r="B16">
            <v>39203</v>
          </cell>
          <cell r="C16"/>
          <cell r="D16">
            <v>1</v>
          </cell>
          <cell r="E16" t="str">
            <v>g</v>
          </cell>
          <cell r="F16" t="str">
            <v>c</v>
          </cell>
          <cell r="G16" t="str">
            <v>c</v>
          </cell>
          <cell r="H16">
            <v>0.9</v>
          </cell>
          <cell r="I16">
            <v>0.33</v>
          </cell>
        </row>
        <row r="17">
          <cell r="B17">
            <v>39234</v>
          </cell>
          <cell r="C17"/>
          <cell r="D17">
            <v>0.75</v>
          </cell>
          <cell r="E17" t="str">
            <v>c</v>
          </cell>
          <cell r="F17" t="str">
            <v>g</v>
          </cell>
          <cell r="G17" t="str">
            <v>c</v>
          </cell>
          <cell r="H17">
            <v>0.9</v>
          </cell>
          <cell r="I17">
            <v>0.33</v>
          </cell>
        </row>
        <row r="18">
          <cell r="B18">
            <v>39264</v>
          </cell>
          <cell r="C18"/>
          <cell r="D18">
            <v>0.5</v>
          </cell>
          <cell r="E18" t="str">
            <v>c</v>
          </cell>
          <cell r="F18" t="str">
            <v>g</v>
          </cell>
          <cell r="G18" t="str">
            <v>c</v>
          </cell>
          <cell r="H18">
            <v>0.9</v>
          </cell>
          <cell r="I18">
            <v>0.33</v>
          </cell>
        </row>
        <row r="19">
          <cell r="B19">
            <v>39295</v>
          </cell>
          <cell r="C19"/>
          <cell r="D19">
            <v>0.5</v>
          </cell>
          <cell r="E19" t="str">
            <v>c</v>
          </cell>
          <cell r="F19" t="str">
            <v>g</v>
          </cell>
          <cell r="G19" t="str">
            <v>c</v>
          </cell>
          <cell r="H19">
            <v>0.9</v>
          </cell>
          <cell r="I19">
            <v>0.33</v>
          </cell>
        </row>
        <row r="20">
          <cell r="B20">
            <v>39326</v>
          </cell>
          <cell r="C20"/>
          <cell r="D20">
            <v>1</v>
          </cell>
          <cell r="E20" t="str">
            <v>g</v>
          </cell>
          <cell r="F20" t="str">
            <v>c</v>
          </cell>
          <cell r="G20" t="str">
            <v>c</v>
          </cell>
          <cell r="H20">
            <v>0.9</v>
          </cell>
          <cell r="I20">
            <v>0.33</v>
          </cell>
        </row>
        <row r="21">
          <cell r="B21">
            <v>39356</v>
          </cell>
          <cell r="C21"/>
          <cell r="D21">
            <v>1</v>
          </cell>
          <cell r="E21" t="str">
            <v>g</v>
          </cell>
          <cell r="F21" t="str">
            <v>c</v>
          </cell>
          <cell r="G21" t="str">
            <v>c</v>
          </cell>
          <cell r="H21">
            <v>0.9</v>
          </cell>
          <cell r="I21">
            <v>0.33</v>
          </cell>
        </row>
        <row r="22">
          <cell r="B22">
            <v>39387</v>
          </cell>
          <cell r="C22"/>
          <cell r="D22">
            <v>0.5</v>
          </cell>
          <cell r="E22" t="str">
            <v>c</v>
          </cell>
          <cell r="F22" t="str">
            <v>g</v>
          </cell>
          <cell r="G22" t="str">
            <v>c</v>
          </cell>
          <cell r="H22">
            <v>0.9</v>
          </cell>
          <cell r="I22">
            <v>0.33</v>
          </cell>
        </row>
        <row r="23">
          <cell r="B23">
            <v>39417</v>
          </cell>
          <cell r="C23"/>
          <cell r="D23">
            <v>0.75</v>
          </cell>
          <cell r="E23" t="str">
            <v>c</v>
          </cell>
          <cell r="F23" t="str">
            <v>g</v>
          </cell>
          <cell r="G23" t="str">
            <v>c</v>
          </cell>
          <cell r="H23">
            <v>0.9</v>
          </cell>
          <cell r="I23">
            <v>0.33</v>
          </cell>
        </row>
        <row r="24">
          <cell r="B24">
            <v>39448</v>
          </cell>
          <cell r="C24"/>
          <cell r="D24">
            <v>1</v>
          </cell>
          <cell r="E24" t="str">
            <v>g</v>
          </cell>
          <cell r="F24" t="str">
            <v>c</v>
          </cell>
          <cell r="G24" t="str">
            <v>c</v>
          </cell>
          <cell r="H24">
            <v>0.9</v>
          </cell>
          <cell r="I24">
            <v>0.33</v>
          </cell>
        </row>
        <row r="25">
          <cell r="B25">
            <v>39479</v>
          </cell>
          <cell r="C25"/>
          <cell r="D25">
            <v>1</v>
          </cell>
          <cell r="E25" t="str">
            <v>g</v>
          </cell>
          <cell r="F25" t="str">
            <v>c</v>
          </cell>
          <cell r="G25" t="str">
            <v>c</v>
          </cell>
          <cell r="H25">
            <v>0.9</v>
          </cell>
          <cell r="I25">
            <v>0.33</v>
          </cell>
        </row>
        <row r="26">
          <cell r="B26">
            <v>39508</v>
          </cell>
          <cell r="C26"/>
          <cell r="D26">
            <v>1</v>
          </cell>
          <cell r="E26" t="str">
            <v>g</v>
          </cell>
          <cell r="F26" t="str">
            <v>c</v>
          </cell>
          <cell r="G26" t="str">
            <v>c</v>
          </cell>
          <cell r="H26">
            <v>0.9</v>
          </cell>
          <cell r="I26">
            <v>0.33</v>
          </cell>
        </row>
        <row r="27">
          <cell r="B27">
            <v>39539</v>
          </cell>
          <cell r="C27"/>
          <cell r="D27">
            <v>0.8</v>
          </cell>
          <cell r="E27" t="str">
            <v>c</v>
          </cell>
          <cell r="F27" t="str">
            <v>g</v>
          </cell>
          <cell r="G27" t="str">
            <v>c</v>
          </cell>
          <cell r="H27">
            <v>0.9</v>
          </cell>
          <cell r="I27">
            <v>0.33</v>
          </cell>
        </row>
        <row r="28">
          <cell r="B28">
            <v>39569</v>
          </cell>
          <cell r="C28"/>
          <cell r="D28">
            <v>0.875</v>
          </cell>
          <cell r="E28" t="str">
            <v>c</v>
          </cell>
          <cell r="F28" t="str">
            <v>g</v>
          </cell>
          <cell r="G28" t="str">
            <v>c</v>
          </cell>
          <cell r="H28">
            <v>0.9</v>
          </cell>
          <cell r="I28">
            <v>0.33</v>
          </cell>
        </row>
        <row r="29">
          <cell r="B29">
            <v>39600</v>
          </cell>
          <cell r="C29"/>
          <cell r="D29">
            <v>0.66666666666666663</v>
          </cell>
          <cell r="E29" t="str">
            <v>c</v>
          </cell>
          <cell r="F29" t="str">
            <v>g</v>
          </cell>
          <cell r="G29" t="str">
            <v>c</v>
          </cell>
          <cell r="H29">
            <v>0.9</v>
          </cell>
          <cell r="I29">
            <v>0.33</v>
          </cell>
        </row>
        <row r="30">
          <cell r="B30">
            <v>39630</v>
          </cell>
          <cell r="C30"/>
          <cell r="D30">
            <v>1</v>
          </cell>
          <cell r="E30" t="str">
            <v>g</v>
          </cell>
          <cell r="F30" t="str">
            <v>c</v>
          </cell>
          <cell r="G30" t="str">
            <v>c</v>
          </cell>
          <cell r="H30">
            <v>0.9</v>
          </cell>
          <cell r="I30">
            <v>0.33</v>
          </cell>
        </row>
        <row r="31">
          <cell r="B31">
            <v>39661</v>
          </cell>
          <cell r="C31"/>
          <cell r="D31">
            <v>0.75</v>
          </cell>
          <cell r="E31" t="str">
            <v>c</v>
          </cell>
          <cell r="F31" t="str">
            <v>g</v>
          </cell>
          <cell r="G31" t="str">
            <v>c</v>
          </cell>
          <cell r="H31">
            <v>0.9</v>
          </cell>
          <cell r="I31">
            <v>0.33</v>
          </cell>
        </row>
        <row r="32">
          <cell r="B32">
            <v>39692</v>
          </cell>
          <cell r="C32"/>
          <cell r="D32">
            <v>0.5</v>
          </cell>
          <cell r="E32" t="str">
            <v>c</v>
          </cell>
          <cell r="F32" t="str">
            <v>g</v>
          </cell>
          <cell r="G32" t="str">
            <v>c</v>
          </cell>
          <cell r="H32">
            <v>0.9</v>
          </cell>
          <cell r="I32">
            <v>0.33</v>
          </cell>
        </row>
        <row r="33">
          <cell r="B33">
            <v>39722</v>
          </cell>
          <cell r="C33"/>
          <cell r="D33">
            <v>1</v>
          </cell>
          <cell r="E33" t="str">
            <v>g</v>
          </cell>
          <cell r="F33" t="str">
            <v>c</v>
          </cell>
          <cell r="G33" t="str">
            <v>c</v>
          </cell>
          <cell r="H33">
            <v>0.9</v>
          </cell>
          <cell r="I33">
            <v>0.33</v>
          </cell>
        </row>
        <row r="34">
          <cell r="B34">
            <v>39753</v>
          </cell>
          <cell r="C34"/>
          <cell r="D34">
            <v>1</v>
          </cell>
          <cell r="E34" t="str">
            <v>g</v>
          </cell>
          <cell r="F34" t="str">
            <v>c</v>
          </cell>
          <cell r="G34" t="str">
            <v>c</v>
          </cell>
          <cell r="H34">
            <v>0.9</v>
          </cell>
          <cell r="I34">
            <v>0.33</v>
          </cell>
        </row>
        <row r="35">
          <cell r="B35">
            <v>39783</v>
          </cell>
          <cell r="C35"/>
          <cell r="D35">
            <v>1</v>
          </cell>
          <cell r="E35" t="str">
            <v>g</v>
          </cell>
          <cell r="F35" t="str">
            <v>c</v>
          </cell>
          <cell r="G35" t="str">
            <v>c</v>
          </cell>
          <cell r="H35">
            <v>0.9</v>
          </cell>
          <cell r="I35">
            <v>0.33</v>
          </cell>
        </row>
        <row r="36">
          <cell r="B36">
            <v>39814</v>
          </cell>
          <cell r="C36"/>
          <cell r="D36" t="str">
            <v/>
          </cell>
          <cell r="E36"/>
          <cell r="F36"/>
          <cell r="G36"/>
          <cell r="H36">
            <v>0.9</v>
          </cell>
          <cell r="I36">
            <v>0.33</v>
          </cell>
        </row>
        <row r="37">
          <cell r="B37">
            <v>39845</v>
          </cell>
          <cell r="C37"/>
          <cell r="D37" t="str">
            <v/>
          </cell>
          <cell r="E37" t="str">
            <v/>
          </cell>
          <cell r="F37" t="str">
            <v/>
          </cell>
          <cell r="G37" t="str">
            <v/>
          </cell>
          <cell r="H37">
            <v>0.9</v>
          </cell>
          <cell r="I37">
            <v>0.33</v>
          </cell>
        </row>
      </sheetData>
      <sheetData sheetId="27">
        <row r="11">
          <cell r="B11"/>
          <cell r="C11"/>
          <cell r="D11"/>
          <cell r="E11"/>
          <cell r="F11"/>
          <cell r="G11"/>
        </row>
        <row r="12">
          <cell r="B12"/>
          <cell r="C12" t="str">
            <v>% NS</v>
          </cell>
          <cell r="D12"/>
          <cell r="E12" t="str">
            <v>dos veces al año</v>
          </cell>
          <cell r="F12"/>
          <cell r="G12"/>
          <cell r="H12"/>
        </row>
        <row r="13">
          <cell r="B13" t="str">
            <v>Fecha</v>
          </cell>
          <cell r="C13"/>
          <cell r="D13" t="str">
            <v>Performance</v>
          </cell>
          <cell r="E13"/>
          <cell r="F13"/>
          <cell r="G13" t="str">
            <v>Sup</v>
          </cell>
          <cell r="H13" t="str">
            <v>Inf</v>
          </cell>
        </row>
        <row r="14">
          <cell r="B14">
            <v>39083</v>
          </cell>
          <cell r="C14">
            <v>0.74</v>
          </cell>
          <cell r="D14" t="str">
            <v>c</v>
          </cell>
          <cell r="E14" t="str">
            <v>c</v>
          </cell>
          <cell r="F14" t="str">
            <v>g</v>
          </cell>
          <cell r="G14">
            <v>0.97</v>
          </cell>
          <cell r="H14">
            <v>0.85</v>
          </cell>
        </row>
        <row r="15">
          <cell r="B15">
            <v>39114</v>
          </cell>
          <cell r="C15"/>
          <cell r="D15" t="str">
            <v/>
          </cell>
          <cell r="E15" t="str">
            <v/>
          </cell>
          <cell r="F15" t="str">
            <v/>
          </cell>
          <cell r="G15">
            <v>0.97</v>
          </cell>
          <cell r="H15">
            <v>0.85</v>
          </cell>
        </row>
        <row r="16">
          <cell r="B16">
            <v>39142</v>
          </cell>
          <cell r="C16"/>
          <cell r="D16" t="str">
            <v/>
          </cell>
          <cell r="E16" t="str">
            <v/>
          </cell>
          <cell r="F16" t="str">
            <v/>
          </cell>
          <cell r="G16">
            <v>0.97</v>
          </cell>
          <cell r="H16">
            <v>0.85</v>
          </cell>
        </row>
        <row r="17">
          <cell r="B17">
            <v>39173</v>
          </cell>
          <cell r="C17"/>
          <cell r="D17" t="str">
            <v/>
          </cell>
          <cell r="E17" t="str">
            <v/>
          </cell>
          <cell r="F17" t="str">
            <v/>
          </cell>
          <cell r="G17">
            <v>0.95</v>
          </cell>
          <cell r="H17">
            <v>0.85</v>
          </cell>
        </row>
        <row r="18">
          <cell r="B18">
            <v>39203</v>
          </cell>
          <cell r="C18">
            <v>0.8</v>
          </cell>
          <cell r="D18" t="str">
            <v>c</v>
          </cell>
          <cell r="E18" t="str">
            <v>c</v>
          </cell>
          <cell r="F18" t="str">
            <v>g</v>
          </cell>
          <cell r="G18">
            <v>0.95</v>
          </cell>
          <cell r="H18">
            <v>0.85</v>
          </cell>
        </row>
        <row r="19">
          <cell r="B19">
            <v>39234</v>
          </cell>
          <cell r="C19"/>
          <cell r="D19" t="str">
            <v/>
          </cell>
          <cell r="E19" t="str">
            <v/>
          </cell>
          <cell r="F19" t="str">
            <v/>
          </cell>
          <cell r="G19">
            <v>0.95</v>
          </cell>
          <cell r="H19">
            <v>0.85</v>
          </cell>
        </row>
        <row r="20">
          <cell r="B20">
            <v>39264</v>
          </cell>
          <cell r="C20"/>
          <cell r="D20" t="str">
            <v/>
          </cell>
          <cell r="E20" t="str">
            <v/>
          </cell>
          <cell r="F20" t="str">
            <v/>
          </cell>
          <cell r="G20">
            <v>0.95</v>
          </cell>
          <cell r="H20">
            <v>0.85</v>
          </cell>
        </row>
        <row r="21">
          <cell r="B21">
            <v>39295</v>
          </cell>
          <cell r="C21">
            <v>0.80500000000000005</v>
          </cell>
          <cell r="D21" t="str">
            <v>c</v>
          </cell>
          <cell r="E21" t="str">
            <v>c</v>
          </cell>
          <cell r="F21" t="str">
            <v>g</v>
          </cell>
          <cell r="G21">
            <v>0.95</v>
          </cell>
          <cell r="H21">
            <v>0.85</v>
          </cell>
        </row>
        <row r="22">
          <cell r="B22">
            <v>39326</v>
          </cell>
          <cell r="C22">
            <v>0.84</v>
          </cell>
          <cell r="D22" t="str">
            <v>c</v>
          </cell>
          <cell r="E22" t="str">
            <v>c</v>
          </cell>
          <cell r="F22" t="str">
            <v>g</v>
          </cell>
          <cell r="G22">
            <v>0.95</v>
          </cell>
          <cell r="H22">
            <v>0.85</v>
          </cell>
        </row>
        <row r="23">
          <cell r="B23">
            <v>39356</v>
          </cell>
          <cell r="C23">
            <v>0.77100000000000002</v>
          </cell>
          <cell r="D23" t="str">
            <v>c</v>
          </cell>
          <cell r="E23" t="str">
            <v>c</v>
          </cell>
          <cell r="F23" t="str">
            <v>g</v>
          </cell>
          <cell r="G23">
            <v>0.95</v>
          </cell>
          <cell r="H23">
            <v>0.85</v>
          </cell>
        </row>
        <row r="24">
          <cell r="B24">
            <v>39387</v>
          </cell>
          <cell r="C24">
            <v>0.79500000000000004</v>
          </cell>
          <cell r="D24" t="str">
            <v>c</v>
          </cell>
          <cell r="E24" t="str">
            <v>c</v>
          </cell>
          <cell r="F24" t="str">
            <v>g</v>
          </cell>
          <cell r="G24">
            <v>0.95</v>
          </cell>
          <cell r="H24">
            <v>0.85</v>
          </cell>
        </row>
        <row r="25">
          <cell r="B25">
            <v>39417</v>
          </cell>
          <cell r="C25"/>
          <cell r="D25" t="str">
            <v/>
          </cell>
          <cell r="E25" t="str">
            <v/>
          </cell>
          <cell r="F25" t="str">
            <v/>
          </cell>
          <cell r="G25">
            <v>0.95</v>
          </cell>
          <cell r="H25">
            <v>0.85</v>
          </cell>
        </row>
        <row r="26">
          <cell r="B26">
            <v>39448</v>
          </cell>
          <cell r="C26"/>
          <cell r="D26" t="str">
            <v/>
          </cell>
          <cell r="E26" t="str">
            <v/>
          </cell>
          <cell r="F26" t="str">
            <v/>
          </cell>
          <cell r="G26">
            <v>0.95</v>
          </cell>
          <cell r="H26">
            <v>0.85</v>
          </cell>
        </row>
        <row r="27">
          <cell r="B27">
            <v>39479</v>
          </cell>
          <cell r="C27"/>
          <cell r="D27" t="str">
            <v/>
          </cell>
          <cell r="E27" t="str">
            <v/>
          </cell>
          <cell r="F27" t="str">
            <v/>
          </cell>
          <cell r="G27">
            <v>0.95</v>
          </cell>
          <cell r="H27">
            <v>0.85</v>
          </cell>
        </row>
        <row r="28">
          <cell r="B28">
            <v>39508</v>
          </cell>
          <cell r="C28">
            <v>0.78890000000000005</v>
          </cell>
          <cell r="D28" t="str">
            <v>c</v>
          </cell>
          <cell r="E28" t="str">
            <v>c</v>
          </cell>
          <cell r="F28" t="str">
            <v>g</v>
          </cell>
          <cell r="G28">
            <v>0.95</v>
          </cell>
          <cell r="H28">
            <v>0.85</v>
          </cell>
        </row>
        <row r="29">
          <cell r="B29">
            <v>39539</v>
          </cell>
          <cell r="C29">
            <v>0</v>
          </cell>
          <cell r="D29" t="str">
            <v>c</v>
          </cell>
          <cell r="E29" t="str">
            <v>c</v>
          </cell>
          <cell r="F29" t="str">
            <v>g</v>
          </cell>
          <cell r="G29">
            <v>0.95</v>
          </cell>
          <cell r="H29">
            <v>0.85</v>
          </cell>
        </row>
        <row r="30">
          <cell r="B30">
            <v>39569</v>
          </cell>
          <cell r="C30">
            <v>0</v>
          </cell>
          <cell r="D30" t="str">
            <v>c</v>
          </cell>
          <cell r="E30" t="str">
            <v>c</v>
          </cell>
          <cell r="F30" t="str">
            <v>g</v>
          </cell>
          <cell r="G30">
            <v>0.95</v>
          </cell>
          <cell r="H30">
            <v>0.85</v>
          </cell>
        </row>
        <row r="31">
          <cell r="B31">
            <v>39600</v>
          </cell>
          <cell r="C31" t="str">
            <v/>
          </cell>
          <cell r="D31" t="str">
            <v/>
          </cell>
          <cell r="E31" t="str">
            <v/>
          </cell>
          <cell r="F31" t="str">
            <v/>
          </cell>
          <cell r="G31" t="str">
            <v/>
          </cell>
          <cell r="H31" t="str">
            <v/>
          </cell>
        </row>
        <row r="32">
          <cell r="B32">
            <v>39630</v>
          </cell>
          <cell r="C32" t="str">
            <v/>
          </cell>
          <cell r="D32" t="str">
            <v/>
          </cell>
          <cell r="E32" t="str">
            <v/>
          </cell>
          <cell r="F32" t="str">
            <v/>
          </cell>
          <cell r="G32" t="str">
            <v/>
          </cell>
          <cell r="H32" t="str">
            <v/>
          </cell>
        </row>
        <row r="33">
          <cell r="B33">
            <v>39661</v>
          </cell>
          <cell r="C33" t="str">
            <v/>
          </cell>
          <cell r="D33" t="str">
            <v/>
          </cell>
          <cell r="E33" t="str">
            <v/>
          </cell>
          <cell r="F33" t="str">
            <v/>
          </cell>
          <cell r="G33" t="str">
            <v/>
          </cell>
          <cell r="H33" t="str">
            <v/>
          </cell>
        </row>
        <row r="34">
          <cell r="B34">
            <v>39692</v>
          </cell>
          <cell r="C34" t="str">
            <v/>
          </cell>
          <cell r="D34" t="str">
            <v/>
          </cell>
          <cell r="E34" t="str">
            <v/>
          </cell>
          <cell r="F34" t="str">
            <v/>
          </cell>
          <cell r="G34" t="str">
            <v/>
          </cell>
          <cell r="H34" t="str">
            <v/>
          </cell>
        </row>
        <row r="35">
          <cell r="B35">
            <v>39722</v>
          </cell>
          <cell r="C35" t="str">
            <v/>
          </cell>
          <cell r="D35" t="str">
            <v/>
          </cell>
          <cell r="E35" t="str">
            <v/>
          </cell>
          <cell r="F35" t="str">
            <v/>
          </cell>
          <cell r="G35" t="str">
            <v/>
          </cell>
          <cell r="H35" t="str">
            <v/>
          </cell>
        </row>
      </sheetData>
      <sheetData sheetId="28"/>
      <sheetData sheetId="29">
        <row r="13">
          <cell r="B13"/>
          <cell r="C13" t="str">
            <v>Mensual</v>
          </cell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Acumulado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  <cell r="Z13"/>
          <cell r="AA13"/>
          <cell r="AB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/>
          <cell r="AS13"/>
          <cell r="AT13"/>
          <cell r="AU13"/>
        </row>
        <row r="14">
          <cell r="B14"/>
          <cell r="C14" t="str">
            <v>%</v>
          </cell>
          <cell r="D14" t="str">
            <v>HHR en  visitas por problemas</v>
          </cell>
          <cell r="E14"/>
          <cell r="F14"/>
          <cell r="G14"/>
          <cell r="H14"/>
          <cell r="I14" t="e">
            <v>#N/A</v>
          </cell>
          <cell r="J14" t="str">
            <v>% Desechos</v>
          </cell>
          <cell r="K14"/>
          <cell r="L14"/>
          <cell r="M14"/>
          <cell r="N14"/>
          <cell r="O14" t="str">
            <v>%</v>
          </cell>
          <cell r="P14" t="str">
            <v>HHR en  visitas por problemas</v>
          </cell>
          <cell r="Q14"/>
          <cell r="R14"/>
          <cell r="S14"/>
          <cell r="T14"/>
          <cell r="U14" t="str">
            <v>%</v>
          </cell>
          <cell r="V14" t="str">
            <v>% Desechos</v>
          </cell>
          <cell r="W14"/>
          <cell r="X14"/>
          <cell r="Y14"/>
          <cell r="Z14"/>
          <cell r="AA14"/>
          <cell r="AB14"/>
          <cell r="AC14" t="str">
            <v>HHR en  visitas por problemas</v>
          </cell>
          <cell r="AD14"/>
          <cell r="AE14"/>
          <cell r="AF14" t="str">
            <v>Var 1.</v>
          </cell>
          <cell r="AG14"/>
          <cell r="AH14" t="str">
            <v>Var. 2</v>
          </cell>
          <cell r="AI14"/>
          <cell r="AJ14"/>
          <cell r="AK14" t="str">
            <v>HHR en  visitas por problemas</v>
          </cell>
          <cell r="AL14"/>
          <cell r="AM14"/>
          <cell r="AN14" t="str">
            <v>Var 1.</v>
          </cell>
          <cell r="AO14"/>
          <cell r="AP14" t="str">
            <v>Var. 2</v>
          </cell>
          <cell r="AQ14"/>
          <cell r="AR14" t="str">
            <v>Acumulado</v>
          </cell>
          <cell r="AS14"/>
          <cell r="AT14" t="str">
            <v>Acumular</v>
          </cell>
          <cell r="AU14"/>
        </row>
        <row r="15">
          <cell r="B15" t="str">
            <v>Fecha</v>
          </cell>
          <cell r="C15"/>
          <cell r="D15" t="str">
            <v>Performance</v>
          </cell>
          <cell r="E15"/>
          <cell r="F15"/>
          <cell r="G15" t="str">
            <v>Sup</v>
          </cell>
          <cell r="H15" t="str">
            <v>Inf</v>
          </cell>
          <cell r="I15"/>
          <cell r="J15" t="str">
            <v>Performance</v>
          </cell>
          <cell r="K15"/>
          <cell r="L15"/>
          <cell r="M15" t="str">
            <v>Sup</v>
          </cell>
          <cell r="N15" t="str">
            <v>Inf</v>
          </cell>
          <cell r="O15"/>
          <cell r="P15" t="str">
            <v>Performance</v>
          </cell>
          <cell r="Q15"/>
          <cell r="R15"/>
          <cell r="S15" t="str">
            <v>Sup</v>
          </cell>
          <cell r="T15" t="str">
            <v>Inf</v>
          </cell>
          <cell r="U15"/>
          <cell r="V15" t="str">
            <v>Performance</v>
          </cell>
          <cell r="W15"/>
          <cell r="X15"/>
          <cell r="Y15" t="str">
            <v>Sup</v>
          </cell>
          <cell r="Z15" t="str">
            <v>Inf</v>
          </cell>
          <cell r="AA15"/>
          <cell r="AB15" t="str">
            <v>Fecha</v>
          </cell>
          <cell r="AC15" t="str">
            <v>Anteriores</v>
          </cell>
          <cell r="AD15" t="str">
            <v>Actual</v>
          </cell>
          <cell r="AE15" t="str">
            <v>Program.</v>
          </cell>
          <cell r="AF15" t="str">
            <v>Unidades</v>
          </cell>
          <cell r="AG15" t="str">
            <v>%</v>
          </cell>
          <cell r="AH15" t="str">
            <v>Unidades</v>
          </cell>
          <cell r="AI15" t="str">
            <v>%</v>
          </cell>
          <cell r="AJ15"/>
          <cell r="AK15" t="str">
            <v>Anteriores</v>
          </cell>
          <cell r="AL15" t="str">
            <v>Actual</v>
          </cell>
          <cell r="AM15" t="str">
            <v>Program.</v>
          </cell>
          <cell r="AN15" t="str">
            <v>Unidades</v>
          </cell>
          <cell r="AO15" t="str">
            <v>%</v>
          </cell>
          <cell r="AP15" t="str">
            <v>Unidades</v>
          </cell>
          <cell r="AQ15" t="str">
            <v>%</v>
          </cell>
          <cell r="AR15" t="str">
            <v>Unidades</v>
          </cell>
          <cell r="AS15" t="str">
            <v>%</v>
          </cell>
          <cell r="AT15" t="str">
            <v>PPTO</v>
          </cell>
          <cell r="AU15" t="str">
            <v>Avance</v>
          </cell>
        </row>
        <row r="16">
          <cell r="B16">
            <v>39083</v>
          </cell>
          <cell r="C16"/>
          <cell r="D16" t="str">
            <v/>
          </cell>
          <cell r="E16" t="str">
            <v/>
          </cell>
          <cell r="F16" t="str">
            <v/>
          </cell>
          <cell r="G16"/>
          <cell r="H16"/>
          <cell r="I16" t="e">
            <v>#DIV/0!</v>
          </cell>
          <cell r="J16" t="e">
            <v>#DIV/0!</v>
          </cell>
          <cell r="K16" t="e">
            <v>#DIV/0!</v>
          </cell>
          <cell r="L16" t="e">
            <v>#DIV/0!</v>
          </cell>
          <cell r="M16">
            <v>0.06</v>
          </cell>
          <cell r="N16">
            <v>0.02</v>
          </cell>
          <cell r="O16"/>
          <cell r="P16" t="str">
            <v/>
          </cell>
          <cell r="Q16" t="str">
            <v/>
          </cell>
          <cell r="R16" t="str">
            <v/>
          </cell>
          <cell r="S16"/>
          <cell r="T16"/>
          <cell r="U16" t="e">
            <v>#DIV/0!</v>
          </cell>
          <cell r="V16" t="e">
            <v>#DIV/0!</v>
          </cell>
          <cell r="W16" t="e">
            <v>#DIV/0!</v>
          </cell>
          <cell r="X16" t="e">
            <v>#DIV/0!</v>
          </cell>
          <cell r="Y16" t="e">
            <v>#REF!</v>
          </cell>
          <cell r="Z16" t="e">
            <v>#REF!</v>
          </cell>
          <cell r="AA16"/>
          <cell r="AB16">
            <v>39083</v>
          </cell>
          <cell r="AC16"/>
          <cell r="AD16"/>
          <cell r="AE16">
            <v>0</v>
          </cell>
          <cell r="AF16" t="str">
            <v/>
          </cell>
          <cell r="AG16"/>
          <cell r="AH16">
            <v>0</v>
          </cell>
          <cell r="AI16"/>
          <cell r="AJ16"/>
          <cell r="AK16"/>
          <cell r="AL16"/>
          <cell r="AM16">
            <v>0</v>
          </cell>
          <cell r="AN16"/>
          <cell r="AO16"/>
          <cell r="AP16">
            <v>0</v>
          </cell>
          <cell r="AQ16"/>
          <cell r="AR16"/>
          <cell r="AS16"/>
          <cell r="AT16"/>
          <cell r="AU16"/>
        </row>
        <row r="17">
          <cell r="B17">
            <v>39114</v>
          </cell>
          <cell r="C17"/>
          <cell r="D17" t="str">
            <v/>
          </cell>
          <cell r="E17" t="str">
            <v/>
          </cell>
          <cell r="F17" t="str">
            <v/>
          </cell>
          <cell r="G17"/>
          <cell r="H17"/>
          <cell r="I17" t="e">
            <v>#DIV/0!</v>
          </cell>
          <cell r="J17" t="e">
            <v>#DIV/0!</v>
          </cell>
          <cell r="K17" t="e">
            <v>#DIV/0!</v>
          </cell>
          <cell r="L17" t="e">
            <v>#DIV/0!</v>
          </cell>
          <cell r="M17">
            <v>0.06</v>
          </cell>
          <cell r="N17">
            <v>0.02</v>
          </cell>
          <cell r="O17"/>
          <cell r="P17" t="str">
            <v/>
          </cell>
          <cell r="Q17" t="str">
            <v/>
          </cell>
          <cell r="R17" t="str">
            <v/>
          </cell>
          <cell r="S17"/>
          <cell r="T17"/>
          <cell r="U17" t="e">
            <v>#DIV/0!</v>
          </cell>
          <cell r="V17" t="e">
            <v>#DIV/0!</v>
          </cell>
          <cell r="W17" t="e">
            <v>#DIV/0!</v>
          </cell>
          <cell r="X17" t="e">
            <v>#DIV/0!</v>
          </cell>
          <cell r="Y17" t="e">
            <v>#REF!</v>
          </cell>
          <cell r="Z17" t="e">
            <v>#REF!</v>
          </cell>
          <cell r="AA17"/>
          <cell r="AB17">
            <v>39114</v>
          </cell>
          <cell r="AC17"/>
          <cell r="AD17"/>
          <cell r="AE17">
            <v>0</v>
          </cell>
          <cell r="AF17" t="str">
            <v/>
          </cell>
          <cell r="AG17"/>
          <cell r="AH17">
            <v>0</v>
          </cell>
          <cell r="AI17"/>
          <cell r="AJ17"/>
          <cell r="AK17"/>
          <cell r="AL17"/>
          <cell r="AM17">
            <v>0</v>
          </cell>
          <cell r="AN17"/>
          <cell r="AO17"/>
          <cell r="AP17">
            <v>0</v>
          </cell>
          <cell r="AQ17"/>
          <cell r="AR17"/>
          <cell r="AS17"/>
          <cell r="AT17"/>
          <cell r="AU17"/>
        </row>
        <row r="18">
          <cell r="B18">
            <v>39142</v>
          </cell>
          <cell r="C18"/>
          <cell r="D18" t="str">
            <v/>
          </cell>
          <cell r="E18" t="str">
            <v/>
          </cell>
          <cell r="F18" t="str">
            <v/>
          </cell>
          <cell r="G18"/>
          <cell r="H18"/>
          <cell r="I18" t="e">
            <v>#DIV/0!</v>
          </cell>
          <cell r="J18" t="e">
            <v>#DIV/0!</v>
          </cell>
          <cell r="K18" t="e">
            <v>#DIV/0!</v>
          </cell>
          <cell r="L18" t="e">
            <v>#DIV/0!</v>
          </cell>
          <cell r="M18">
            <v>0.06</v>
          </cell>
          <cell r="N18">
            <v>0.02</v>
          </cell>
          <cell r="O18"/>
          <cell r="P18" t="str">
            <v/>
          </cell>
          <cell r="Q18" t="str">
            <v/>
          </cell>
          <cell r="R18" t="str">
            <v/>
          </cell>
          <cell r="S18"/>
          <cell r="T18"/>
          <cell r="U18" t="e">
            <v>#DIV/0!</v>
          </cell>
          <cell r="V18" t="e">
            <v>#DIV/0!</v>
          </cell>
          <cell r="W18" t="e">
            <v>#DIV/0!</v>
          </cell>
          <cell r="X18" t="e">
            <v>#DIV/0!</v>
          </cell>
          <cell r="Y18" t="e">
            <v>#REF!</v>
          </cell>
          <cell r="Z18" t="e">
            <v>#REF!</v>
          </cell>
          <cell r="AA18"/>
          <cell r="AB18">
            <v>39142</v>
          </cell>
          <cell r="AC18"/>
          <cell r="AD18"/>
          <cell r="AE18">
            <v>0</v>
          </cell>
          <cell r="AF18" t="str">
            <v/>
          </cell>
          <cell r="AG18"/>
          <cell r="AH18">
            <v>0</v>
          </cell>
          <cell r="AI18"/>
          <cell r="AJ18"/>
          <cell r="AK18"/>
          <cell r="AL18"/>
          <cell r="AM18">
            <v>0</v>
          </cell>
          <cell r="AN18"/>
          <cell r="AO18"/>
          <cell r="AP18">
            <v>0</v>
          </cell>
          <cell r="AQ18"/>
          <cell r="AR18"/>
          <cell r="AS18"/>
          <cell r="AT18"/>
          <cell r="AU18"/>
        </row>
        <row r="19">
          <cell r="B19">
            <v>39173</v>
          </cell>
          <cell r="C19"/>
          <cell r="D19" t="str">
            <v/>
          </cell>
          <cell r="E19" t="str">
            <v/>
          </cell>
          <cell r="F19" t="str">
            <v/>
          </cell>
          <cell r="G19"/>
          <cell r="H19"/>
          <cell r="I19" t="e">
            <v>#DIV/0!</v>
          </cell>
          <cell r="J19" t="e">
            <v>#DIV/0!</v>
          </cell>
          <cell r="K19" t="e">
            <v>#DIV/0!</v>
          </cell>
          <cell r="L19" t="e">
            <v>#DIV/0!</v>
          </cell>
          <cell r="M19">
            <v>0.06</v>
          </cell>
          <cell r="N19">
            <v>0.02</v>
          </cell>
          <cell r="O19"/>
          <cell r="P19" t="str">
            <v/>
          </cell>
          <cell r="Q19" t="str">
            <v/>
          </cell>
          <cell r="R19" t="str">
            <v/>
          </cell>
          <cell r="S19"/>
          <cell r="T19"/>
          <cell r="U19" t="e">
            <v>#DIV/0!</v>
          </cell>
          <cell r="V19" t="e">
            <v>#DIV/0!</v>
          </cell>
          <cell r="W19" t="e">
            <v>#DIV/0!</v>
          </cell>
          <cell r="X19" t="e">
            <v>#DIV/0!</v>
          </cell>
          <cell r="Y19" t="e">
            <v>#REF!</v>
          </cell>
          <cell r="Z19" t="e">
            <v>#REF!</v>
          </cell>
          <cell r="AA19"/>
          <cell r="AB19">
            <v>39173</v>
          </cell>
          <cell r="AC19"/>
          <cell r="AD19"/>
          <cell r="AE19">
            <v>0</v>
          </cell>
          <cell r="AF19" t="str">
            <v/>
          </cell>
          <cell r="AG19"/>
          <cell r="AH19">
            <v>0</v>
          </cell>
          <cell r="AI19"/>
          <cell r="AJ19"/>
          <cell r="AK19"/>
          <cell r="AL19"/>
          <cell r="AM19">
            <v>0</v>
          </cell>
          <cell r="AN19"/>
          <cell r="AO19"/>
          <cell r="AP19">
            <v>0</v>
          </cell>
          <cell r="AQ19"/>
          <cell r="AR19"/>
          <cell r="AS19"/>
          <cell r="AT19"/>
          <cell r="AU19"/>
        </row>
        <row r="20">
          <cell r="B20">
            <v>39203</v>
          </cell>
          <cell r="C20"/>
          <cell r="D20" t="str">
            <v/>
          </cell>
          <cell r="E20" t="str">
            <v/>
          </cell>
          <cell r="F20" t="str">
            <v/>
          </cell>
          <cell r="G20"/>
          <cell r="H20"/>
          <cell r="I20" t="e">
            <v>#DIV/0!</v>
          </cell>
          <cell r="J20" t="e">
            <v>#DIV/0!</v>
          </cell>
          <cell r="K20" t="e">
            <v>#DIV/0!</v>
          </cell>
          <cell r="L20" t="e">
            <v>#DIV/0!</v>
          </cell>
          <cell r="M20">
            <v>0.06</v>
          </cell>
          <cell r="N20">
            <v>0.02</v>
          </cell>
          <cell r="O20"/>
          <cell r="P20" t="str">
            <v/>
          </cell>
          <cell r="Q20" t="str">
            <v/>
          </cell>
          <cell r="R20" t="str">
            <v/>
          </cell>
          <cell r="S20"/>
          <cell r="T20"/>
          <cell r="U20" t="e">
            <v>#DIV/0!</v>
          </cell>
          <cell r="V20" t="e">
            <v>#DIV/0!</v>
          </cell>
          <cell r="W20" t="e">
            <v>#DIV/0!</v>
          </cell>
          <cell r="X20" t="e">
            <v>#DIV/0!</v>
          </cell>
          <cell r="Y20" t="e">
            <v>#REF!</v>
          </cell>
          <cell r="Z20" t="e">
            <v>#REF!</v>
          </cell>
          <cell r="AA20"/>
          <cell r="AB20">
            <v>39203</v>
          </cell>
          <cell r="AC20"/>
          <cell r="AD20"/>
          <cell r="AE20">
            <v>0</v>
          </cell>
          <cell r="AF20" t="str">
            <v/>
          </cell>
          <cell r="AG20"/>
          <cell r="AH20">
            <v>0</v>
          </cell>
          <cell r="AI20"/>
          <cell r="AJ20"/>
          <cell r="AK20"/>
          <cell r="AL20"/>
          <cell r="AM20">
            <v>0</v>
          </cell>
          <cell r="AN20"/>
          <cell r="AO20"/>
          <cell r="AP20">
            <v>0</v>
          </cell>
          <cell r="AQ20"/>
          <cell r="AR20"/>
          <cell r="AS20"/>
          <cell r="AT20"/>
          <cell r="AU20"/>
        </row>
        <row r="21">
          <cell r="B21">
            <v>39234</v>
          </cell>
          <cell r="C21"/>
          <cell r="D21" t="str">
            <v/>
          </cell>
          <cell r="E21" t="str">
            <v/>
          </cell>
          <cell r="F21" t="str">
            <v/>
          </cell>
          <cell r="G21"/>
          <cell r="H21"/>
          <cell r="I21" t="e">
            <v>#DIV/0!</v>
          </cell>
          <cell r="J21" t="e">
            <v>#DIV/0!</v>
          </cell>
          <cell r="K21" t="e">
            <v>#DIV/0!</v>
          </cell>
          <cell r="L21" t="e">
            <v>#DIV/0!</v>
          </cell>
          <cell r="M21">
            <v>0.06</v>
          </cell>
          <cell r="N21">
            <v>0.02</v>
          </cell>
          <cell r="O21"/>
          <cell r="P21" t="str">
            <v/>
          </cell>
          <cell r="Q21" t="str">
            <v/>
          </cell>
          <cell r="R21" t="str">
            <v/>
          </cell>
          <cell r="S21"/>
          <cell r="T21"/>
          <cell r="U21" t="e">
            <v>#DIV/0!</v>
          </cell>
          <cell r="V21" t="e">
            <v>#DIV/0!</v>
          </cell>
          <cell r="W21" t="e">
            <v>#DIV/0!</v>
          </cell>
          <cell r="X21" t="e">
            <v>#DIV/0!</v>
          </cell>
          <cell r="Y21" t="e">
            <v>#REF!</v>
          </cell>
          <cell r="Z21" t="e">
            <v>#REF!</v>
          </cell>
          <cell r="AA21"/>
          <cell r="AB21">
            <v>39234</v>
          </cell>
          <cell r="AC21"/>
          <cell r="AD21"/>
          <cell r="AE21">
            <v>0</v>
          </cell>
          <cell r="AF21" t="str">
            <v/>
          </cell>
          <cell r="AG21"/>
          <cell r="AH21">
            <v>0</v>
          </cell>
          <cell r="AI21"/>
          <cell r="AJ21"/>
          <cell r="AK21"/>
          <cell r="AL21"/>
          <cell r="AM21">
            <v>0</v>
          </cell>
          <cell r="AN21"/>
          <cell r="AO21"/>
          <cell r="AP21">
            <v>0</v>
          </cell>
          <cell r="AQ21"/>
          <cell r="AR21"/>
          <cell r="AS21"/>
          <cell r="AT21"/>
          <cell r="AU21"/>
        </row>
        <row r="22">
          <cell r="B22">
            <v>39264</v>
          </cell>
          <cell r="C22"/>
          <cell r="D22" t="str">
            <v/>
          </cell>
          <cell r="E22" t="str">
            <v/>
          </cell>
          <cell r="F22" t="str">
            <v/>
          </cell>
          <cell r="G22"/>
          <cell r="H22"/>
          <cell r="I22" t="e">
            <v>#DIV/0!</v>
          </cell>
          <cell r="J22" t="e">
            <v>#DIV/0!</v>
          </cell>
          <cell r="K22" t="e">
            <v>#DIV/0!</v>
          </cell>
          <cell r="L22" t="e">
            <v>#DIV/0!</v>
          </cell>
          <cell r="M22">
            <v>0.06</v>
          </cell>
          <cell r="N22">
            <v>0.02</v>
          </cell>
          <cell r="O22"/>
          <cell r="P22" t="str">
            <v/>
          </cell>
          <cell r="Q22" t="str">
            <v/>
          </cell>
          <cell r="R22" t="str">
            <v/>
          </cell>
          <cell r="S22"/>
          <cell r="T22"/>
          <cell r="U22" t="e">
            <v>#DIV/0!</v>
          </cell>
          <cell r="V22" t="e">
            <v>#DIV/0!</v>
          </cell>
          <cell r="W22" t="e">
            <v>#DIV/0!</v>
          </cell>
          <cell r="X22" t="e">
            <v>#DIV/0!</v>
          </cell>
          <cell r="Y22" t="e">
            <v>#REF!</v>
          </cell>
          <cell r="Z22" t="e">
            <v>#REF!</v>
          </cell>
          <cell r="AA22"/>
          <cell r="AB22">
            <v>39264</v>
          </cell>
          <cell r="AC22"/>
          <cell r="AD22"/>
          <cell r="AE22">
            <v>0</v>
          </cell>
          <cell r="AF22" t="str">
            <v/>
          </cell>
          <cell r="AG22"/>
          <cell r="AH22">
            <v>0</v>
          </cell>
          <cell r="AI22"/>
          <cell r="AJ22"/>
          <cell r="AK22"/>
          <cell r="AL22"/>
          <cell r="AM22">
            <v>0</v>
          </cell>
          <cell r="AN22"/>
          <cell r="AO22"/>
          <cell r="AP22">
            <v>0</v>
          </cell>
          <cell r="AQ22"/>
          <cell r="AR22"/>
          <cell r="AS22"/>
          <cell r="AT22"/>
          <cell r="AU22"/>
        </row>
        <row r="23">
          <cell r="B23">
            <v>39295</v>
          </cell>
          <cell r="C23"/>
          <cell r="D23" t="str">
            <v/>
          </cell>
          <cell r="E23" t="str">
            <v/>
          </cell>
          <cell r="F23" t="str">
            <v/>
          </cell>
          <cell r="G23"/>
          <cell r="H23"/>
          <cell r="I23" t="e">
            <v>#DIV/0!</v>
          </cell>
          <cell r="J23" t="e">
            <v>#DIV/0!</v>
          </cell>
          <cell r="K23" t="e">
            <v>#DIV/0!</v>
          </cell>
          <cell r="L23" t="e">
            <v>#DIV/0!</v>
          </cell>
          <cell r="M23">
            <v>0.06</v>
          </cell>
          <cell r="N23">
            <v>0.02</v>
          </cell>
          <cell r="O23"/>
          <cell r="P23" t="str">
            <v/>
          </cell>
          <cell r="Q23" t="str">
            <v/>
          </cell>
          <cell r="R23" t="str">
            <v/>
          </cell>
          <cell r="S23"/>
          <cell r="T23"/>
          <cell r="U23" t="e">
            <v>#DIV/0!</v>
          </cell>
          <cell r="V23" t="e">
            <v>#DIV/0!</v>
          </cell>
          <cell r="W23" t="e">
            <v>#DIV/0!</v>
          </cell>
          <cell r="X23" t="e">
            <v>#DIV/0!</v>
          </cell>
          <cell r="Y23" t="e">
            <v>#REF!</v>
          </cell>
          <cell r="Z23" t="e">
            <v>#REF!</v>
          </cell>
          <cell r="AA23"/>
          <cell r="AB23">
            <v>39295</v>
          </cell>
          <cell r="AC23"/>
          <cell r="AD23"/>
          <cell r="AE23">
            <v>0</v>
          </cell>
          <cell r="AF23" t="str">
            <v/>
          </cell>
          <cell r="AG23"/>
          <cell r="AH23">
            <v>0</v>
          </cell>
          <cell r="AI23"/>
          <cell r="AJ23"/>
          <cell r="AK23"/>
          <cell r="AL23"/>
          <cell r="AM23">
            <v>0</v>
          </cell>
          <cell r="AN23"/>
          <cell r="AO23"/>
          <cell r="AP23">
            <v>0</v>
          </cell>
          <cell r="AQ23"/>
          <cell r="AR23"/>
          <cell r="AS23"/>
          <cell r="AT23"/>
          <cell r="AU23"/>
        </row>
        <row r="24">
          <cell r="B24">
            <v>39326</v>
          </cell>
          <cell r="C24"/>
          <cell r="D24" t="str">
            <v/>
          </cell>
          <cell r="E24" t="str">
            <v/>
          </cell>
          <cell r="F24" t="str">
            <v/>
          </cell>
          <cell r="G24"/>
          <cell r="H24"/>
          <cell r="I24" t="e">
            <v>#DIV/0!</v>
          </cell>
          <cell r="J24" t="e">
            <v>#DIV/0!</v>
          </cell>
          <cell r="K24" t="e">
            <v>#DIV/0!</v>
          </cell>
          <cell r="L24" t="e">
            <v>#DIV/0!</v>
          </cell>
          <cell r="M24">
            <v>0.06</v>
          </cell>
          <cell r="N24">
            <v>0.02</v>
          </cell>
          <cell r="O24"/>
          <cell r="P24" t="str">
            <v/>
          </cell>
          <cell r="Q24" t="str">
            <v/>
          </cell>
          <cell r="R24" t="str">
            <v/>
          </cell>
          <cell r="S24"/>
          <cell r="T24"/>
          <cell r="U24" t="e">
            <v>#DIV/0!</v>
          </cell>
          <cell r="V24" t="e">
            <v>#DIV/0!</v>
          </cell>
          <cell r="W24" t="e">
            <v>#DIV/0!</v>
          </cell>
          <cell r="X24" t="e">
            <v>#DIV/0!</v>
          </cell>
          <cell r="Y24" t="e">
            <v>#REF!</v>
          </cell>
          <cell r="Z24" t="e">
            <v>#REF!</v>
          </cell>
          <cell r="AA24"/>
          <cell r="AB24">
            <v>39326</v>
          </cell>
          <cell r="AC24"/>
          <cell r="AD24"/>
          <cell r="AE24">
            <v>0</v>
          </cell>
          <cell r="AF24" t="str">
            <v/>
          </cell>
          <cell r="AG24"/>
          <cell r="AH24">
            <v>0</v>
          </cell>
          <cell r="AI24"/>
          <cell r="AJ24"/>
          <cell r="AK24"/>
          <cell r="AL24"/>
          <cell r="AM24">
            <v>0</v>
          </cell>
          <cell r="AN24"/>
          <cell r="AO24"/>
          <cell r="AP24">
            <v>0</v>
          </cell>
          <cell r="AQ24"/>
          <cell r="AR24"/>
          <cell r="AS24"/>
          <cell r="AT24"/>
          <cell r="AU24"/>
        </row>
        <row r="25">
          <cell r="B25">
            <v>39356</v>
          </cell>
          <cell r="C25"/>
          <cell r="D25" t="str">
            <v/>
          </cell>
          <cell r="E25" t="str">
            <v/>
          </cell>
          <cell r="F25" t="str">
            <v/>
          </cell>
          <cell r="G25"/>
          <cell r="H25"/>
          <cell r="I25" t="e">
            <v>#DIV/0!</v>
          </cell>
          <cell r="J25" t="e">
            <v>#DIV/0!</v>
          </cell>
          <cell r="K25" t="e">
            <v>#DIV/0!</v>
          </cell>
          <cell r="L25" t="e">
            <v>#DIV/0!</v>
          </cell>
          <cell r="M25">
            <v>0.06</v>
          </cell>
          <cell r="N25">
            <v>0.02</v>
          </cell>
          <cell r="O25"/>
          <cell r="P25" t="str">
            <v/>
          </cell>
          <cell r="Q25" t="str">
            <v/>
          </cell>
          <cell r="R25" t="str">
            <v/>
          </cell>
          <cell r="S25"/>
          <cell r="T25"/>
          <cell r="U25" t="e">
            <v>#DIV/0!</v>
          </cell>
          <cell r="V25" t="e">
            <v>#DIV/0!</v>
          </cell>
          <cell r="W25" t="e">
            <v>#DIV/0!</v>
          </cell>
          <cell r="X25" t="e">
            <v>#DIV/0!</v>
          </cell>
          <cell r="Y25" t="e">
            <v>#REF!</v>
          </cell>
          <cell r="Z25" t="e">
            <v>#REF!</v>
          </cell>
          <cell r="AA25"/>
          <cell r="AB25">
            <v>39356</v>
          </cell>
          <cell r="AC25"/>
          <cell r="AD25"/>
          <cell r="AE25">
            <v>0</v>
          </cell>
          <cell r="AF25" t="str">
            <v/>
          </cell>
          <cell r="AG25"/>
          <cell r="AH25">
            <v>0</v>
          </cell>
          <cell r="AI25"/>
          <cell r="AJ25"/>
          <cell r="AK25"/>
          <cell r="AL25"/>
          <cell r="AM25">
            <v>0</v>
          </cell>
          <cell r="AN25"/>
          <cell r="AO25"/>
          <cell r="AP25">
            <v>0</v>
          </cell>
          <cell r="AQ25"/>
          <cell r="AR25"/>
          <cell r="AS25"/>
          <cell r="AT25"/>
          <cell r="AU25"/>
        </row>
        <row r="26">
          <cell r="B26">
            <v>39387</v>
          </cell>
          <cell r="C26"/>
          <cell r="D26" t="str">
            <v/>
          </cell>
          <cell r="E26" t="str">
            <v/>
          </cell>
          <cell r="F26" t="str">
            <v/>
          </cell>
          <cell r="G26"/>
          <cell r="H26"/>
          <cell r="I26" t="e">
            <v>#DIV/0!</v>
          </cell>
          <cell r="J26" t="e">
            <v>#DIV/0!</v>
          </cell>
          <cell r="K26" t="e">
            <v>#DIV/0!</v>
          </cell>
          <cell r="L26" t="e">
            <v>#DIV/0!</v>
          </cell>
          <cell r="M26">
            <v>0.06</v>
          </cell>
          <cell r="N26">
            <v>0.02</v>
          </cell>
          <cell r="O26"/>
          <cell r="P26" t="str">
            <v/>
          </cell>
          <cell r="Q26" t="str">
            <v/>
          </cell>
          <cell r="R26" t="str">
            <v/>
          </cell>
          <cell r="S26"/>
          <cell r="T26"/>
          <cell r="U26" t="e">
            <v>#DIV/0!</v>
          </cell>
          <cell r="V26" t="e">
            <v>#DIV/0!</v>
          </cell>
          <cell r="W26" t="e">
            <v>#DIV/0!</v>
          </cell>
          <cell r="X26" t="e">
            <v>#DIV/0!</v>
          </cell>
          <cell r="Y26" t="e">
            <v>#REF!</v>
          </cell>
          <cell r="Z26" t="e">
            <v>#REF!</v>
          </cell>
          <cell r="AA26"/>
          <cell r="AB26">
            <v>39387</v>
          </cell>
          <cell r="AC26"/>
          <cell r="AD26"/>
          <cell r="AE26">
            <v>0</v>
          </cell>
          <cell r="AF26" t="str">
            <v/>
          </cell>
          <cell r="AG26"/>
          <cell r="AH26">
            <v>0</v>
          </cell>
          <cell r="AI26"/>
          <cell r="AJ26"/>
          <cell r="AK26"/>
          <cell r="AL26"/>
          <cell r="AM26">
            <v>0</v>
          </cell>
          <cell r="AN26"/>
          <cell r="AO26"/>
          <cell r="AP26">
            <v>0</v>
          </cell>
          <cell r="AQ26"/>
          <cell r="AR26"/>
          <cell r="AS26"/>
          <cell r="AT26"/>
          <cell r="AU26"/>
        </row>
        <row r="27">
          <cell r="B27">
            <v>39417</v>
          </cell>
          <cell r="C27"/>
          <cell r="D27" t="str">
            <v/>
          </cell>
          <cell r="E27" t="str">
            <v/>
          </cell>
          <cell r="F27" t="str">
            <v/>
          </cell>
          <cell r="G27"/>
          <cell r="H27"/>
          <cell r="I27" t="e">
            <v>#DIV/0!</v>
          </cell>
          <cell r="J27" t="e">
            <v>#DIV/0!</v>
          </cell>
          <cell r="K27" t="e">
            <v>#DIV/0!</v>
          </cell>
          <cell r="L27" t="e">
            <v>#DIV/0!</v>
          </cell>
          <cell r="M27">
            <v>0.06</v>
          </cell>
          <cell r="N27">
            <v>0.02</v>
          </cell>
          <cell r="O27"/>
          <cell r="P27" t="str">
            <v/>
          </cell>
          <cell r="Q27" t="str">
            <v/>
          </cell>
          <cell r="R27" t="str">
            <v/>
          </cell>
          <cell r="S27"/>
          <cell r="T27"/>
          <cell r="U27" t="e">
            <v>#DIV/0!</v>
          </cell>
          <cell r="V27" t="e">
            <v>#DIV/0!</v>
          </cell>
          <cell r="W27" t="e">
            <v>#DIV/0!</v>
          </cell>
          <cell r="X27" t="e">
            <v>#DIV/0!</v>
          </cell>
          <cell r="Y27" t="e">
            <v>#REF!</v>
          </cell>
          <cell r="Z27" t="e">
            <v>#REF!</v>
          </cell>
          <cell r="AA27"/>
          <cell r="AB27">
            <v>39417</v>
          </cell>
          <cell r="AC27"/>
          <cell r="AD27"/>
          <cell r="AE27">
            <v>0</v>
          </cell>
          <cell r="AF27" t="str">
            <v/>
          </cell>
          <cell r="AG27"/>
          <cell r="AH27">
            <v>0</v>
          </cell>
          <cell r="AI27"/>
          <cell r="AJ27"/>
          <cell r="AK27"/>
          <cell r="AL27"/>
          <cell r="AM27">
            <v>0</v>
          </cell>
          <cell r="AN27"/>
          <cell r="AO27"/>
          <cell r="AP27">
            <v>0</v>
          </cell>
          <cell r="AQ27"/>
          <cell r="AR27"/>
          <cell r="AS27"/>
          <cell r="AT27"/>
          <cell r="AU27"/>
        </row>
        <row r="28">
          <cell r="B28">
            <v>39448</v>
          </cell>
          <cell r="C28">
            <v>4.9120549120549119E-2</v>
          </cell>
          <cell r="D28" t="str">
            <v>g</v>
          </cell>
          <cell r="E28" t="str">
            <v>c</v>
          </cell>
          <cell r="F28" t="str">
            <v>c</v>
          </cell>
          <cell r="G28">
            <v>5.0000000000000044E-2</v>
          </cell>
          <cell r="H28">
            <v>0.10000000000000009</v>
          </cell>
          <cell r="I28">
            <v>500</v>
          </cell>
          <cell r="J28" t="str">
            <v>c</v>
          </cell>
          <cell r="K28" t="str">
            <v>c</v>
          </cell>
          <cell r="L28" t="str">
            <v>g</v>
          </cell>
          <cell r="M28">
            <v>0.06</v>
          </cell>
          <cell r="N28">
            <v>0.02</v>
          </cell>
          <cell r="O28">
            <v>4.9120549120549119E-2</v>
          </cell>
          <cell r="P28" t="str">
            <v>g</v>
          </cell>
          <cell r="Q28" t="str">
            <v>c</v>
          </cell>
          <cell r="R28" t="str">
            <v>c</v>
          </cell>
          <cell r="S28">
            <v>5.0000000000000044E-2</v>
          </cell>
          <cell r="T28">
            <v>0.10000000000000009</v>
          </cell>
          <cell r="U28">
            <v>6500</v>
          </cell>
          <cell r="V28" t="e">
            <v>#REF!</v>
          </cell>
          <cell r="W28" t="e">
            <v>#REF!</v>
          </cell>
          <cell r="X28" t="e">
            <v>#REF!</v>
          </cell>
          <cell r="Y28" t="e">
            <v>#REF!</v>
          </cell>
          <cell r="Z28" t="e">
            <v>#REF!</v>
          </cell>
          <cell r="AA28"/>
          <cell r="AB28">
            <v>39448</v>
          </cell>
          <cell r="AC28"/>
          <cell r="AD28">
            <v>4662</v>
          </cell>
          <cell r="AE28">
            <v>229</v>
          </cell>
          <cell r="AF28">
            <v>4662</v>
          </cell>
          <cell r="AG28" t="str">
            <v/>
          </cell>
          <cell r="AH28">
            <v>4433</v>
          </cell>
          <cell r="AI28"/>
          <cell r="AJ28"/>
          <cell r="AK28"/>
          <cell r="AL28">
            <v>4662</v>
          </cell>
          <cell r="AM28">
            <v>229</v>
          </cell>
          <cell r="AN28">
            <v>4662</v>
          </cell>
          <cell r="AO28" t="str">
            <v/>
          </cell>
          <cell r="AP28">
            <v>4433</v>
          </cell>
          <cell r="AQ28"/>
          <cell r="AR28"/>
          <cell r="AS28"/>
          <cell r="AT28"/>
          <cell r="AU28"/>
        </row>
        <row r="29">
          <cell r="B29">
            <v>39479</v>
          </cell>
          <cell r="C29">
            <v>0.11642972827064964</v>
          </cell>
          <cell r="D29" t="str">
            <v>c</v>
          </cell>
          <cell r="E29" t="str">
            <v>c</v>
          </cell>
          <cell r="F29" t="str">
            <v>g</v>
          </cell>
          <cell r="G29">
            <v>5.0000000000000044E-2</v>
          </cell>
          <cell r="H29">
            <v>0.10000000000000009</v>
          </cell>
          <cell r="I29">
            <v>500</v>
          </cell>
          <cell r="J29" t="str">
            <v>c</v>
          </cell>
          <cell r="K29" t="str">
            <v>c</v>
          </cell>
          <cell r="L29" t="str">
            <v>g</v>
          </cell>
          <cell r="M29">
            <v>0.06</v>
          </cell>
          <cell r="N29">
            <v>0.02</v>
          </cell>
          <cell r="O29">
            <v>8.572267345141403E-2</v>
          </cell>
          <cell r="P29" t="str">
            <v>c</v>
          </cell>
          <cell r="Q29" t="str">
            <v>g</v>
          </cell>
          <cell r="R29" t="str">
            <v>c</v>
          </cell>
          <cell r="S29">
            <v>5.0000000000000044E-2</v>
          </cell>
          <cell r="T29">
            <v>0.10000000000000009</v>
          </cell>
          <cell r="U29">
            <v>3500</v>
          </cell>
          <cell r="V29" t="e">
            <v>#REF!</v>
          </cell>
          <cell r="W29" t="e">
            <v>#REF!</v>
          </cell>
          <cell r="X29" t="e">
            <v>#REF!</v>
          </cell>
          <cell r="Y29" t="e">
            <v>#REF!</v>
          </cell>
          <cell r="Z29" t="e">
            <v>#REF!</v>
          </cell>
          <cell r="AA29"/>
          <cell r="AB29">
            <v>39479</v>
          </cell>
          <cell r="AC29"/>
          <cell r="AD29">
            <v>5557</v>
          </cell>
          <cell r="AE29">
            <v>647</v>
          </cell>
          <cell r="AF29">
            <v>5557</v>
          </cell>
          <cell r="AG29" t="str">
            <v/>
          </cell>
          <cell r="AH29">
            <v>4910</v>
          </cell>
          <cell r="AI29"/>
          <cell r="AJ29"/>
          <cell r="AK29"/>
          <cell r="AL29">
            <v>10219</v>
          </cell>
          <cell r="AM29">
            <v>876</v>
          </cell>
          <cell r="AN29">
            <v>10219</v>
          </cell>
          <cell r="AO29" t="str">
            <v/>
          </cell>
          <cell r="AP29">
            <v>9343</v>
          </cell>
          <cell r="AQ29"/>
          <cell r="AR29"/>
          <cell r="AS29"/>
          <cell r="AT29"/>
          <cell r="AU29"/>
        </row>
        <row r="30">
          <cell r="B30">
            <v>39508</v>
          </cell>
          <cell r="C30">
            <v>0.23139686684073107</v>
          </cell>
          <cell r="D30" t="str">
            <v>c</v>
          </cell>
          <cell r="E30" t="str">
            <v>c</v>
          </cell>
          <cell r="F30" t="str">
            <v>g</v>
          </cell>
          <cell r="G30">
            <v>5.0000000000000044E-2</v>
          </cell>
          <cell r="H30">
            <v>0.10000000000000009</v>
          </cell>
          <cell r="I30">
            <v>0</v>
          </cell>
          <cell r="J30" t="str">
            <v>g</v>
          </cell>
          <cell r="K30" t="str">
            <v>c</v>
          </cell>
          <cell r="L30" t="str">
            <v>c</v>
          </cell>
          <cell r="M30">
            <v>0.06</v>
          </cell>
          <cell r="N30">
            <v>0.02</v>
          </cell>
          <cell r="O30">
            <v>0.1403315593075182</v>
          </cell>
          <cell r="P30" t="str">
            <v>c</v>
          </cell>
          <cell r="Q30" t="str">
            <v>c</v>
          </cell>
          <cell r="R30" t="str">
            <v>g</v>
          </cell>
          <cell r="S30">
            <v>5.0000000000000044E-2</v>
          </cell>
          <cell r="T30">
            <v>0.10000000000000009</v>
          </cell>
          <cell r="U30">
            <v>2333.3333333333335</v>
          </cell>
          <cell r="V30" t="e">
            <v>#REF!</v>
          </cell>
          <cell r="W30" t="e">
            <v>#REF!</v>
          </cell>
          <cell r="X30" t="e">
            <v>#REF!</v>
          </cell>
          <cell r="Y30" t="e">
            <v>#REF!</v>
          </cell>
          <cell r="Z30" t="e">
            <v>#REF!</v>
          </cell>
          <cell r="AA30"/>
          <cell r="AB30">
            <v>39508</v>
          </cell>
          <cell r="AC30"/>
          <cell r="AD30">
            <v>6128</v>
          </cell>
          <cell r="AE30">
            <v>1418</v>
          </cell>
          <cell r="AF30">
            <v>6128</v>
          </cell>
          <cell r="AG30" t="str">
            <v/>
          </cell>
          <cell r="AH30">
            <v>4710</v>
          </cell>
          <cell r="AI30"/>
          <cell r="AJ30"/>
          <cell r="AK30"/>
          <cell r="AL30">
            <v>16347</v>
          </cell>
          <cell r="AM30">
            <v>2294</v>
          </cell>
          <cell r="AN30">
            <v>16347</v>
          </cell>
          <cell r="AO30" t="str">
            <v/>
          </cell>
          <cell r="AP30">
            <v>14053</v>
          </cell>
          <cell r="AQ30"/>
          <cell r="AR30"/>
          <cell r="AS30"/>
          <cell r="AT30"/>
          <cell r="AU30"/>
        </row>
        <row r="31">
          <cell r="B31">
            <v>39539</v>
          </cell>
          <cell r="C31">
            <v>0.22834450235790518</v>
          </cell>
          <cell r="D31" t="str">
            <v>c</v>
          </cell>
          <cell r="E31" t="str">
            <v>c</v>
          </cell>
          <cell r="F31" t="str">
            <v>g</v>
          </cell>
          <cell r="G31">
            <v>5.0000000000000044E-2</v>
          </cell>
          <cell r="H31">
            <v>0.10000000000000009</v>
          </cell>
          <cell r="I31">
            <v>0</v>
          </cell>
          <cell r="J31" t="str">
            <v>g</v>
          </cell>
          <cell r="K31" t="str">
            <v>c</v>
          </cell>
          <cell r="L31" t="str">
            <v>c</v>
          </cell>
          <cell r="M31">
            <v>0.06</v>
          </cell>
          <cell r="N31">
            <v>0.02</v>
          </cell>
          <cell r="O31">
            <v>0.1577345897133883</v>
          </cell>
          <cell r="P31" t="str">
            <v>c</v>
          </cell>
          <cell r="Q31" t="str">
            <v>c</v>
          </cell>
          <cell r="R31" t="str">
            <v>g</v>
          </cell>
          <cell r="S31">
            <v>5.0000000000000044E-2</v>
          </cell>
          <cell r="T31">
            <v>0.10000000000000009</v>
          </cell>
          <cell r="U31">
            <v>1750</v>
          </cell>
          <cell r="V31" t="e">
            <v>#REF!</v>
          </cell>
          <cell r="W31" t="e">
            <v>#REF!</v>
          </cell>
          <cell r="X31" t="e">
            <v>#REF!</v>
          </cell>
          <cell r="Y31" t="e">
            <v>#REF!</v>
          </cell>
          <cell r="Z31" t="e">
            <v>#REF!</v>
          </cell>
          <cell r="AA31"/>
          <cell r="AB31">
            <v>39539</v>
          </cell>
          <cell r="AC31"/>
          <cell r="AD31">
            <v>4029</v>
          </cell>
          <cell r="AE31">
            <v>920</v>
          </cell>
          <cell r="AF31">
            <v>4029</v>
          </cell>
          <cell r="AG31" t="str">
            <v/>
          </cell>
          <cell r="AH31">
            <v>3109</v>
          </cell>
          <cell r="AI31"/>
          <cell r="AJ31"/>
          <cell r="AK31"/>
          <cell r="AL31">
            <v>20376</v>
          </cell>
          <cell r="AM31">
            <v>3214</v>
          </cell>
          <cell r="AN31">
            <v>20376</v>
          </cell>
          <cell r="AO31" t="str">
            <v/>
          </cell>
          <cell r="AP31">
            <v>17162</v>
          </cell>
          <cell r="AQ31"/>
          <cell r="AR31"/>
          <cell r="AS31"/>
          <cell r="AT31"/>
          <cell r="AU31"/>
        </row>
        <row r="32">
          <cell r="B32">
            <v>39569</v>
          </cell>
          <cell r="C32">
            <v>0.16401043175891047</v>
          </cell>
          <cell r="D32" t="str">
            <v>c</v>
          </cell>
          <cell r="E32" t="str">
            <v>c</v>
          </cell>
          <cell r="F32" t="str">
            <v>g</v>
          </cell>
          <cell r="G32">
            <v>5.0000000000000044E-2</v>
          </cell>
          <cell r="H32">
            <v>0.10000000000000009</v>
          </cell>
          <cell r="I32" t="e">
            <v>#DIV/0!</v>
          </cell>
          <cell r="J32" t="e">
            <v>#DIV/0!</v>
          </cell>
          <cell r="K32" t="e">
            <v>#DIV/0!</v>
          </cell>
          <cell r="L32" t="e">
            <v>#DIV/0!</v>
          </cell>
          <cell r="M32" t="e">
            <v>#N/A</v>
          </cell>
          <cell r="N32" t="e">
            <v>#N/A</v>
          </cell>
          <cell r="O32">
            <v>0.15864355563016747</v>
          </cell>
          <cell r="P32" t="str">
            <v>c</v>
          </cell>
          <cell r="Q32" t="str">
            <v>c</v>
          </cell>
          <cell r="R32" t="str">
            <v>g</v>
          </cell>
          <cell r="S32">
            <v>5.0000000000000044E-2</v>
          </cell>
          <cell r="T32">
            <v>0.10000000000000009</v>
          </cell>
          <cell r="U32">
            <v>1750</v>
          </cell>
          <cell r="V32" t="e">
            <v>#REF!</v>
          </cell>
          <cell r="W32" t="e">
            <v>#REF!</v>
          </cell>
          <cell r="X32" t="e">
            <v>#REF!</v>
          </cell>
          <cell r="Y32" t="e">
            <v>#REF!</v>
          </cell>
          <cell r="Z32" t="e">
            <v>#REF!</v>
          </cell>
          <cell r="AA32"/>
          <cell r="AB32">
            <v>39569</v>
          </cell>
          <cell r="AC32"/>
          <cell r="AD32">
            <v>3451</v>
          </cell>
          <cell r="AE32">
            <v>566</v>
          </cell>
          <cell r="AF32">
            <v>3451</v>
          </cell>
          <cell r="AG32" t="str">
            <v/>
          </cell>
          <cell r="AH32">
            <v>2885</v>
          </cell>
          <cell r="AI32"/>
          <cell r="AJ32"/>
          <cell r="AK32"/>
          <cell r="AL32">
            <v>23827</v>
          </cell>
          <cell r="AM32">
            <v>3780</v>
          </cell>
          <cell r="AN32">
            <v>23827</v>
          </cell>
          <cell r="AO32" t="str">
            <v/>
          </cell>
          <cell r="AP32">
            <v>20047</v>
          </cell>
          <cell r="AQ32"/>
          <cell r="AR32"/>
          <cell r="AS32"/>
          <cell r="AT32"/>
          <cell r="AU32"/>
        </row>
        <row r="33">
          <cell r="B33">
            <v>39600</v>
          </cell>
          <cell r="C33">
            <v>3.9577836411609502E-2</v>
          </cell>
          <cell r="D33" t="str">
            <v>g</v>
          </cell>
          <cell r="E33" t="str">
            <v>c</v>
          </cell>
          <cell r="F33" t="str">
            <v>c</v>
          </cell>
          <cell r="G33">
            <v>5.0000000000000044E-2</v>
          </cell>
          <cell r="H33">
            <v>0.10000000000000009</v>
          </cell>
          <cell r="I33" t="e">
            <v>#DIV/0!</v>
          </cell>
          <cell r="J33" t="e">
            <v>#DIV/0!</v>
          </cell>
          <cell r="K33" t="e">
            <v>#DIV/0!</v>
          </cell>
          <cell r="L33" t="e">
            <v>#DIV/0!</v>
          </cell>
          <cell r="M33" t="e">
            <v>#N/A</v>
          </cell>
          <cell r="N33" t="e">
            <v>#N/A</v>
          </cell>
          <cell r="O33">
            <v>0.14520272534346029</v>
          </cell>
          <cell r="P33" t="str">
            <v>c</v>
          </cell>
          <cell r="Q33" t="str">
            <v>c</v>
          </cell>
          <cell r="R33" t="str">
            <v>g</v>
          </cell>
          <cell r="S33">
            <v>5.0000000000000044E-2</v>
          </cell>
          <cell r="T33">
            <v>0.10000000000000009</v>
          </cell>
          <cell r="U33">
            <v>1750</v>
          </cell>
          <cell r="V33" t="e">
            <v>#REF!</v>
          </cell>
          <cell r="W33" t="e">
            <v>#REF!</v>
          </cell>
          <cell r="X33" t="e">
            <v>#REF!</v>
          </cell>
          <cell r="Y33" t="e">
            <v>#REF!</v>
          </cell>
          <cell r="Z33" t="e">
            <v>#REF!</v>
          </cell>
          <cell r="AA33"/>
          <cell r="AB33">
            <v>39600</v>
          </cell>
          <cell r="AC33"/>
          <cell r="AD33">
            <v>3032</v>
          </cell>
          <cell r="AE33">
            <v>120</v>
          </cell>
          <cell r="AF33">
            <v>3032</v>
          </cell>
          <cell r="AG33" t="str">
            <v/>
          </cell>
          <cell r="AH33">
            <v>2912</v>
          </cell>
          <cell r="AI33"/>
          <cell r="AJ33"/>
          <cell r="AK33"/>
          <cell r="AL33">
            <v>26859</v>
          </cell>
          <cell r="AM33">
            <v>3900</v>
          </cell>
          <cell r="AN33">
            <v>26859</v>
          </cell>
          <cell r="AO33" t="str">
            <v/>
          </cell>
          <cell r="AP33">
            <v>22959</v>
          </cell>
          <cell r="AQ33"/>
          <cell r="AR33"/>
          <cell r="AS33"/>
          <cell r="AT33"/>
          <cell r="AU33"/>
        </row>
        <row r="34">
          <cell r="B34">
            <v>39630</v>
          </cell>
          <cell r="C34">
            <v>2.2510822510822513E-2</v>
          </cell>
          <cell r="D34" t="str">
            <v>g</v>
          </cell>
          <cell r="E34" t="str">
            <v>c</v>
          </cell>
          <cell r="F34" t="str">
            <v>c</v>
          </cell>
          <cell r="G34">
            <v>5.0000000000000044E-2</v>
          </cell>
          <cell r="H34">
            <v>0.10000000000000009</v>
          </cell>
          <cell r="I34" t="e">
            <v>#DIV/0!</v>
          </cell>
          <cell r="J34" t="e">
            <v>#DIV/0!</v>
          </cell>
          <cell r="K34" t="e">
            <v>#DIV/0!</v>
          </cell>
          <cell r="L34" t="e">
            <v>#DIV/0!</v>
          </cell>
          <cell r="M34" t="e">
            <v>#N/A</v>
          </cell>
          <cell r="N34" t="e">
            <v>#N/A</v>
          </cell>
          <cell r="O34">
            <v>0.13118322121092205</v>
          </cell>
          <cell r="P34" t="str">
            <v>c</v>
          </cell>
          <cell r="Q34" t="str">
            <v>c</v>
          </cell>
          <cell r="R34" t="str">
            <v>g</v>
          </cell>
          <cell r="S34">
            <v>5.0000000000000044E-2</v>
          </cell>
          <cell r="T34">
            <v>0.10000000000000009</v>
          </cell>
          <cell r="U34">
            <v>1750</v>
          </cell>
          <cell r="V34" t="e">
            <v>#REF!</v>
          </cell>
          <cell r="W34" t="e">
            <v>#REF!</v>
          </cell>
          <cell r="X34" t="e">
            <v>#REF!</v>
          </cell>
          <cell r="Y34" t="e">
            <v>#REF!</v>
          </cell>
          <cell r="Z34" t="e">
            <v>#REF!</v>
          </cell>
          <cell r="AA34"/>
          <cell r="AB34">
            <v>39630</v>
          </cell>
          <cell r="AC34"/>
          <cell r="AD34">
            <v>3465</v>
          </cell>
          <cell r="AE34">
            <v>78</v>
          </cell>
          <cell r="AF34">
            <v>3465</v>
          </cell>
          <cell r="AG34" t="str">
            <v/>
          </cell>
          <cell r="AH34">
            <v>3387</v>
          </cell>
          <cell r="AI34">
            <v>-0.97748917748917752</v>
          </cell>
          <cell r="AJ34"/>
          <cell r="AK34"/>
          <cell r="AL34">
            <v>30324</v>
          </cell>
          <cell r="AM34">
            <v>3978</v>
          </cell>
          <cell r="AN34">
            <v>30324</v>
          </cell>
          <cell r="AO34" t="str">
            <v/>
          </cell>
          <cell r="AP34">
            <v>26346</v>
          </cell>
          <cell r="AQ34"/>
          <cell r="AR34"/>
          <cell r="AS34"/>
          <cell r="AT34"/>
          <cell r="AU34"/>
        </row>
        <row r="35">
          <cell r="B35">
            <v>39661</v>
          </cell>
          <cell r="C35">
            <v>2.3225469728601254E-2</v>
          </cell>
          <cell r="D35" t="str">
            <v>g</v>
          </cell>
          <cell r="E35" t="str">
            <v>c</v>
          </cell>
          <cell r="F35" t="str">
            <v>c</v>
          </cell>
          <cell r="G35">
            <v>4.9999999999999933E-2</v>
          </cell>
          <cell r="H35">
            <v>9.9999999999999867E-2</v>
          </cell>
          <cell r="I35" t="e">
            <v>#DIV/0!</v>
          </cell>
          <cell r="J35" t="e">
            <v>#DIV/0!</v>
          </cell>
          <cell r="K35" t="e">
            <v>#DIV/0!</v>
          </cell>
          <cell r="L35" t="e">
            <v>#DIV/0!</v>
          </cell>
          <cell r="M35" t="e">
            <v>#N/A</v>
          </cell>
          <cell r="N35" t="e">
            <v>#N/A</v>
          </cell>
          <cell r="O35">
            <v>0.1190713198266776</v>
          </cell>
          <cell r="P35" t="str">
            <v>c</v>
          </cell>
          <cell r="Q35" t="str">
            <v>c</v>
          </cell>
          <cell r="R35" t="str">
            <v>g</v>
          </cell>
          <cell r="S35">
            <v>4.9999999999999933E-2</v>
          </cell>
          <cell r="T35">
            <v>9.9999999999999867E-2</v>
          </cell>
          <cell r="U35">
            <v>1750</v>
          </cell>
          <cell r="V35" t="e">
            <v>#REF!</v>
          </cell>
          <cell r="W35" t="e">
            <v>#REF!</v>
          </cell>
          <cell r="X35" t="e">
            <v>#REF!</v>
          </cell>
          <cell r="Y35" t="e">
            <v>#REF!</v>
          </cell>
          <cell r="Z35" t="e">
            <v>#REF!</v>
          </cell>
          <cell r="AA35"/>
          <cell r="AB35">
            <v>39661</v>
          </cell>
          <cell r="AC35"/>
          <cell r="AD35">
            <v>3832</v>
          </cell>
          <cell r="AE35">
            <v>89</v>
          </cell>
          <cell r="AF35">
            <v>3832</v>
          </cell>
          <cell r="AG35" t="str">
            <v/>
          </cell>
          <cell r="AH35">
            <v>3743</v>
          </cell>
          <cell r="AI35">
            <v>-0.97677453027139871</v>
          </cell>
          <cell r="AJ35"/>
          <cell r="AK35"/>
          <cell r="AL35">
            <v>34156</v>
          </cell>
          <cell r="AM35">
            <v>4067</v>
          </cell>
          <cell r="AN35">
            <v>34156</v>
          </cell>
          <cell r="AO35" t="str">
            <v/>
          </cell>
          <cell r="AP35">
            <v>30089</v>
          </cell>
          <cell r="AQ35"/>
          <cell r="AR35"/>
          <cell r="AS35"/>
          <cell r="AT35"/>
          <cell r="AU35"/>
        </row>
        <row r="36">
          <cell r="B36">
            <v>39692</v>
          </cell>
          <cell r="C36">
            <v>3.0067114093959731E-2</v>
          </cell>
          <cell r="D36" t="str">
            <v>g</v>
          </cell>
          <cell r="E36" t="str">
            <v>c</v>
          </cell>
          <cell r="F36" t="str">
            <v>c</v>
          </cell>
          <cell r="G36">
            <v>5.0000000000000044E-2</v>
          </cell>
          <cell r="H36">
            <v>0.10000000000000009</v>
          </cell>
          <cell r="I36" t="e">
            <v>#DIV/0!</v>
          </cell>
          <cell r="J36" t="e">
            <v>#DIV/0!</v>
          </cell>
          <cell r="K36" t="e">
            <v>#DIV/0!</v>
          </cell>
          <cell r="L36" t="e">
            <v>#DIV/0!</v>
          </cell>
          <cell r="M36" t="e">
            <v>#N/A</v>
          </cell>
          <cell r="N36" t="e">
            <v>#N/A</v>
          </cell>
          <cell r="O36">
            <v>0.1103191573612101</v>
          </cell>
          <cell r="P36" t="str">
            <v>c</v>
          </cell>
          <cell r="Q36" t="str">
            <v>c</v>
          </cell>
          <cell r="R36" t="str">
            <v>g</v>
          </cell>
          <cell r="S36">
            <v>5.0000000000000044E-2</v>
          </cell>
          <cell r="T36">
            <v>0.10000000000000009</v>
          </cell>
          <cell r="U36">
            <v>1750</v>
          </cell>
          <cell r="V36" t="e">
            <v>#REF!</v>
          </cell>
          <cell r="W36" t="e">
            <v>#REF!</v>
          </cell>
          <cell r="X36" t="e">
            <v>#REF!</v>
          </cell>
          <cell r="Y36" t="e">
            <v>#REF!</v>
          </cell>
          <cell r="Z36" t="e">
            <v>#REF!</v>
          </cell>
          <cell r="AA36"/>
          <cell r="AB36">
            <v>39692</v>
          </cell>
          <cell r="AC36"/>
          <cell r="AD36">
            <v>3725</v>
          </cell>
          <cell r="AE36">
            <v>112</v>
          </cell>
          <cell r="AF36">
            <v>3725</v>
          </cell>
          <cell r="AG36" t="str">
            <v/>
          </cell>
          <cell r="AH36">
            <v>3613</v>
          </cell>
          <cell r="AI36">
            <v>-0.96993288590604032</v>
          </cell>
          <cell r="AJ36"/>
          <cell r="AK36"/>
          <cell r="AL36">
            <v>37881</v>
          </cell>
          <cell r="AM36">
            <v>4179</v>
          </cell>
          <cell r="AN36">
            <v>37881</v>
          </cell>
          <cell r="AO36" t="str">
            <v/>
          </cell>
          <cell r="AP36">
            <v>33702</v>
          </cell>
          <cell r="AQ36">
            <v>-0.88968084263878988</v>
          </cell>
          <cell r="AR36">
            <v>4729</v>
          </cell>
          <cell r="AS36">
            <v>8.0103615986466483</v>
          </cell>
          <cell r="AT36">
            <v>4729</v>
          </cell>
          <cell r="AU36">
            <v>0.88369634172129419</v>
          </cell>
        </row>
        <row r="37">
          <cell r="B37">
            <v>39722</v>
          </cell>
          <cell r="C37">
            <v>4.5454545454545456E-2</v>
          </cell>
          <cell r="D37" t="str">
            <v>g</v>
          </cell>
          <cell r="E37" t="str">
            <v>c</v>
          </cell>
          <cell r="F37" t="str">
            <v>c</v>
          </cell>
          <cell r="G37">
            <v>5.0000000000000044E-2</v>
          </cell>
          <cell r="H37">
            <v>0.10000000000000009</v>
          </cell>
          <cell r="I37" t="e">
            <v>#DIV/0!</v>
          </cell>
          <cell r="J37" t="e">
            <v>#DIV/0!</v>
          </cell>
          <cell r="K37" t="e">
            <v>#DIV/0!</v>
          </cell>
          <cell r="L37" t="e">
            <v>#DIV/0!</v>
          </cell>
          <cell r="M37" t="e">
            <v>#N/A</v>
          </cell>
          <cell r="N37" t="e">
            <v>#N/A</v>
          </cell>
          <cell r="O37">
            <v>0.10512129380053908</v>
          </cell>
          <cell r="P37" t="str">
            <v>c</v>
          </cell>
          <cell r="Q37" t="str">
            <v>c</v>
          </cell>
          <cell r="R37" t="str">
            <v>g</v>
          </cell>
          <cell r="S37">
            <v>5.0000000000000044E-2</v>
          </cell>
          <cell r="T37">
            <v>0.10000000000000009</v>
          </cell>
          <cell r="U37">
            <v>1750</v>
          </cell>
          <cell r="V37" t="e">
            <v>#REF!</v>
          </cell>
          <cell r="W37" t="e">
            <v>#REF!</v>
          </cell>
          <cell r="X37" t="e">
            <v>#REF!</v>
          </cell>
          <cell r="Y37" t="e">
            <v>#REF!</v>
          </cell>
          <cell r="Z37" t="e">
            <v>#REF!</v>
          </cell>
          <cell r="AA37"/>
          <cell r="AB37">
            <v>39722</v>
          </cell>
          <cell r="AC37"/>
          <cell r="AD37">
            <v>3300</v>
          </cell>
          <cell r="AE37">
            <v>150</v>
          </cell>
          <cell r="AF37">
            <v>3300</v>
          </cell>
          <cell r="AG37" t="str">
            <v/>
          </cell>
          <cell r="AH37">
            <v>3150</v>
          </cell>
          <cell r="AI37">
            <v>-0.95454545454545459</v>
          </cell>
          <cell r="AJ37"/>
          <cell r="AK37"/>
          <cell r="AL37">
            <v>41181</v>
          </cell>
          <cell r="AM37">
            <v>4329</v>
          </cell>
          <cell r="AN37">
            <v>41181</v>
          </cell>
          <cell r="AO37" t="str">
            <v/>
          </cell>
          <cell r="AP37">
            <v>36852</v>
          </cell>
          <cell r="AQ37">
            <v>-0.89487870619946097</v>
          </cell>
          <cell r="AR37">
            <v>4729</v>
          </cell>
          <cell r="AS37">
            <v>8.7081835483188836</v>
          </cell>
          <cell r="AT37">
            <v>4729</v>
          </cell>
          <cell r="AU37">
            <v>0.91541552125185033</v>
          </cell>
        </row>
        <row r="38">
          <cell r="B38">
            <v>39753</v>
          </cell>
          <cell r="C38">
            <v>8.2666666666666666E-2</v>
          </cell>
          <cell r="D38" t="str">
            <v>c</v>
          </cell>
          <cell r="E38" t="str">
            <v>g</v>
          </cell>
          <cell r="F38" t="str">
            <v>c</v>
          </cell>
          <cell r="G38">
            <v>5.0000000000000044E-2</v>
          </cell>
          <cell r="H38">
            <v>0.10000000000000009</v>
          </cell>
          <cell r="I38" t="e">
            <v>#DIV/0!</v>
          </cell>
          <cell r="J38" t="e">
            <v>#DIV/0!</v>
          </cell>
          <cell r="K38" t="e">
            <v>#DIV/0!</v>
          </cell>
          <cell r="L38" t="e">
            <v>#DIV/0!</v>
          </cell>
          <cell r="M38" t="e">
            <v>#N/A</v>
          </cell>
          <cell r="N38" t="e">
            <v>#N/A</v>
          </cell>
          <cell r="O38">
            <v>0.10324720126416061</v>
          </cell>
          <cell r="P38" t="str">
            <v>c</v>
          </cell>
          <cell r="Q38" t="str">
            <v>c</v>
          </cell>
          <cell r="R38" t="str">
            <v>g</v>
          </cell>
          <cell r="S38">
            <v>5.0000000000000044E-2</v>
          </cell>
          <cell r="T38">
            <v>0.10000000000000009</v>
          </cell>
          <cell r="U38">
            <v>1750</v>
          </cell>
          <cell r="V38" t="e">
            <v>#REF!</v>
          </cell>
          <cell r="W38" t="e">
            <v>#REF!</v>
          </cell>
          <cell r="X38" t="e">
            <v>#REF!</v>
          </cell>
          <cell r="Y38" t="e">
            <v>#REF!</v>
          </cell>
          <cell r="Z38" t="e">
            <v>#REF!</v>
          </cell>
          <cell r="AA38"/>
          <cell r="AB38">
            <v>39753</v>
          </cell>
          <cell r="AC38"/>
          <cell r="AD38">
            <v>3750</v>
          </cell>
          <cell r="AE38">
            <v>310</v>
          </cell>
          <cell r="AF38">
            <v>3750</v>
          </cell>
          <cell r="AG38" t="str">
            <v/>
          </cell>
          <cell r="AH38">
            <v>3440</v>
          </cell>
          <cell r="AI38">
            <v>-0.91733333333333333</v>
          </cell>
          <cell r="AJ38"/>
          <cell r="AK38"/>
          <cell r="AL38">
            <v>44931</v>
          </cell>
          <cell r="AM38">
            <v>4639</v>
          </cell>
          <cell r="AN38">
            <v>44931</v>
          </cell>
          <cell r="AO38" t="str">
            <v/>
          </cell>
          <cell r="AP38">
            <v>40292</v>
          </cell>
          <cell r="AQ38">
            <v>-0.89675279873583935</v>
          </cell>
          <cell r="AR38">
            <v>4729</v>
          </cell>
          <cell r="AS38">
            <v>9.5011630365827866</v>
          </cell>
          <cell r="AT38">
            <v>4729</v>
          </cell>
          <cell r="AU38">
            <v>0.98096849228166627</v>
          </cell>
        </row>
        <row r="39">
          <cell r="B39">
            <v>39783</v>
          </cell>
          <cell r="C39">
            <v>3.0201342281879196E-2</v>
          </cell>
          <cell r="D39" t="str">
            <v>g</v>
          </cell>
          <cell r="E39" t="str">
            <v>c</v>
          </cell>
          <cell r="F39" t="str">
            <v>c</v>
          </cell>
          <cell r="G39">
            <v>5.0000000000000044E-2</v>
          </cell>
          <cell r="H39">
            <v>0.10000000000000009</v>
          </cell>
          <cell r="I39" t="e">
            <v>#DIV/0!</v>
          </cell>
          <cell r="J39" t="e">
            <v>#DIV/0!</v>
          </cell>
          <cell r="K39" t="e">
            <v>#DIV/0!</v>
          </cell>
          <cell r="L39" t="e">
            <v>#DIV/0!</v>
          </cell>
          <cell r="M39" t="e">
            <v>#N/A</v>
          </cell>
          <cell r="N39" t="e">
            <v>#N/A</v>
          </cell>
          <cell r="O39">
            <v>9.8703846715785512E-2</v>
          </cell>
          <cell r="P39" t="str">
            <v>c</v>
          </cell>
          <cell r="Q39" t="str">
            <v>g</v>
          </cell>
          <cell r="R39" t="str">
            <v>c</v>
          </cell>
          <cell r="S39">
            <v>5.0000000000000044E-2</v>
          </cell>
          <cell r="T39">
            <v>0.10000000000000009</v>
          </cell>
          <cell r="U39">
            <v>1750</v>
          </cell>
          <cell r="V39" t="e">
            <v>#REF!</v>
          </cell>
          <cell r="W39" t="e">
            <v>#REF!</v>
          </cell>
          <cell r="X39" t="e">
            <v>#REF!</v>
          </cell>
          <cell r="Y39" t="e">
            <v>#REF!</v>
          </cell>
          <cell r="Z39" t="e">
            <v>#REF!</v>
          </cell>
          <cell r="AA39"/>
          <cell r="AB39">
            <v>39783</v>
          </cell>
          <cell r="AC39"/>
          <cell r="AD39">
            <v>2980</v>
          </cell>
          <cell r="AE39">
            <v>90</v>
          </cell>
          <cell r="AF39">
            <v>2980</v>
          </cell>
          <cell r="AG39" t="str">
            <v/>
          </cell>
          <cell r="AH39">
            <v>2890</v>
          </cell>
          <cell r="AI39">
            <v>-0.96979865771812079</v>
          </cell>
          <cell r="AJ39"/>
          <cell r="AK39"/>
          <cell r="AL39">
            <v>47911</v>
          </cell>
          <cell r="AM39">
            <v>4729</v>
          </cell>
          <cell r="AN39">
            <v>47911</v>
          </cell>
          <cell r="AO39" t="str">
            <v/>
          </cell>
          <cell r="AP39">
            <v>43182</v>
          </cell>
          <cell r="AQ39">
            <v>-0.90129615328421453</v>
          </cell>
          <cell r="AR39">
            <v>4729</v>
          </cell>
          <cell r="AS39">
            <v>10.131317403256503</v>
          </cell>
          <cell r="AT39">
            <v>4729</v>
          </cell>
          <cell r="AU39">
            <v>1</v>
          </cell>
        </row>
        <row r="40">
          <cell r="B40">
            <v>39814</v>
          </cell>
          <cell r="C40" t="str">
            <v/>
          </cell>
          <cell r="D40" t="str">
            <v/>
          </cell>
          <cell r="E40" t="str">
            <v/>
          </cell>
          <cell r="F40" t="str">
            <v/>
          </cell>
          <cell r="G40" t="str">
            <v/>
          </cell>
          <cell r="H40" t="str">
            <v/>
          </cell>
          <cell r="I40" t="e">
            <v>#DIV/0!</v>
          </cell>
          <cell r="J40" t="e">
            <v>#DIV/0!</v>
          </cell>
          <cell r="K40" t="e">
            <v>#DIV/0!</v>
          </cell>
          <cell r="L40" t="e">
            <v>#DIV/0!</v>
          </cell>
          <cell r="M40" t="e">
            <v>#N/A</v>
          </cell>
          <cell r="N40" t="e">
            <v>#N/A</v>
          </cell>
          <cell r="O40" t="str">
            <v/>
          </cell>
          <cell r="P40" t="str">
            <v/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>
            <v>1750</v>
          </cell>
          <cell r="V40" t="e">
            <v>#REF!</v>
          </cell>
          <cell r="W40" t="e">
            <v>#REF!</v>
          </cell>
          <cell r="X40" t="e">
            <v>#REF!</v>
          </cell>
          <cell r="Y40" t="e">
            <v>#REF!</v>
          </cell>
          <cell r="Z40" t="e">
            <v>#REF!</v>
          </cell>
          <cell r="AA40"/>
          <cell r="AB40">
            <v>39814</v>
          </cell>
          <cell r="AC40">
            <v>4662</v>
          </cell>
          <cell r="AD40" t="str">
            <v/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 t="str">
            <v/>
          </cell>
          <cell r="AJ40"/>
          <cell r="AK40">
            <v>4662</v>
          </cell>
          <cell r="AL40" t="str">
            <v/>
          </cell>
          <cell r="AM40" t="str">
            <v/>
          </cell>
          <cell r="AN40" t="str">
            <v/>
          </cell>
          <cell r="AO40" t="str">
            <v/>
          </cell>
          <cell r="AP40" t="str">
            <v/>
          </cell>
          <cell r="AQ40" t="str">
            <v/>
          </cell>
          <cell r="AR40">
            <v>0</v>
          </cell>
          <cell r="AS40" t="str">
            <v/>
          </cell>
          <cell r="AT40" t="str">
            <v/>
          </cell>
          <cell r="AU40" t="str">
            <v/>
          </cell>
        </row>
        <row r="41">
          <cell r="B41">
            <v>39845</v>
          </cell>
          <cell r="C41" t="str">
            <v/>
          </cell>
          <cell r="D41" t="str">
            <v/>
          </cell>
          <cell r="E41" t="str">
            <v/>
          </cell>
          <cell r="F41" t="str">
            <v/>
          </cell>
          <cell r="G41" t="str">
            <v/>
          </cell>
          <cell r="H41" t="str">
            <v/>
          </cell>
          <cell r="I41" t="e">
            <v>#DIV/0!</v>
          </cell>
          <cell r="J41" t="e">
            <v>#DIV/0!</v>
          </cell>
          <cell r="K41" t="e">
            <v>#DIV/0!</v>
          </cell>
          <cell r="L41" t="e">
            <v>#DIV/0!</v>
          </cell>
          <cell r="M41" t="e">
            <v>#N/A</v>
          </cell>
          <cell r="N41" t="e">
            <v>#N/A</v>
          </cell>
          <cell r="O41" t="str">
            <v/>
          </cell>
          <cell r="P41" t="str">
            <v/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/>
          <cell r="V41" t="str">
            <v/>
          </cell>
          <cell r="W41" t="str">
            <v/>
          </cell>
          <cell r="X41" t="str">
            <v/>
          </cell>
          <cell r="Y41"/>
          <cell r="Z41"/>
          <cell r="AA41"/>
          <cell r="AB41">
            <v>39845</v>
          </cell>
          <cell r="AC41">
            <v>5557</v>
          </cell>
          <cell r="AD41" t="str">
            <v/>
          </cell>
          <cell r="AE41" t="str">
            <v/>
          </cell>
          <cell r="AF41" t="str">
            <v/>
          </cell>
          <cell r="AG41" t="str">
            <v/>
          </cell>
          <cell r="AH41" t="str">
            <v/>
          </cell>
          <cell r="AI41" t="str">
            <v/>
          </cell>
          <cell r="AJ41"/>
          <cell r="AK41">
            <v>10219</v>
          </cell>
          <cell r="AL41" t="str">
            <v/>
          </cell>
          <cell r="AM41" t="str">
            <v/>
          </cell>
          <cell r="AN41" t="str">
            <v/>
          </cell>
          <cell r="AO41" t="str">
            <v/>
          </cell>
          <cell r="AP41" t="str">
            <v/>
          </cell>
          <cell r="AQ41" t="str">
            <v/>
          </cell>
          <cell r="AR41">
            <v>0</v>
          </cell>
          <cell r="AS41"/>
          <cell r="AT41" t="str">
            <v/>
          </cell>
          <cell r="AU41" t="str">
            <v/>
          </cell>
        </row>
        <row r="42">
          <cell r="B42">
            <v>39873</v>
          </cell>
          <cell r="C42" t="str">
            <v/>
          </cell>
          <cell r="D42" t="str">
            <v/>
          </cell>
          <cell r="E42" t="str">
            <v/>
          </cell>
          <cell r="F42" t="str">
            <v/>
          </cell>
          <cell r="G42" t="str">
            <v/>
          </cell>
          <cell r="H42" t="str">
            <v/>
          </cell>
          <cell r="I42" t="e">
            <v>#DIV/0!</v>
          </cell>
          <cell r="J42" t="e">
            <v>#DIV/0!</v>
          </cell>
          <cell r="K42" t="e">
            <v>#DIV/0!</v>
          </cell>
          <cell r="L42" t="e">
            <v>#DIV/0!</v>
          </cell>
          <cell r="M42" t="e">
            <v>#N/A</v>
          </cell>
          <cell r="N42" t="e">
            <v>#N/A</v>
          </cell>
          <cell r="O42" t="str">
            <v/>
          </cell>
          <cell r="P42" t="str">
            <v/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/>
          <cell r="V42" t="str">
            <v/>
          </cell>
          <cell r="W42" t="str">
            <v/>
          </cell>
          <cell r="X42" t="str">
            <v/>
          </cell>
          <cell r="Y42"/>
          <cell r="Z42"/>
          <cell r="AA42"/>
          <cell r="AB42">
            <v>39873</v>
          </cell>
          <cell r="AC42">
            <v>6128</v>
          </cell>
          <cell r="AD42" t="str">
            <v/>
          </cell>
          <cell r="AE42" t="str">
            <v/>
          </cell>
          <cell r="AF42" t="str">
            <v/>
          </cell>
          <cell r="AG42" t="str">
            <v/>
          </cell>
          <cell r="AH42" t="str">
            <v/>
          </cell>
          <cell r="AI42" t="str">
            <v/>
          </cell>
          <cell r="AJ42"/>
          <cell r="AK42">
            <v>16347</v>
          </cell>
          <cell r="AL42" t="str">
            <v/>
          </cell>
          <cell r="AM42" t="str">
            <v/>
          </cell>
          <cell r="AN42" t="str">
            <v/>
          </cell>
          <cell r="AO42" t="str">
            <v/>
          </cell>
          <cell r="AP42" t="str">
            <v/>
          </cell>
          <cell r="AQ42" t="str">
            <v/>
          </cell>
          <cell r="AR42">
            <v>0</v>
          </cell>
          <cell r="AS42"/>
          <cell r="AT42" t="str">
            <v/>
          </cell>
          <cell r="AU42" t="str">
            <v/>
          </cell>
        </row>
        <row r="43">
          <cell r="B43">
            <v>39904</v>
          </cell>
          <cell r="C43" t="str">
            <v/>
          </cell>
          <cell r="D43" t="str">
            <v/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e">
            <v>#DIV/0!</v>
          </cell>
          <cell r="J43" t="e">
            <v>#DIV/0!</v>
          </cell>
          <cell r="K43" t="e">
            <v>#DIV/0!</v>
          </cell>
          <cell r="L43" t="e">
            <v>#DIV/0!</v>
          </cell>
          <cell r="M43" t="e">
            <v>#N/A</v>
          </cell>
          <cell r="N43" t="e">
            <v>#N/A</v>
          </cell>
          <cell r="O43" t="str">
            <v/>
          </cell>
          <cell r="P43" t="str">
            <v/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/>
          <cell r="V43" t="str">
            <v/>
          </cell>
          <cell r="W43" t="str">
            <v/>
          </cell>
          <cell r="X43" t="str">
            <v/>
          </cell>
          <cell r="Y43"/>
          <cell r="Z43"/>
          <cell r="AA43"/>
          <cell r="AB43">
            <v>39904</v>
          </cell>
          <cell r="AC43">
            <v>4029</v>
          </cell>
          <cell r="AD43" t="str">
            <v/>
          </cell>
          <cell r="AE43" t="str">
            <v/>
          </cell>
          <cell r="AF43" t="str">
            <v/>
          </cell>
          <cell r="AG43" t="str">
            <v/>
          </cell>
          <cell r="AH43" t="str">
            <v/>
          </cell>
          <cell r="AI43" t="str">
            <v/>
          </cell>
          <cell r="AJ43"/>
          <cell r="AK43">
            <v>20376</v>
          </cell>
          <cell r="AL43" t="str">
            <v/>
          </cell>
          <cell r="AM43" t="str">
            <v/>
          </cell>
          <cell r="AN43" t="str">
            <v/>
          </cell>
          <cell r="AO43" t="str">
            <v/>
          </cell>
          <cell r="AP43" t="str">
            <v/>
          </cell>
          <cell r="AQ43" t="str">
            <v/>
          </cell>
          <cell r="AR43">
            <v>0</v>
          </cell>
          <cell r="AS43"/>
          <cell r="AT43" t="str">
            <v/>
          </cell>
          <cell r="AU43" t="str">
            <v/>
          </cell>
        </row>
        <row r="44">
          <cell r="B44">
            <v>39934</v>
          </cell>
          <cell r="C44" t="str">
            <v/>
          </cell>
          <cell r="D44" t="str">
            <v/>
          </cell>
          <cell r="E44" t="str">
            <v/>
          </cell>
          <cell r="F44" t="str">
            <v/>
          </cell>
          <cell r="G44" t="str">
            <v/>
          </cell>
          <cell r="H44" t="str">
            <v/>
          </cell>
          <cell r="I44" t="e">
            <v>#DIV/0!</v>
          </cell>
          <cell r="J44" t="e">
            <v>#DIV/0!</v>
          </cell>
          <cell r="K44" t="e">
            <v>#DIV/0!</v>
          </cell>
          <cell r="L44" t="e">
            <v>#DIV/0!</v>
          </cell>
          <cell r="M44" t="e">
            <v>#N/A</v>
          </cell>
          <cell r="N44" t="e">
            <v>#N/A</v>
          </cell>
          <cell r="O44" t="str">
            <v/>
          </cell>
          <cell r="P44" t="str">
            <v/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/>
          <cell r="V44" t="str">
            <v/>
          </cell>
          <cell r="W44" t="str">
            <v/>
          </cell>
          <cell r="X44" t="str">
            <v/>
          </cell>
          <cell r="Y44"/>
          <cell r="Z44"/>
          <cell r="AA44"/>
          <cell r="AB44">
            <v>39934</v>
          </cell>
          <cell r="AC44">
            <v>3451</v>
          </cell>
          <cell r="AD44" t="str">
            <v/>
          </cell>
          <cell r="AE44" t="str">
            <v/>
          </cell>
          <cell r="AF44" t="str">
            <v/>
          </cell>
          <cell r="AG44" t="str">
            <v/>
          </cell>
          <cell r="AH44" t="str">
            <v/>
          </cell>
          <cell r="AI44" t="str">
            <v/>
          </cell>
          <cell r="AJ44"/>
          <cell r="AK44">
            <v>23827</v>
          </cell>
          <cell r="AL44" t="str">
            <v/>
          </cell>
          <cell r="AM44" t="str">
            <v/>
          </cell>
          <cell r="AN44" t="str">
            <v/>
          </cell>
          <cell r="AO44" t="str">
            <v/>
          </cell>
          <cell r="AP44" t="str">
            <v/>
          </cell>
          <cell r="AQ44" t="str">
            <v/>
          </cell>
          <cell r="AR44">
            <v>0</v>
          </cell>
          <cell r="AS44"/>
          <cell r="AT44" t="str">
            <v/>
          </cell>
          <cell r="AU44" t="str">
            <v/>
          </cell>
        </row>
        <row r="45">
          <cell r="B45">
            <v>39965</v>
          </cell>
          <cell r="C45" t="str">
            <v/>
          </cell>
          <cell r="D45" t="str">
            <v/>
          </cell>
          <cell r="E45" t="str">
            <v/>
          </cell>
          <cell r="F45" t="str">
            <v/>
          </cell>
          <cell r="G45" t="str">
            <v/>
          </cell>
          <cell r="H45" t="str">
            <v/>
          </cell>
          <cell r="I45" t="e">
            <v>#DIV/0!</v>
          </cell>
          <cell r="J45" t="e">
            <v>#DIV/0!</v>
          </cell>
          <cell r="K45" t="e">
            <v>#DIV/0!</v>
          </cell>
          <cell r="L45" t="e">
            <v>#DIV/0!</v>
          </cell>
          <cell r="M45" t="e">
            <v>#N/A</v>
          </cell>
          <cell r="N45" t="e">
            <v>#N/A</v>
          </cell>
          <cell r="O45" t="str">
            <v/>
          </cell>
          <cell r="P45" t="str">
            <v/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/>
          <cell r="V45" t="str">
            <v/>
          </cell>
          <cell r="W45" t="str">
            <v/>
          </cell>
          <cell r="X45" t="str">
            <v/>
          </cell>
          <cell r="Y45"/>
          <cell r="Z45"/>
          <cell r="AA45"/>
          <cell r="AB45">
            <v>39965</v>
          </cell>
          <cell r="AC45">
            <v>3032</v>
          </cell>
          <cell r="AD45" t="str">
            <v/>
          </cell>
          <cell r="AE45" t="str">
            <v/>
          </cell>
          <cell r="AF45" t="str">
            <v/>
          </cell>
          <cell r="AG45" t="str">
            <v/>
          </cell>
          <cell r="AH45" t="str">
            <v/>
          </cell>
          <cell r="AI45" t="str">
            <v/>
          </cell>
          <cell r="AJ45"/>
          <cell r="AK45">
            <v>26859</v>
          </cell>
          <cell r="AL45" t="str">
            <v/>
          </cell>
          <cell r="AM45" t="str">
            <v/>
          </cell>
          <cell r="AN45" t="str">
            <v/>
          </cell>
          <cell r="AO45" t="str">
            <v/>
          </cell>
          <cell r="AP45" t="str">
            <v/>
          </cell>
          <cell r="AQ45" t="str">
            <v/>
          </cell>
          <cell r="AR45">
            <v>0</v>
          </cell>
          <cell r="AS45"/>
          <cell r="AT45" t="str">
            <v/>
          </cell>
          <cell r="AU45" t="str">
            <v/>
          </cell>
        </row>
        <row r="46">
          <cell r="B46">
            <v>39995</v>
          </cell>
          <cell r="C46" t="str">
            <v/>
          </cell>
          <cell r="D46" t="str">
            <v/>
          </cell>
          <cell r="E46" t="str">
            <v/>
          </cell>
          <cell r="F46" t="str">
            <v/>
          </cell>
          <cell r="G46" t="str">
            <v/>
          </cell>
          <cell r="H46" t="str">
            <v/>
          </cell>
          <cell r="I46" t="e">
            <v>#DIV/0!</v>
          </cell>
          <cell r="J46" t="e">
            <v>#DIV/0!</v>
          </cell>
          <cell r="K46" t="e">
            <v>#DIV/0!</v>
          </cell>
          <cell r="L46" t="e">
            <v>#DIV/0!</v>
          </cell>
          <cell r="M46" t="e">
            <v>#N/A</v>
          </cell>
          <cell r="N46" t="e">
            <v>#N/A</v>
          </cell>
          <cell r="O46" t="str">
            <v/>
          </cell>
          <cell r="P46" t="str">
            <v/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/>
          <cell r="V46" t="str">
            <v/>
          </cell>
          <cell r="W46" t="str">
            <v/>
          </cell>
          <cell r="X46" t="str">
            <v/>
          </cell>
          <cell r="Y46"/>
          <cell r="Z46"/>
          <cell r="AA46"/>
          <cell r="AB46">
            <v>39995</v>
          </cell>
          <cell r="AC46">
            <v>3465</v>
          </cell>
          <cell r="AD46" t="str">
            <v/>
          </cell>
          <cell r="AE46" t="str">
            <v/>
          </cell>
          <cell r="AF46" t="str">
            <v/>
          </cell>
          <cell r="AG46" t="str">
            <v/>
          </cell>
          <cell r="AH46" t="str">
            <v/>
          </cell>
          <cell r="AI46" t="str">
            <v/>
          </cell>
          <cell r="AJ46"/>
          <cell r="AK46">
            <v>30324</v>
          </cell>
          <cell r="AL46" t="str">
            <v/>
          </cell>
          <cell r="AM46" t="str">
            <v/>
          </cell>
          <cell r="AN46" t="str">
            <v/>
          </cell>
          <cell r="AO46" t="str">
            <v/>
          </cell>
          <cell r="AP46" t="str">
            <v/>
          </cell>
          <cell r="AQ46" t="str">
            <v/>
          </cell>
          <cell r="AR46">
            <v>0</v>
          </cell>
          <cell r="AS46"/>
          <cell r="AT46" t="str">
            <v/>
          </cell>
          <cell r="AU46" t="str">
            <v/>
          </cell>
        </row>
        <row r="47">
          <cell r="B47">
            <v>40026</v>
          </cell>
          <cell r="C47" t="str">
            <v/>
          </cell>
          <cell r="D47" t="str">
            <v/>
          </cell>
          <cell r="E47" t="str">
            <v/>
          </cell>
          <cell r="F47" t="str">
            <v/>
          </cell>
          <cell r="G47" t="str">
            <v/>
          </cell>
          <cell r="H47" t="str">
            <v/>
          </cell>
          <cell r="I47" t="e">
            <v>#DIV/0!</v>
          </cell>
          <cell r="J47" t="e">
            <v>#DIV/0!</v>
          </cell>
          <cell r="K47" t="e">
            <v>#DIV/0!</v>
          </cell>
          <cell r="L47" t="e">
            <v>#DIV/0!</v>
          </cell>
          <cell r="M47" t="e">
            <v>#N/A</v>
          </cell>
          <cell r="N47" t="e">
            <v>#N/A</v>
          </cell>
          <cell r="O47" t="str">
            <v/>
          </cell>
          <cell r="P47" t="str">
            <v/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/>
          <cell r="V47" t="str">
            <v/>
          </cell>
          <cell r="W47" t="str">
            <v/>
          </cell>
          <cell r="X47" t="str">
            <v/>
          </cell>
          <cell r="Y47"/>
          <cell r="Z47"/>
          <cell r="AA47"/>
          <cell r="AB47">
            <v>40026</v>
          </cell>
          <cell r="AC47">
            <v>3832</v>
          </cell>
          <cell r="AD47" t="str">
            <v/>
          </cell>
          <cell r="AE47" t="str">
            <v/>
          </cell>
          <cell r="AF47" t="str">
            <v/>
          </cell>
          <cell r="AG47" t="str">
            <v/>
          </cell>
          <cell r="AH47" t="str">
            <v/>
          </cell>
          <cell r="AI47" t="str">
            <v/>
          </cell>
          <cell r="AJ47"/>
          <cell r="AK47">
            <v>34156</v>
          </cell>
          <cell r="AL47" t="str">
            <v/>
          </cell>
          <cell r="AM47" t="str">
            <v/>
          </cell>
          <cell r="AN47" t="str">
            <v/>
          </cell>
          <cell r="AO47" t="str">
            <v/>
          </cell>
          <cell r="AP47" t="str">
            <v/>
          </cell>
          <cell r="AQ47" t="str">
            <v/>
          </cell>
          <cell r="AR47">
            <v>0</v>
          </cell>
          <cell r="AS47"/>
          <cell r="AT47" t="str">
            <v/>
          </cell>
          <cell r="AU47" t="str">
            <v/>
          </cell>
        </row>
        <row r="48">
          <cell r="B48">
            <v>40057</v>
          </cell>
          <cell r="C48" t="str">
            <v/>
          </cell>
          <cell r="D48" t="str">
            <v/>
          </cell>
          <cell r="E48" t="str">
            <v/>
          </cell>
          <cell r="F48" t="str">
            <v/>
          </cell>
          <cell r="G48" t="str">
            <v/>
          </cell>
          <cell r="H48" t="str">
            <v/>
          </cell>
          <cell r="I48" t="e">
            <v>#DIV/0!</v>
          </cell>
          <cell r="J48" t="e">
            <v>#DIV/0!</v>
          </cell>
          <cell r="K48" t="e">
            <v>#DIV/0!</v>
          </cell>
          <cell r="L48" t="e">
            <v>#DIV/0!</v>
          </cell>
          <cell r="M48" t="e">
            <v>#N/A</v>
          </cell>
          <cell r="N48" t="e">
            <v>#N/A</v>
          </cell>
          <cell r="O48" t="str">
            <v/>
          </cell>
          <cell r="P48" t="str">
            <v/>
          </cell>
          <cell r="Q48" t="str">
            <v/>
          </cell>
          <cell r="R48" t="str">
            <v/>
          </cell>
          <cell r="S48" t="str">
            <v/>
          </cell>
          <cell r="T48" t="str">
            <v/>
          </cell>
          <cell r="U48"/>
          <cell r="V48" t="str">
            <v/>
          </cell>
          <cell r="W48" t="str">
            <v/>
          </cell>
          <cell r="X48" t="str">
            <v/>
          </cell>
          <cell r="Y48"/>
          <cell r="Z48"/>
          <cell r="AA48"/>
          <cell r="AB48">
            <v>40057</v>
          </cell>
          <cell r="AC48">
            <v>3725</v>
          </cell>
          <cell r="AD48" t="str">
            <v/>
          </cell>
          <cell r="AE48" t="str">
            <v/>
          </cell>
          <cell r="AF48" t="str">
            <v/>
          </cell>
          <cell r="AG48" t="str">
            <v/>
          </cell>
          <cell r="AH48" t="str">
            <v/>
          </cell>
          <cell r="AI48" t="str">
            <v/>
          </cell>
          <cell r="AJ48"/>
          <cell r="AK48">
            <v>37881</v>
          </cell>
          <cell r="AL48" t="str">
            <v/>
          </cell>
          <cell r="AM48" t="str">
            <v/>
          </cell>
          <cell r="AN48" t="str">
            <v/>
          </cell>
          <cell r="AO48" t="str">
            <v/>
          </cell>
          <cell r="AP48" t="str">
            <v/>
          </cell>
          <cell r="AQ48" t="str">
            <v/>
          </cell>
          <cell r="AR48">
            <v>0</v>
          </cell>
          <cell r="AS48"/>
          <cell r="AT48" t="str">
            <v/>
          </cell>
          <cell r="AU48" t="str">
            <v/>
          </cell>
        </row>
        <row r="49">
          <cell r="B49">
            <v>40087</v>
          </cell>
          <cell r="C49" t="str">
            <v/>
          </cell>
          <cell r="D49" t="str">
            <v/>
          </cell>
          <cell r="E49" t="str">
            <v/>
          </cell>
          <cell r="F49" t="str">
            <v/>
          </cell>
          <cell r="G49" t="str">
            <v/>
          </cell>
          <cell r="H49" t="str">
            <v/>
          </cell>
          <cell r="I49" t="e">
            <v>#DIV/0!</v>
          </cell>
          <cell r="J49" t="e">
            <v>#DIV/0!</v>
          </cell>
          <cell r="K49" t="e">
            <v>#DIV/0!</v>
          </cell>
          <cell r="L49" t="e">
            <v>#DIV/0!</v>
          </cell>
          <cell r="M49" t="e">
            <v>#N/A</v>
          </cell>
          <cell r="N49" t="e">
            <v>#N/A</v>
          </cell>
          <cell r="O49" t="str">
            <v/>
          </cell>
          <cell r="P49" t="str">
            <v/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  <cell r="U49"/>
          <cell r="V49" t="str">
            <v/>
          </cell>
          <cell r="W49" t="str">
            <v/>
          </cell>
          <cell r="X49" t="str">
            <v/>
          </cell>
          <cell r="Y49"/>
          <cell r="Z49"/>
          <cell r="AA49"/>
          <cell r="AB49">
            <v>40087</v>
          </cell>
          <cell r="AC49">
            <v>3300</v>
          </cell>
          <cell r="AD49" t="str">
            <v/>
          </cell>
          <cell r="AE49" t="str">
            <v/>
          </cell>
          <cell r="AF49" t="str">
            <v/>
          </cell>
          <cell r="AG49" t="str">
            <v/>
          </cell>
          <cell r="AH49" t="str">
            <v/>
          </cell>
          <cell r="AI49" t="str">
            <v/>
          </cell>
          <cell r="AJ49"/>
          <cell r="AK49">
            <v>41181</v>
          </cell>
          <cell r="AL49" t="str">
            <v/>
          </cell>
          <cell r="AM49" t="str">
            <v/>
          </cell>
          <cell r="AN49" t="str">
            <v/>
          </cell>
          <cell r="AO49" t="str">
            <v/>
          </cell>
          <cell r="AP49" t="str">
            <v/>
          </cell>
          <cell r="AQ49" t="str">
            <v/>
          </cell>
          <cell r="AR49">
            <v>0</v>
          </cell>
          <cell r="AS49"/>
          <cell r="AT49" t="str">
            <v/>
          </cell>
          <cell r="AU49" t="str">
            <v/>
          </cell>
        </row>
      </sheetData>
      <sheetData sheetId="30">
        <row r="13">
          <cell r="B13"/>
          <cell r="C13" t="str">
            <v>Mensual</v>
          </cell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Acumulado</v>
          </cell>
          <cell r="P13"/>
          <cell r="Q13"/>
          <cell r="R13"/>
          <cell r="S13"/>
          <cell r="T13"/>
        </row>
        <row r="14">
          <cell r="B14"/>
          <cell r="C14" t="str">
            <v>%</v>
          </cell>
          <cell r="D14" t="str">
            <v>No. visitas para asistencia técnica</v>
          </cell>
          <cell r="E14"/>
          <cell r="F14"/>
          <cell r="G14"/>
          <cell r="H14"/>
          <cell r="I14" t="e">
            <v>#N/A</v>
          </cell>
          <cell r="J14" t="str">
            <v>% Desechos</v>
          </cell>
          <cell r="K14"/>
          <cell r="L14"/>
          <cell r="M14"/>
          <cell r="N14"/>
          <cell r="O14" t="str">
            <v>%</v>
          </cell>
          <cell r="P14" t="str">
            <v>Acum.No. visitas para asistencia técnica</v>
          </cell>
          <cell r="Q14"/>
          <cell r="R14"/>
          <cell r="S14"/>
          <cell r="T14"/>
        </row>
        <row r="15">
          <cell r="B15" t="str">
            <v>Fecha</v>
          </cell>
          <cell r="C15"/>
          <cell r="D15" t="str">
            <v>Performance</v>
          </cell>
          <cell r="E15"/>
          <cell r="F15"/>
          <cell r="G15" t="str">
            <v>Sup</v>
          </cell>
          <cell r="H15" t="str">
            <v>Inf</v>
          </cell>
          <cell r="I15"/>
          <cell r="J15" t="str">
            <v>Performance</v>
          </cell>
          <cell r="K15"/>
          <cell r="L15"/>
          <cell r="M15" t="str">
            <v>Sup</v>
          </cell>
          <cell r="N15" t="str">
            <v>Inf</v>
          </cell>
          <cell r="O15"/>
          <cell r="P15" t="str">
            <v>Performance</v>
          </cell>
          <cell r="Q15"/>
          <cell r="R15"/>
          <cell r="S15" t="str">
            <v>Sup</v>
          </cell>
          <cell r="T15" t="str">
            <v>Inf</v>
          </cell>
        </row>
        <row r="16">
          <cell r="B16">
            <v>39083</v>
          </cell>
          <cell r="C16">
            <v>0.58472222222222225</v>
          </cell>
          <cell r="D16" t="str">
            <v>g</v>
          </cell>
          <cell r="E16" t="str">
            <v>c</v>
          </cell>
          <cell r="F16" t="str">
            <v>c</v>
          </cell>
          <cell r="G16">
            <v>0.5</v>
          </cell>
          <cell r="H16">
            <v>0.4</v>
          </cell>
          <cell r="I16">
            <v>0.11574074074074074</v>
          </cell>
          <cell r="J16" t="str">
            <v>c</v>
          </cell>
          <cell r="K16" t="str">
            <v>c</v>
          </cell>
          <cell r="L16" t="str">
            <v>g</v>
          </cell>
          <cell r="M16">
            <v>0.06</v>
          </cell>
          <cell r="N16">
            <v>0.02</v>
          </cell>
          <cell r="O16">
            <v>0.58472222222222225</v>
          </cell>
          <cell r="P16" t="str">
            <v>g</v>
          </cell>
          <cell r="Q16" t="str">
            <v>c</v>
          </cell>
          <cell r="R16" t="str">
            <v>c</v>
          </cell>
          <cell r="S16">
            <v>0.5</v>
          </cell>
          <cell r="T16">
            <v>0.4</v>
          </cell>
          <cell r="U16">
            <v>0.11574074074074074</v>
          </cell>
          <cell r="V16" t="e">
            <v>#REF!</v>
          </cell>
          <cell r="W16" t="e">
            <v>#REF!</v>
          </cell>
          <cell r="X16" t="e">
            <v>#REF!</v>
          </cell>
          <cell r="Y16" t="e">
            <v>#REF!</v>
          </cell>
          <cell r="Z16" t="e">
            <v>#REF!</v>
          </cell>
          <cell r="AA16"/>
          <cell r="AB16">
            <v>39083</v>
          </cell>
          <cell r="AC16"/>
          <cell r="AD16">
            <v>0.58472222222222225</v>
          </cell>
          <cell r="AE16">
            <v>0</v>
          </cell>
          <cell r="AF16">
            <v>0.58472222222222225</v>
          </cell>
          <cell r="AG16"/>
          <cell r="AH16">
            <v>0.58472222222222225</v>
          </cell>
          <cell r="AI16"/>
          <cell r="AJ16"/>
          <cell r="AK16"/>
          <cell r="AL16">
            <v>0.58472222222222225</v>
          </cell>
          <cell r="AM16">
            <v>0</v>
          </cell>
          <cell r="AN16"/>
          <cell r="AO16"/>
          <cell r="AP16">
            <v>0.58472222222222225</v>
          </cell>
          <cell r="AQ16"/>
          <cell r="AR16">
            <v>0</v>
          </cell>
          <cell r="AS16" t="e">
            <v>#DIV/0!</v>
          </cell>
          <cell r="AT16"/>
          <cell r="AU16"/>
        </row>
        <row r="17">
          <cell r="B17">
            <v>39114</v>
          </cell>
          <cell r="C17">
            <v>0.56944444444444442</v>
          </cell>
          <cell r="D17" t="str">
            <v>g</v>
          </cell>
          <cell r="E17" t="str">
            <v>c</v>
          </cell>
          <cell r="F17" t="str">
            <v>c</v>
          </cell>
          <cell r="G17">
            <v>0.5</v>
          </cell>
          <cell r="H17">
            <v>0.4</v>
          </cell>
          <cell r="I17">
            <v>8.903133903133903E-2</v>
          </cell>
          <cell r="J17" t="str">
            <v>c</v>
          </cell>
          <cell r="K17" t="str">
            <v>c</v>
          </cell>
          <cell r="L17" t="str">
            <v>g</v>
          </cell>
          <cell r="M17">
            <v>0.06</v>
          </cell>
          <cell r="N17">
            <v>0.02</v>
          </cell>
          <cell r="O17">
            <v>0.56944444444444442</v>
          </cell>
          <cell r="P17" t="str">
            <v>g</v>
          </cell>
          <cell r="Q17" t="str">
            <v>c</v>
          </cell>
          <cell r="R17" t="str">
            <v>c</v>
          </cell>
          <cell r="S17">
            <v>0.5</v>
          </cell>
          <cell r="T17">
            <v>0.4</v>
          </cell>
          <cell r="U17">
            <v>0.10064412238325282</v>
          </cell>
          <cell r="V17" t="e">
            <v>#REF!</v>
          </cell>
          <cell r="W17" t="e">
            <v>#REF!</v>
          </cell>
          <cell r="X17" t="e">
            <v>#REF!</v>
          </cell>
          <cell r="Y17" t="e">
            <v>#REF!</v>
          </cell>
          <cell r="Z17" t="e">
            <v>#REF!</v>
          </cell>
          <cell r="AA17"/>
          <cell r="AB17">
            <v>39114</v>
          </cell>
          <cell r="AC17"/>
          <cell r="AD17">
            <v>0.56944444444444442</v>
          </cell>
          <cell r="AE17">
            <v>0</v>
          </cell>
          <cell r="AF17">
            <v>0.56944444444444442</v>
          </cell>
          <cell r="AG17"/>
          <cell r="AH17">
            <v>0.56944444444444442</v>
          </cell>
          <cell r="AI17"/>
          <cell r="AJ17"/>
          <cell r="AK17"/>
          <cell r="AL17">
            <v>0.56944444444444442</v>
          </cell>
          <cell r="AM17">
            <v>0</v>
          </cell>
          <cell r="AN17"/>
          <cell r="AO17"/>
          <cell r="AP17">
            <v>0.56944444444444442</v>
          </cell>
          <cell r="AQ17"/>
          <cell r="AR17">
            <v>0</v>
          </cell>
          <cell r="AS17" t="e">
            <v>#DIV/0!</v>
          </cell>
          <cell r="AT17"/>
          <cell r="AU17"/>
        </row>
        <row r="18">
          <cell r="B18">
            <v>39142</v>
          </cell>
          <cell r="C18">
            <v>0.50947838686307656</v>
          </cell>
          <cell r="D18" t="str">
            <v>g</v>
          </cell>
          <cell r="E18" t="str">
            <v>c</v>
          </cell>
          <cell r="F18" t="str">
            <v>c</v>
          </cell>
          <cell r="G18">
            <v>0.5</v>
          </cell>
          <cell r="H18">
            <v>0.40000000000000013</v>
          </cell>
          <cell r="I18">
            <v>7.5437537718768863E-2</v>
          </cell>
          <cell r="J18" t="str">
            <v>c</v>
          </cell>
          <cell r="K18" t="str">
            <v>c</v>
          </cell>
          <cell r="L18" t="str">
            <v>g</v>
          </cell>
          <cell r="M18">
            <v>0.06</v>
          </cell>
          <cell r="N18">
            <v>0.02</v>
          </cell>
          <cell r="O18">
            <v>0.50947838686307656</v>
          </cell>
          <cell r="P18" t="str">
            <v>g</v>
          </cell>
          <cell r="Q18" t="str">
            <v>c</v>
          </cell>
          <cell r="R18" t="str">
            <v>c</v>
          </cell>
          <cell r="S18">
            <v>0.5</v>
          </cell>
          <cell r="T18">
            <v>0.40000000000000013</v>
          </cell>
          <cell r="U18">
            <v>9.0557836271432018E-2</v>
          </cell>
          <cell r="V18" t="e">
            <v>#REF!</v>
          </cell>
          <cell r="W18" t="e">
            <v>#REF!</v>
          </cell>
          <cell r="X18" t="e">
            <v>#REF!</v>
          </cell>
          <cell r="Y18" t="e">
            <v>#REF!</v>
          </cell>
          <cell r="Z18" t="e">
            <v>#REF!</v>
          </cell>
          <cell r="AA18"/>
          <cell r="AB18">
            <v>39142</v>
          </cell>
          <cell r="AC18"/>
          <cell r="AD18">
            <v>0.50947838686307656</v>
          </cell>
          <cell r="AE18">
            <v>0</v>
          </cell>
          <cell r="AF18">
            <v>0.50947838686307656</v>
          </cell>
          <cell r="AG18"/>
          <cell r="AH18">
            <v>0.50947838686307656</v>
          </cell>
          <cell r="AI18"/>
          <cell r="AJ18"/>
          <cell r="AK18"/>
          <cell r="AL18">
            <v>0.50947838686307656</v>
          </cell>
          <cell r="AM18">
            <v>0</v>
          </cell>
          <cell r="AN18"/>
          <cell r="AO18"/>
          <cell r="AP18">
            <v>0.50947838686307656</v>
          </cell>
          <cell r="AQ18"/>
          <cell r="AR18">
            <v>0</v>
          </cell>
          <cell r="AS18" t="e">
            <v>#DIV/0!</v>
          </cell>
          <cell r="AT18"/>
          <cell r="AU18"/>
        </row>
        <row r="19">
          <cell r="B19">
            <v>39173</v>
          </cell>
          <cell r="C19">
            <v>0.43916251930667582</v>
          </cell>
          <cell r="D19" t="str">
            <v>c</v>
          </cell>
          <cell r="E19" t="str">
            <v>g</v>
          </cell>
          <cell r="F19" t="str">
            <v>c</v>
          </cell>
          <cell r="G19">
            <v>0.5</v>
          </cell>
          <cell r="H19">
            <v>0.39999999999999991</v>
          </cell>
          <cell r="I19">
            <v>7.4139976275207589E-2</v>
          </cell>
          <cell r="J19" t="str">
            <v>c</v>
          </cell>
          <cell r="K19" t="str">
            <v>c</v>
          </cell>
          <cell r="L19" t="str">
            <v>g</v>
          </cell>
          <cell r="M19">
            <v>0.06</v>
          </cell>
          <cell r="N19">
            <v>0.02</v>
          </cell>
          <cell r="O19">
            <v>0.43916251930667582</v>
          </cell>
          <cell r="P19" t="str">
            <v>c</v>
          </cell>
          <cell r="Q19" t="str">
            <v>g</v>
          </cell>
          <cell r="R19" t="str">
            <v>c</v>
          </cell>
          <cell r="S19">
            <v>0.5</v>
          </cell>
          <cell r="T19">
            <v>0.39999999999999991</v>
          </cell>
          <cell r="U19">
            <v>8.5807448086493904E-2</v>
          </cell>
          <cell r="V19" t="e">
            <v>#REF!</v>
          </cell>
          <cell r="W19" t="e">
            <v>#REF!</v>
          </cell>
          <cell r="X19" t="e">
            <v>#REF!</v>
          </cell>
          <cell r="Y19" t="e">
            <v>#REF!</v>
          </cell>
          <cell r="Z19" t="e">
            <v>#REF!</v>
          </cell>
          <cell r="AA19"/>
          <cell r="AB19">
            <v>39173</v>
          </cell>
          <cell r="AC19"/>
          <cell r="AD19">
            <v>0.43916251930667582</v>
          </cell>
          <cell r="AE19">
            <v>0</v>
          </cell>
          <cell r="AF19">
            <v>0.43916251930667582</v>
          </cell>
          <cell r="AG19"/>
          <cell r="AH19">
            <v>0.43916251930667582</v>
          </cell>
          <cell r="AI19"/>
          <cell r="AJ19"/>
          <cell r="AK19"/>
          <cell r="AL19">
            <v>0.43916251930667582</v>
          </cell>
          <cell r="AM19">
            <v>0</v>
          </cell>
          <cell r="AN19"/>
          <cell r="AO19"/>
          <cell r="AP19">
            <v>0.43916251930667582</v>
          </cell>
          <cell r="AQ19"/>
          <cell r="AR19">
            <v>0</v>
          </cell>
          <cell r="AS19" t="e">
            <v>#DIV/0!</v>
          </cell>
          <cell r="AT19"/>
          <cell r="AU19"/>
        </row>
        <row r="20">
          <cell r="B20">
            <v>39203</v>
          </cell>
          <cell r="C20">
            <v>0.40378797842956726</v>
          </cell>
          <cell r="D20" t="str">
            <v>c</v>
          </cell>
          <cell r="E20" t="str">
            <v>g</v>
          </cell>
          <cell r="F20" t="str">
            <v>c</v>
          </cell>
          <cell r="G20">
            <v>0.5</v>
          </cell>
          <cell r="H20">
            <v>0.39999999999999991</v>
          </cell>
          <cell r="I20">
            <v>7.0382882882882886E-2</v>
          </cell>
          <cell r="J20" t="str">
            <v>c</v>
          </cell>
          <cell r="K20" t="str">
            <v>c</v>
          </cell>
          <cell r="L20" t="str">
            <v>g</v>
          </cell>
          <cell r="M20">
            <v>0.06</v>
          </cell>
          <cell r="N20">
            <v>0.02</v>
          </cell>
          <cell r="O20">
            <v>0.40378797842956726</v>
          </cell>
          <cell r="P20" t="str">
            <v>c</v>
          </cell>
          <cell r="Q20" t="str">
            <v>g</v>
          </cell>
          <cell r="R20" t="str">
            <v>c</v>
          </cell>
          <cell r="S20">
            <v>0.5</v>
          </cell>
          <cell r="T20">
            <v>0.39999999999999991</v>
          </cell>
          <cell r="U20">
            <v>8.2204393002762069E-2</v>
          </cell>
          <cell r="V20" t="e">
            <v>#REF!</v>
          </cell>
          <cell r="W20" t="e">
            <v>#REF!</v>
          </cell>
          <cell r="X20" t="e">
            <v>#REF!</v>
          </cell>
          <cell r="Y20" t="e">
            <v>#REF!</v>
          </cell>
          <cell r="Z20" t="e">
            <v>#REF!</v>
          </cell>
          <cell r="AA20"/>
          <cell r="AB20">
            <v>39203</v>
          </cell>
          <cell r="AC20"/>
          <cell r="AD20">
            <v>0.40378797842956726</v>
          </cell>
          <cell r="AE20">
            <v>0</v>
          </cell>
          <cell r="AF20">
            <v>0.40378797842956726</v>
          </cell>
          <cell r="AG20"/>
          <cell r="AH20">
            <v>0.40378797842956726</v>
          </cell>
          <cell r="AI20"/>
          <cell r="AJ20"/>
          <cell r="AK20"/>
          <cell r="AL20">
            <v>0.40378797842956726</v>
          </cell>
          <cell r="AM20">
            <v>0</v>
          </cell>
          <cell r="AN20"/>
          <cell r="AO20"/>
          <cell r="AP20">
            <v>0.40378797842956726</v>
          </cell>
          <cell r="AQ20"/>
          <cell r="AR20">
            <v>0</v>
          </cell>
          <cell r="AS20" t="e">
            <v>#DIV/0!</v>
          </cell>
          <cell r="AT20"/>
          <cell r="AU20"/>
        </row>
        <row r="21">
          <cell r="B21">
            <v>39234</v>
          </cell>
          <cell r="C21">
            <v>0.43676194680498842</v>
          </cell>
          <cell r="D21" t="str">
            <v>c</v>
          </cell>
          <cell r="E21" t="str">
            <v>g</v>
          </cell>
          <cell r="F21" t="str">
            <v>c</v>
          </cell>
          <cell r="G21">
            <v>0.5</v>
          </cell>
          <cell r="H21">
            <v>0.39999999999999991</v>
          </cell>
          <cell r="I21">
            <v>8.5733882030178329E-2</v>
          </cell>
          <cell r="J21" t="str">
            <v>c</v>
          </cell>
          <cell r="K21" t="str">
            <v>c</v>
          </cell>
          <cell r="L21" t="str">
            <v>g</v>
          </cell>
          <cell r="M21">
            <v>0.06</v>
          </cell>
          <cell r="N21">
            <v>0.02</v>
          </cell>
          <cell r="O21">
            <v>0.43676194680498842</v>
          </cell>
          <cell r="P21" t="str">
            <v>c</v>
          </cell>
          <cell r="Q21" t="str">
            <v>g</v>
          </cell>
          <cell r="R21" t="str">
            <v>c</v>
          </cell>
          <cell r="S21">
            <v>0.5</v>
          </cell>
          <cell r="T21">
            <v>0.39999999999999991</v>
          </cell>
          <cell r="U21">
            <v>8.2772320935879037E-2</v>
          </cell>
          <cell r="V21" t="e">
            <v>#REF!</v>
          </cell>
          <cell r="W21" t="e">
            <v>#REF!</v>
          </cell>
          <cell r="X21" t="e">
            <v>#REF!</v>
          </cell>
          <cell r="Y21" t="e">
            <v>#REF!</v>
          </cell>
          <cell r="Z21" t="e">
            <v>#REF!</v>
          </cell>
          <cell r="AA21"/>
          <cell r="AB21">
            <v>39234</v>
          </cell>
          <cell r="AC21"/>
          <cell r="AD21">
            <v>0.43676194680498842</v>
          </cell>
          <cell r="AE21">
            <v>0</v>
          </cell>
          <cell r="AF21">
            <v>0.43676194680498842</v>
          </cell>
          <cell r="AG21"/>
          <cell r="AH21">
            <v>0.43676194680498842</v>
          </cell>
          <cell r="AI21"/>
          <cell r="AJ21"/>
          <cell r="AK21"/>
          <cell r="AL21">
            <v>0.43676194680498842</v>
          </cell>
          <cell r="AM21">
            <v>0</v>
          </cell>
          <cell r="AN21"/>
          <cell r="AO21"/>
          <cell r="AP21">
            <v>0.43676194680498842</v>
          </cell>
          <cell r="AQ21"/>
          <cell r="AR21">
            <v>0</v>
          </cell>
          <cell r="AS21" t="e">
            <v>#DIV/0!</v>
          </cell>
          <cell r="AT21"/>
          <cell r="AU21"/>
        </row>
        <row r="22">
          <cell r="B22">
            <v>39264</v>
          </cell>
          <cell r="C22">
            <v>0.46455286907002558</v>
          </cell>
          <cell r="D22" t="str">
            <v>c</v>
          </cell>
          <cell r="E22" t="str">
            <v>g</v>
          </cell>
          <cell r="F22" t="str">
            <v>c</v>
          </cell>
          <cell r="G22">
            <v>0.5</v>
          </cell>
          <cell r="H22">
            <v>0.39999999999999991</v>
          </cell>
          <cell r="I22">
            <v>9.6190842631781459E-2</v>
          </cell>
          <cell r="J22" t="str">
            <v>c</v>
          </cell>
          <cell r="K22" t="str">
            <v>c</v>
          </cell>
          <cell r="L22" t="str">
            <v>g</v>
          </cell>
          <cell r="M22">
            <v>0.06</v>
          </cell>
          <cell r="N22">
            <v>0.02</v>
          </cell>
          <cell r="O22">
            <v>0.46455286907002558</v>
          </cell>
          <cell r="P22" t="str">
            <v>c</v>
          </cell>
          <cell r="Q22" t="str">
            <v>g</v>
          </cell>
          <cell r="R22" t="str">
            <v>c</v>
          </cell>
          <cell r="S22">
            <v>0.5</v>
          </cell>
          <cell r="T22">
            <v>0.39999999999999991</v>
          </cell>
          <cell r="U22">
            <v>8.4455383427440758E-2</v>
          </cell>
          <cell r="V22" t="e">
            <v>#REF!</v>
          </cell>
          <cell r="W22" t="e">
            <v>#REF!</v>
          </cell>
          <cell r="X22" t="e">
            <v>#REF!</v>
          </cell>
          <cell r="Y22" t="e">
            <v>#REF!</v>
          </cell>
          <cell r="Z22" t="e">
            <v>#REF!</v>
          </cell>
          <cell r="AA22"/>
          <cell r="AB22">
            <v>39264</v>
          </cell>
          <cell r="AC22"/>
          <cell r="AD22">
            <v>0.46455286907002558</v>
          </cell>
          <cell r="AE22">
            <v>0</v>
          </cell>
          <cell r="AF22">
            <v>0.46455286907002558</v>
          </cell>
          <cell r="AG22"/>
          <cell r="AH22">
            <v>0.46455286907002558</v>
          </cell>
          <cell r="AI22"/>
          <cell r="AJ22"/>
          <cell r="AK22"/>
          <cell r="AL22">
            <v>0.46455286907002558</v>
          </cell>
          <cell r="AM22">
            <v>0</v>
          </cell>
          <cell r="AN22"/>
          <cell r="AO22"/>
          <cell r="AP22">
            <v>0.46455286907002558</v>
          </cell>
          <cell r="AQ22"/>
          <cell r="AR22">
            <v>0</v>
          </cell>
          <cell r="AS22" t="e">
            <v>#DIV/0!</v>
          </cell>
          <cell r="AT22"/>
          <cell r="AU22"/>
        </row>
        <row r="23">
          <cell r="B23">
            <v>39295</v>
          </cell>
          <cell r="C23">
            <v>0.48833099101401134</v>
          </cell>
          <cell r="D23" t="str">
            <v>c</v>
          </cell>
          <cell r="E23" t="str">
            <v>g</v>
          </cell>
          <cell r="F23" t="str">
            <v>c</v>
          </cell>
          <cell r="G23">
            <v>0.5</v>
          </cell>
          <cell r="H23">
            <v>0.39999999999999991</v>
          </cell>
          <cell r="I23">
            <v>9.0579710144927536E-2</v>
          </cell>
          <cell r="J23" t="str">
            <v>c</v>
          </cell>
          <cell r="K23" t="str">
            <v>c</v>
          </cell>
          <cell r="L23" t="str">
            <v>g</v>
          </cell>
          <cell r="M23">
            <v>0.06</v>
          </cell>
          <cell r="N23">
            <v>0.02</v>
          </cell>
          <cell r="O23">
            <v>0.48833099101401134</v>
          </cell>
          <cell r="P23" t="str">
            <v>c</v>
          </cell>
          <cell r="Q23" t="str">
            <v>g</v>
          </cell>
          <cell r="R23" t="str">
            <v>c</v>
          </cell>
          <cell r="S23">
            <v>0.5</v>
          </cell>
          <cell r="T23">
            <v>0.39999999999999991</v>
          </cell>
          <cell r="U23">
            <v>8.5175248072910006E-2</v>
          </cell>
          <cell r="V23" t="e">
            <v>#REF!</v>
          </cell>
          <cell r="W23" t="e">
            <v>#REF!</v>
          </cell>
          <cell r="X23" t="e">
            <v>#REF!</v>
          </cell>
          <cell r="Y23" t="e">
            <v>#REF!</v>
          </cell>
          <cell r="Z23" t="e">
            <v>#REF!</v>
          </cell>
          <cell r="AA23"/>
          <cell r="AB23">
            <v>39295</v>
          </cell>
          <cell r="AC23"/>
          <cell r="AD23">
            <v>0.48833099101401134</v>
          </cell>
          <cell r="AE23">
            <v>0</v>
          </cell>
          <cell r="AF23">
            <v>0.48833099101401134</v>
          </cell>
          <cell r="AG23"/>
          <cell r="AH23">
            <v>0.48833099101401134</v>
          </cell>
          <cell r="AI23"/>
          <cell r="AJ23"/>
          <cell r="AK23"/>
          <cell r="AL23">
            <v>0.48833099101401134</v>
          </cell>
          <cell r="AM23">
            <v>0</v>
          </cell>
          <cell r="AN23"/>
          <cell r="AO23"/>
          <cell r="AP23">
            <v>0.48833099101401134</v>
          </cell>
          <cell r="AQ23"/>
          <cell r="AR23">
            <v>0</v>
          </cell>
          <cell r="AS23" t="e">
            <v>#DIV/0!</v>
          </cell>
          <cell r="AT23"/>
          <cell r="AU23"/>
        </row>
        <row r="24">
          <cell r="B24">
            <v>39326</v>
          </cell>
          <cell r="C24">
            <v>0.49831593128999663</v>
          </cell>
          <cell r="D24" t="str">
            <v>c</v>
          </cell>
          <cell r="E24" t="str">
            <v>g</v>
          </cell>
          <cell r="F24" t="str">
            <v>c</v>
          </cell>
          <cell r="G24">
            <v>0.5</v>
          </cell>
          <cell r="H24">
            <v>0.39999999999999991</v>
          </cell>
          <cell r="I24">
            <v>7.716049382716049E-2</v>
          </cell>
          <cell r="J24" t="str">
            <v>c</v>
          </cell>
          <cell r="K24" t="str">
            <v>c</v>
          </cell>
          <cell r="L24" t="str">
            <v>g</v>
          </cell>
          <cell r="M24">
            <v>0.06</v>
          </cell>
          <cell r="N24">
            <v>0.02</v>
          </cell>
          <cell r="O24">
            <v>0.49831593128999663</v>
          </cell>
          <cell r="P24" t="str">
            <v>c</v>
          </cell>
          <cell r="Q24" t="str">
            <v>g</v>
          </cell>
          <cell r="R24" t="str">
            <v>c</v>
          </cell>
          <cell r="S24">
            <v>0.5</v>
          </cell>
          <cell r="T24">
            <v>0.39999999999999991</v>
          </cell>
          <cell r="U24">
            <v>8.4203435500168414E-2</v>
          </cell>
          <cell r="V24" t="e">
            <v>#REF!</v>
          </cell>
          <cell r="W24" t="e">
            <v>#REF!</v>
          </cell>
          <cell r="X24" t="e">
            <v>#REF!</v>
          </cell>
          <cell r="Y24" t="e">
            <v>#REF!</v>
          </cell>
          <cell r="Z24" t="e">
            <v>#REF!</v>
          </cell>
          <cell r="AA24"/>
          <cell r="AB24">
            <v>39326</v>
          </cell>
          <cell r="AC24"/>
          <cell r="AD24">
            <v>0.49831593128999663</v>
          </cell>
          <cell r="AE24">
            <v>0</v>
          </cell>
          <cell r="AF24">
            <v>0.49831593128999663</v>
          </cell>
          <cell r="AG24"/>
          <cell r="AH24">
            <v>0.49831593128999663</v>
          </cell>
          <cell r="AI24"/>
          <cell r="AJ24"/>
          <cell r="AK24"/>
          <cell r="AL24">
            <v>0.49831593128999663</v>
          </cell>
          <cell r="AM24">
            <v>0</v>
          </cell>
          <cell r="AN24"/>
          <cell r="AO24"/>
          <cell r="AP24">
            <v>0.49831593128999663</v>
          </cell>
          <cell r="AQ24"/>
          <cell r="AR24">
            <v>0</v>
          </cell>
          <cell r="AS24" t="e">
            <v>#DIV/0!</v>
          </cell>
          <cell r="AT24"/>
          <cell r="AU24"/>
        </row>
        <row r="25">
          <cell r="B25">
            <v>39356</v>
          </cell>
          <cell r="C25">
            <v>0.46006737496760819</v>
          </cell>
          <cell r="D25" t="str">
            <v>c</v>
          </cell>
          <cell r="E25" t="str">
            <v>g</v>
          </cell>
          <cell r="F25" t="str">
            <v>c</v>
          </cell>
          <cell r="G25">
            <v>0.5</v>
          </cell>
          <cell r="H25">
            <v>0.39999999999999991</v>
          </cell>
          <cell r="I25">
            <v>0.11253657438667566</v>
          </cell>
          <cell r="J25" t="str">
            <v>c</v>
          </cell>
          <cell r="K25" t="str">
            <v>c</v>
          </cell>
          <cell r="L25" t="str">
            <v>g</v>
          </cell>
          <cell r="M25">
            <v>0.06</v>
          </cell>
          <cell r="N25">
            <v>0.02</v>
          </cell>
          <cell r="O25">
            <v>0.46006737496760819</v>
          </cell>
          <cell r="P25" t="str">
            <v>c</v>
          </cell>
          <cell r="Q25" t="str">
            <v>g</v>
          </cell>
          <cell r="R25" t="str">
            <v>c</v>
          </cell>
          <cell r="S25">
            <v>0.5</v>
          </cell>
          <cell r="T25">
            <v>0.39999999999999991</v>
          </cell>
          <cell r="U25">
            <v>8.6378163600241864E-2</v>
          </cell>
          <cell r="V25" t="e">
            <v>#REF!</v>
          </cell>
          <cell r="W25" t="e">
            <v>#REF!</v>
          </cell>
          <cell r="X25" t="e">
            <v>#REF!</v>
          </cell>
          <cell r="Y25" t="e">
            <v>#REF!</v>
          </cell>
          <cell r="Z25" t="e">
            <v>#REF!</v>
          </cell>
          <cell r="AA25"/>
          <cell r="AB25">
            <v>39356</v>
          </cell>
          <cell r="AC25"/>
          <cell r="AD25">
            <v>0.46006737496760819</v>
          </cell>
          <cell r="AE25">
            <v>0</v>
          </cell>
          <cell r="AF25">
            <v>0.46006737496760819</v>
          </cell>
          <cell r="AG25"/>
          <cell r="AH25">
            <v>0.46006737496760819</v>
          </cell>
          <cell r="AI25"/>
          <cell r="AJ25"/>
          <cell r="AK25"/>
          <cell r="AL25">
            <v>0.46006737496760819</v>
          </cell>
          <cell r="AM25">
            <v>0</v>
          </cell>
          <cell r="AN25"/>
          <cell r="AO25"/>
          <cell r="AP25">
            <v>0.46006737496760819</v>
          </cell>
          <cell r="AQ25"/>
          <cell r="AR25">
            <v>0</v>
          </cell>
          <cell r="AS25" t="e">
            <v>#DIV/0!</v>
          </cell>
          <cell r="AT25"/>
          <cell r="AU25"/>
        </row>
        <row r="26">
          <cell r="B26">
            <v>39387</v>
          </cell>
          <cell r="C26">
            <v>0.46889650489831547</v>
          </cell>
          <cell r="D26" t="str">
            <v>c</v>
          </cell>
          <cell r="E26" t="str">
            <v>g</v>
          </cell>
          <cell r="F26" t="str">
            <v>c</v>
          </cell>
          <cell r="G26">
            <v>0.5</v>
          </cell>
          <cell r="H26">
            <v>0.39999999999999991</v>
          </cell>
          <cell r="I26">
            <v>0.12584948401711554</v>
          </cell>
          <cell r="J26" t="str">
            <v>c</v>
          </cell>
          <cell r="K26" t="str">
            <v>c</v>
          </cell>
          <cell r="L26" t="str">
            <v>g</v>
          </cell>
          <cell r="M26">
            <v>0.06</v>
          </cell>
          <cell r="N26">
            <v>0.02</v>
          </cell>
          <cell r="O26">
            <v>0.46889650489831547</v>
          </cell>
          <cell r="P26" t="str">
            <v>c</v>
          </cell>
          <cell r="Q26" t="str">
            <v>g</v>
          </cell>
          <cell r="R26" t="str">
            <v>c</v>
          </cell>
          <cell r="S26">
            <v>0.5</v>
          </cell>
          <cell r="T26">
            <v>0.39999999999999991</v>
          </cell>
          <cell r="U26">
            <v>8.8913317598370456E-2</v>
          </cell>
          <cell r="V26" t="e">
            <v>#REF!</v>
          </cell>
          <cell r="W26" t="e">
            <v>#REF!</v>
          </cell>
          <cell r="X26" t="e">
            <v>#REF!</v>
          </cell>
          <cell r="Y26" t="e">
            <v>#REF!</v>
          </cell>
          <cell r="Z26" t="e">
            <v>#REF!</v>
          </cell>
          <cell r="AA26"/>
          <cell r="AB26">
            <v>39387</v>
          </cell>
          <cell r="AC26"/>
          <cell r="AD26">
            <v>0.46889650489831547</v>
          </cell>
          <cell r="AE26">
            <v>0</v>
          </cell>
          <cell r="AF26">
            <v>0.46889650489831547</v>
          </cell>
          <cell r="AG26"/>
          <cell r="AH26">
            <v>0.46889650489831547</v>
          </cell>
          <cell r="AI26"/>
          <cell r="AJ26"/>
          <cell r="AK26"/>
          <cell r="AL26">
            <v>0.46889650489831547</v>
          </cell>
          <cell r="AM26">
            <v>0</v>
          </cell>
          <cell r="AN26"/>
          <cell r="AO26"/>
          <cell r="AP26">
            <v>0.46889650489831547</v>
          </cell>
          <cell r="AQ26"/>
          <cell r="AR26">
            <v>0</v>
          </cell>
          <cell r="AS26" t="e">
            <v>#DIV/0!</v>
          </cell>
          <cell r="AT26"/>
          <cell r="AU26"/>
        </row>
        <row r="27">
          <cell r="B27">
            <v>39417</v>
          </cell>
          <cell r="C27">
            <v>0.44735949164044664</v>
          </cell>
          <cell r="D27" t="str">
            <v>c</v>
          </cell>
          <cell r="E27" t="str">
            <v>g</v>
          </cell>
          <cell r="F27" t="str">
            <v>c</v>
          </cell>
          <cell r="G27">
            <v>0.5</v>
          </cell>
          <cell r="H27">
            <v>0.40000000000000036</v>
          </cell>
          <cell r="I27">
            <v>0.16789791806581597</v>
          </cell>
          <cell r="J27" t="str">
            <v>c</v>
          </cell>
          <cell r="K27" t="str">
            <v>c</v>
          </cell>
          <cell r="L27" t="str">
            <v>g</v>
          </cell>
          <cell r="M27">
            <v>0.06</v>
          </cell>
          <cell r="N27">
            <v>0.02</v>
          </cell>
          <cell r="O27">
            <v>0.44735949164044664</v>
          </cell>
          <cell r="P27" t="str">
            <v>c</v>
          </cell>
          <cell r="Q27" t="str">
            <v>g</v>
          </cell>
          <cell r="R27" t="str">
            <v>c</v>
          </cell>
          <cell r="S27">
            <v>0.5</v>
          </cell>
          <cell r="T27">
            <v>0.40000000000000036</v>
          </cell>
          <cell r="U27">
            <v>9.2541180825467334E-2</v>
          </cell>
          <cell r="V27" t="e">
            <v>#REF!</v>
          </cell>
          <cell r="W27" t="e">
            <v>#REF!</v>
          </cell>
          <cell r="X27" t="e">
            <v>#REF!</v>
          </cell>
          <cell r="Y27" t="e">
            <v>#REF!</v>
          </cell>
          <cell r="Z27" t="e">
            <v>#REF!</v>
          </cell>
          <cell r="AA27"/>
          <cell r="AB27">
            <v>39417</v>
          </cell>
          <cell r="AC27"/>
          <cell r="AD27">
            <v>0.44735949164044664</v>
          </cell>
          <cell r="AE27">
            <v>0</v>
          </cell>
          <cell r="AF27">
            <v>0.44735949164044664</v>
          </cell>
          <cell r="AG27"/>
          <cell r="AH27">
            <v>0.44735949164044664</v>
          </cell>
          <cell r="AI27"/>
          <cell r="AJ27"/>
          <cell r="AK27"/>
          <cell r="AL27">
            <v>0.44735949164044664</v>
          </cell>
          <cell r="AM27">
            <v>0</v>
          </cell>
          <cell r="AN27"/>
          <cell r="AO27"/>
          <cell r="AP27">
            <v>0.44735949164044664</v>
          </cell>
          <cell r="AQ27"/>
          <cell r="AR27">
            <v>0</v>
          </cell>
          <cell r="AS27" t="e">
            <v>#DIV/0!</v>
          </cell>
          <cell r="AT27"/>
          <cell r="AU27"/>
        </row>
        <row r="28">
          <cell r="B28">
            <v>39448</v>
          </cell>
          <cell r="C28">
            <v>0.4604880715991827</v>
          </cell>
          <cell r="D28" t="str">
            <v>c</v>
          </cell>
          <cell r="E28" t="str">
            <v>g</v>
          </cell>
          <cell r="F28" t="str">
            <v>c</v>
          </cell>
          <cell r="G28">
            <v>0.5</v>
          </cell>
          <cell r="H28">
            <v>0.40000000000000036</v>
          </cell>
          <cell r="I28">
            <v>0.10725010725010725</v>
          </cell>
          <cell r="J28" t="str">
            <v>c</v>
          </cell>
          <cell r="K28" t="str">
            <v>c</v>
          </cell>
          <cell r="L28" t="str">
            <v>g</v>
          </cell>
          <cell r="M28">
            <v>0.06</v>
          </cell>
          <cell r="N28">
            <v>0.02</v>
          </cell>
          <cell r="O28">
            <v>0.64307164307164311</v>
          </cell>
          <cell r="P28" t="str">
            <v>g</v>
          </cell>
          <cell r="Q28" t="str">
            <v>c</v>
          </cell>
          <cell r="R28" t="str">
            <v>c</v>
          </cell>
          <cell r="S28">
            <v>0.5</v>
          </cell>
          <cell r="T28">
            <v>0.40000000000000036</v>
          </cell>
          <cell r="U28">
            <v>9.3527871305649088E-2</v>
          </cell>
          <cell r="V28" t="e">
            <v>#REF!</v>
          </cell>
          <cell r="W28" t="e">
            <v>#REF!</v>
          </cell>
          <cell r="X28" t="e">
            <v>#REF!</v>
          </cell>
          <cell r="Y28" t="e">
            <v>#REF!</v>
          </cell>
          <cell r="Z28" t="e">
            <v>#REF!</v>
          </cell>
          <cell r="AA28"/>
          <cell r="AB28">
            <v>39448</v>
          </cell>
          <cell r="AC28">
            <v>0.58472222222222225</v>
          </cell>
          <cell r="AD28">
            <v>0.4604880715991827</v>
          </cell>
          <cell r="AE28">
            <v>0</v>
          </cell>
          <cell r="AF28">
            <v>-0.12423415062303955</v>
          </cell>
          <cell r="AG28">
            <v>-0.21246695593488951</v>
          </cell>
          <cell r="AH28">
            <v>0.4604880715991827</v>
          </cell>
          <cell r="AI28">
            <v>-1</v>
          </cell>
          <cell r="AJ28"/>
          <cell r="AK28">
            <v>0.58472222222222225</v>
          </cell>
          <cell r="AL28">
            <v>0.64307164307164311</v>
          </cell>
          <cell r="AM28">
            <v>0</v>
          </cell>
          <cell r="AN28">
            <v>5.8349420849420852E-2</v>
          </cell>
          <cell r="AO28">
            <v>-9.0735490326884549E-2</v>
          </cell>
          <cell r="AP28">
            <v>0.64307164307164311</v>
          </cell>
          <cell r="AQ28"/>
          <cell r="AR28">
            <v>0</v>
          </cell>
          <cell r="AS28" t="e">
            <v>#DIV/0!</v>
          </cell>
          <cell r="AT28"/>
          <cell r="AU28"/>
        </row>
        <row r="29">
          <cell r="B29">
            <v>39479</v>
          </cell>
          <cell r="C29">
            <v>0.46958896809006728</v>
          </cell>
          <cell r="D29" t="str">
            <v>c</v>
          </cell>
          <cell r="E29" t="str">
            <v>g</v>
          </cell>
          <cell r="F29" t="str">
            <v>c</v>
          </cell>
          <cell r="G29">
            <v>0.5</v>
          </cell>
          <cell r="H29">
            <v>0.40000000000000036</v>
          </cell>
          <cell r="I29">
            <v>8.9976606082418573E-2</v>
          </cell>
          <cell r="J29" t="str">
            <v>c</v>
          </cell>
          <cell r="K29" t="str">
            <v>c</v>
          </cell>
          <cell r="L29" t="str">
            <v>g</v>
          </cell>
          <cell r="M29">
            <v>0.06</v>
          </cell>
          <cell r="N29">
            <v>0.02</v>
          </cell>
          <cell r="O29">
            <v>0.61062726294157943</v>
          </cell>
          <cell r="P29" t="str">
            <v>g</v>
          </cell>
          <cell r="Q29" t="str">
            <v>c</v>
          </cell>
          <cell r="R29" t="str">
            <v>c</v>
          </cell>
          <cell r="S29">
            <v>0.5</v>
          </cell>
          <cell r="T29">
            <v>0.40000000000000036</v>
          </cell>
          <cell r="U29">
            <v>9.3264939044700554E-2</v>
          </cell>
          <cell r="V29" t="e">
            <v>#REF!</v>
          </cell>
          <cell r="W29" t="e">
            <v>#REF!</v>
          </cell>
          <cell r="X29" t="e">
            <v>#REF!</v>
          </cell>
          <cell r="Y29" t="e">
            <v>#REF!</v>
          </cell>
          <cell r="Z29" t="e">
            <v>#REF!</v>
          </cell>
          <cell r="AA29"/>
          <cell r="AB29">
            <v>39479</v>
          </cell>
          <cell r="AC29">
            <v>0.56944444444444442</v>
          </cell>
          <cell r="AD29">
            <v>0.46958896809006728</v>
          </cell>
          <cell r="AE29">
            <v>0</v>
          </cell>
          <cell r="AF29">
            <v>-9.9855476354377137E-2</v>
          </cell>
          <cell r="AG29">
            <v>-0.1753559584759794</v>
          </cell>
          <cell r="AH29">
            <v>0.46958896809006728</v>
          </cell>
          <cell r="AI29">
            <v>-1</v>
          </cell>
          <cell r="AJ29"/>
          <cell r="AK29">
            <v>0.56944444444444442</v>
          </cell>
          <cell r="AL29">
            <v>0.61062726294157943</v>
          </cell>
          <cell r="AM29">
            <v>0</v>
          </cell>
          <cell r="AN29">
            <v>4.118281849713501E-2</v>
          </cell>
          <cell r="AO29">
            <v>-6.7443465099715216E-2</v>
          </cell>
          <cell r="AP29">
            <v>0.61062726294157943</v>
          </cell>
          <cell r="AQ29"/>
          <cell r="AR29">
            <v>0</v>
          </cell>
          <cell r="AS29" t="e">
            <v>#DIV/0!</v>
          </cell>
          <cell r="AT29"/>
          <cell r="AU29"/>
        </row>
        <row r="30">
          <cell r="B30">
            <v>39508</v>
          </cell>
          <cell r="C30">
            <v>0.46100784647032012</v>
          </cell>
          <cell r="D30" t="str">
            <v>c</v>
          </cell>
          <cell r="E30" t="str">
            <v>g</v>
          </cell>
          <cell r="F30" t="str">
            <v>c</v>
          </cell>
          <cell r="G30">
            <v>0.5</v>
          </cell>
          <cell r="H30">
            <v>0.40000000000000036</v>
          </cell>
          <cell r="I30">
            <v>0</v>
          </cell>
          <cell r="J30" t="str">
            <v>g</v>
          </cell>
          <cell r="K30" t="str">
            <v>c</v>
          </cell>
          <cell r="L30" t="str">
            <v>c</v>
          </cell>
          <cell r="M30">
            <v>0.06</v>
          </cell>
          <cell r="N30">
            <v>0.02</v>
          </cell>
          <cell r="O30">
            <v>0.51514039273261147</v>
          </cell>
          <cell r="P30" t="str">
            <v>g</v>
          </cell>
          <cell r="Q30" t="str">
            <v>c</v>
          </cell>
          <cell r="R30" t="str">
            <v>c</v>
          </cell>
          <cell r="S30">
            <v>0.5</v>
          </cell>
          <cell r="T30">
            <v>0.40000000000000036</v>
          </cell>
          <cell r="U30">
            <v>8.6224948572977106E-2</v>
          </cell>
          <cell r="V30" t="e">
            <v>#REF!</v>
          </cell>
          <cell r="W30" t="e">
            <v>#REF!</v>
          </cell>
          <cell r="X30" t="e">
            <v>#REF!</v>
          </cell>
          <cell r="Y30" t="e">
            <v>#REF!</v>
          </cell>
          <cell r="Z30" t="e">
            <v>#REF!</v>
          </cell>
          <cell r="AA30"/>
          <cell r="AB30">
            <v>39508</v>
          </cell>
          <cell r="AC30">
            <v>0.50947838686307656</v>
          </cell>
          <cell r="AD30">
            <v>0.46100784647032012</v>
          </cell>
          <cell r="AE30">
            <v>0</v>
          </cell>
          <cell r="AF30">
            <v>-4.8470540392756445E-2</v>
          </cell>
          <cell r="AG30">
            <v>-9.5137579223322444E-2</v>
          </cell>
          <cell r="AH30">
            <v>0.46100784647032012</v>
          </cell>
          <cell r="AI30">
            <v>-1</v>
          </cell>
          <cell r="AJ30"/>
          <cell r="AK30">
            <v>0.50947838686307656</v>
          </cell>
          <cell r="AL30">
            <v>0.51514039273261147</v>
          </cell>
          <cell r="AM30">
            <v>0</v>
          </cell>
          <cell r="AN30">
            <v>5.662005869534914E-3</v>
          </cell>
          <cell r="AO30">
            <v>-1.0991189876414564E-2</v>
          </cell>
          <cell r="AP30">
            <v>0.51514039273261147</v>
          </cell>
          <cell r="AQ30"/>
          <cell r="AR30">
            <v>0</v>
          </cell>
          <cell r="AS30" t="e">
            <v>#DIV/0!</v>
          </cell>
          <cell r="AT30"/>
          <cell r="AU30"/>
        </row>
        <row r="31">
          <cell r="B31">
            <v>39539</v>
          </cell>
          <cell r="C31">
            <v>0.45889076655870065</v>
          </cell>
          <cell r="D31" t="str">
            <v>c</v>
          </cell>
          <cell r="E31" t="str">
            <v>g</v>
          </cell>
          <cell r="F31" t="str">
            <v>c</v>
          </cell>
          <cell r="G31">
            <v>0.5</v>
          </cell>
          <cell r="H31">
            <v>0.40000000000000036</v>
          </cell>
          <cell r="I31">
            <v>0</v>
          </cell>
          <cell r="J31" t="str">
            <v>g</v>
          </cell>
          <cell r="K31" t="str">
            <v>c</v>
          </cell>
          <cell r="L31" t="str">
            <v>c</v>
          </cell>
          <cell r="M31">
            <v>0.06</v>
          </cell>
          <cell r="N31">
            <v>0.02</v>
          </cell>
          <cell r="O31">
            <v>0.49558303886925797</v>
          </cell>
          <cell r="P31" t="str">
            <v>c</v>
          </cell>
          <cell r="Q31" t="str">
            <v>g</v>
          </cell>
          <cell r="R31" t="str">
            <v>c</v>
          </cell>
          <cell r="S31">
            <v>0.5</v>
          </cell>
          <cell r="T31">
            <v>0.40000000000000036</v>
          </cell>
          <cell r="U31">
            <v>8.2148054264657558E-2</v>
          </cell>
          <cell r="V31" t="e">
            <v>#REF!</v>
          </cell>
          <cell r="W31" t="e">
            <v>#REF!</v>
          </cell>
          <cell r="X31" t="e">
            <v>#REF!</v>
          </cell>
          <cell r="Y31" t="e">
            <v>#REF!</v>
          </cell>
          <cell r="Z31" t="e">
            <v>#REF!</v>
          </cell>
          <cell r="AA31"/>
          <cell r="AB31">
            <v>39539</v>
          </cell>
          <cell r="AC31">
            <v>0.43916251930667582</v>
          </cell>
          <cell r="AD31">
            <v>0.45889076655870065</v>
          </cell>
          <cell r="AE31">
            <v>0</v>
          </cell>
          <cell r="AF31">
            <v>1.9728247252024822E-2</v>
          </cell>
          <cell r="AG31">
            <v>4.4922429362074467E-2</v>
          </cell>
          <cell r="AH31">
            <v>0.45889076655870065</v>
          </cell>
          <cell r="AI31">
            <v>-1</v>
          </cell>
          <cell r="AJ31"/>
          <cell r="AK31">
            <v>0.43916251930667582</v>
          </cell>
          <cell r="AL31">
            <v>0.49558303886925797</v>
          </cell>
          <cell r="AM31">
            <v>0</v>
          </cell>
          <cell r="AN31">
            <v>5.642051956258215E-2</v>
          </cell>
          <cell r="AO31">
            <v>-0.11384675248635112</v>
          </cell>
          <cell r="AP31">
            <v>0.49558303886925797</v>
          </cell>
          <cell r="AQ31">
            <v>-1</v>
          </cell>
          <cell r="AR31">
            <v>0</v>
          </cell>
          <cell r="AS31" t="e">
            <v>#DIV/0!</v>
          </cell>
          <cell r="AT31">
            <v>0</v>
          </cell>
          <cell r="AU31" t="e">
            <v>#DIV/0!</v>
          </cell>
        </row>
        <row r="32">
          <cell r="B32">
            <v>39569</v>
          </cell>
          <cell r="C32">
            <v>0.4578008865028253</v>
          </cell>
          <cell r="D32" t="str">
            <v>c</v>
          </cell>
          <cell r="E32" t="str">
            <v>g</v>
          </cell>
          <cell r="F32" t="str">
            <v>c</v>
          </cell>
          <cell r="G32">
            <v>0.5</v>
          </cell>
          <cell r="H32">
            <v>0.40000000000000036</v>
          </cell>
          <cell r="I32">
            <v>0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>
            <v>0.48621311957023544</v>
          </cell>
          <cell r="P32" t="str">
            <v>c</v>
          </cell>
          <cell r="Q32" t="str">
            <v>g</v>
          </cell>
          <cell r="R32" t="str">
            <v>c</v>
          </cell>
          <cell r="S32">
            <v>0.5</v>
          </cell>
          <cell r="T32">
            <v>0.40000000000000036</v>
          </cell>
          <cell r="U32">
            <v>7.8950633296865663E-2</v>
          </cell>
          <cell r="V32" t="e">
            <v>#REF!</v>
          </cell>
          <cell r="W32" t="e">
            <v>#REF!</v>
          </cell>
          <cell r="X32" t="e">
            <v>#REF!</v>
          </cell>
          <cell r="Y32" t="e">
            <v>#REF!</v>
          </cell>
          <cell r="Z32" t="e">
            <v>#REF!</v>
          </cell>
          <cell r="AA32"/>
          <cell r="AB32">
            <v>39569</v>
          </cell>
          <cell r="AC32">
            <v>0.40378797842956726</v>
          </cell>
          <cell r="AD32">
            <v>0.4578008865028253</v>
          </cell>
          <cell r="AE32">
            <v>0</v>
          </cell>
          <cell r="AF32">
            <v>5.4012908073258037E-2</v>
          </cell>
          <cell r="AG32">
            <v>0.13376551794168767</v>
          </cell>
          <cell r="AH32">
            <v>0.4578008865028253</v>
          </cell>
          <cell r="AI32">
            <v>-1</v>
          </cell>
          <cell r="AJ32"/>
          <cell r="AK32">
            <v>0.40378797842956726</v>
          </cell>
          <cell r="AL32">
            <v>0.48621311957023544</v>
          </cell>
          <cell r="AM32">
            <v>0</v>
          </cell>
          <cell r="AN32">
            <v>8.2425141140668179E-2</v>
          </cell>
          <cell r="AO32">
            <v>-0.16952471626747523</v>
          </cell>
          <cell r="AP32">
            <v>0.48621311957023544</v>
          </cell>
          <cell r="AQ32">
            <v>-1</v>
          </cell>
          <cell r="AR32">
            <v>0</v>
          </cell>
          <cell r="AS32" t="e">
            <v>#DIV/0!</v>
          </cell>
          <cell r="AT32">
            <v>0</v>
          </cell>
          <cell r="AU32" t="e">
            <v>#DIV/0!</v>
          </cell>
        </row>
        <row r="33">
          <cell r="B33">
            <v>39600</v>
          </cell>
          <cell r="C33">
            <v>0.45721140738317245</v>
          </cell>
          <cell r="D33" t="str">
            <v>c</v>
          </cell>
          <cell r="E33" t="str">
            <v>g</v>
          </cell>
          <cell r="F33" t="str">
            <v>c</v>
          </cell>
          <cell r="G33">
            <v>0.5</v>
          </cell>
          <cell r="H33">
            <v>0.40000000000000036</v>
          </cell>
          <cell r="I33">
            <v>0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>
            <v>0.4809933355672214</v>
          </cell>
          <cell r="P33" t="str">
            <v>c</v>
          </cell>
          <cell r="Q33" t="str">
            <v>g</v>
          </cell>
          <cell r="R33" t="str">
            <v>c</v>
          </cell>
          <cell r="S33">
            <v>0.5</v>
          </cell>
          <cell r="T33">
            <v>0.40000000000000036</v>
          </cell>
          <cell r="U33">
            <v>7.6340040351164179E-2</v>
          </cell>
          <cell r="V33" t="e">
            <v>#REF!</v>
          </cell>
          <cell r="W33" t="e">
            <v>#REF!</v>
          </cell>
          <cell r="X33" t="e">
            <v>#REF!</v>
          </cell>
          <cell r="Y33" t="e">
            <v>#REF!</v>
          </cell>
          <cell r="Z33" t="e">
            <v>#REF!</v>
          </cell>
          <cell r="AA33"/>
          <cell r="AB33">
            <v>39600</v>
          </cell>
          <cell r="AC33">
            <v>0.43676194680498842</v>
          </cell>
          <cell r="AD33">
            <v>0.45721140738317245</v>
          </cell>
          <cell r="AE33">
            <v>0</v>
          </cell>
          <cell r="AF33">
            <v>2.0449460578184031E-2</v>
          </cell>
          <cell r="AG33">
            <v>4.6820609551212922E-2</v>
          </cell>
          <cell r="AH33">
            <v>0.45721140738317245</v>
          </cell>
          <cell r="AI33">
            <v>-1</v>
          </cell>
          <cell r="AJ33"/>
          <cell r="AK33">
            <v>0.43676194680498842</v>
          </cell>
          <cell r="AL33">
            <v>0.4809933355672214</v>
          </cell>
          <cell r="AM33">
            <v>0</v>
          </cell>
          <cell r="AN33">
            <v>4.4231388762232982E-2</v>
          </cell>
          <cell r="AO33">
            <v>-9.1958423311774617E-2</v>
          </cell>
          <cell r="AP33">
            <v>0.4809933355672214</v>
          </cell>
          <cell r="AQ33">
            <v>-1</v>
          </cell>
          <cell r="AR33">
            <v>0</v>
          </cell>
          <cell r="AS33" t="e">
            <v>#DIV/0!</v>
          </cell>
          <cell r="AT33">
            <v>0</v>
          </cell>
          <cell r="AU33" t="e">
            <v>#DIV/0!</v>
          </cell>
        </row>
        <row r="34">
          <cell r="B34">
            <v>39630</v>
          </cell>
          <cell r="C34">
            <v>0.46041403951240018</v>
          </cell>
          <cell r="D34" t="str">
            <v>c</v>
          </cell>
          <cell r="E34" t="str">
            <v>g</v>
          </cell>
          <cell r="F34" t="str">
            <v>c</v>
          </cell>
          <cell r="G34">
            <v>0.5</v>
          </cell>
          <cell r="H34">
            <v>0.40000000000000036</v>
          </cell>
          <cell r="I34">
            <v>0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>
            <v>0.48832607835377917</v>
          </cell>
          <cell r="P34" t="str">
            <v>c</v>
          </cell>
          <cell r="Q34" t="str">
            <v>g</v>
          </cell>
          <cell r="R34" t="str">
            <v>c</v>
          </cell>
          <cell r="S34">
            <v>0.5</v>
          </cell>
          <cell r="T34">
            <v>0.40000000000000036</v>
          </cell>
          <cell r="U34">
            <v>7.3560319461958804E-2</v>
          </cell>
          <cell r="V34" t="e">
            <v>#REF!</v>
          </cell>
          <cell r="W34" t="e">
            <v>#REF!</v>
          </cell>
          <cell r="X34" t="e">
            <v>#REF!</v>
          </cell>
          <cell r="Y34" t="e">
            <v>#REF!</v>
          </cell>
          <cell r="Z34" t="e">
            <v>#REF!</v>
          </cell>
          <cell r="AA34"/>
          <cell r="AB34">
            <v>39630</v>
          </cell>
          <cell r="AC34">
            <v>0.46455286907002558</v>
          </cell>
          <cell r="AD34">
            <v>0.46041403951240018</v>
          </cell>
          <cell r="AE34">
            <v>0</v>
          </cell>
          <cell r="AF34">
            <v>-4.1388295576254008E-3</v>
          </cell>
          <cell r="AG34">
            <v>-8.9092756351086821E-3</v>
          </cell>
          <cell r="AH34">
            <v>0.46041403951240018</v>
          </cell>
          <cell r="AI34">
            <v>-1</v>
          </cell>
          <cell r="AJ34"/>
          <cell r="AK34">
            <v>0.46455286907002558</v>
          </cell>
          <cell r="AL34">
            <v>0.48832607835377917</v>
          </cell>
          <cell r="AM34">
            <v>0</v>
          </cell>
          <cell r="AN34">
            <v>2.3773209283753594E-2</v>
          </cell>
          <cell r="AO34">
            <v>-4.8683063095660728E-2</v>
          </cell>
          <cell r="AP34">
            <v>0.48832607835377917</v>
          </cell>
          <cell r="AQ34">
            <v>-1</v>
          </cell>
          <cell r="AR34">
            <v>0</v>
          </cell>
          <cell r="AS34" t="e">
            <v>#DIV/0!</v>
          </cell>
          <cell r="AT34">
            <v>0</v>
          </cell>
          <cell r="AU34" t="e">
            <v>#DIV/0!</v>
          </cell>
        </row>
        <row r="35">
          <cell r="B35">
            <v>39661</v>
          </cell>
          <cell r="C35">
            <v>0.46515880071116855</v>
          </cell>
          <cell r="D35" t="str">
            <v>c</v>
          </cell>
          <cell r="E35" t="str">
            <v>g</v>
          </cell>
          <cell r="F35" t="str">
            <v>c</v>
          </cell>
          <cell r="G35">
            <v>0.5</v>
          </cell>
          <cell r="H35">
            <v>0.39999999999999947</v>
          </cell>
          <cell r="I35">
            <v>0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>
            <v>0.49894601241363157</v>
          </cell>
          <cell r="P35" t="str">
            <v>c</v>
          </cell>
          <cell r="Q35" t="str">
            <v>g</v>
          </cell>
          <cell r="R35" t="str">
            <v>c</v>
          </cell>
          <cell r="S35">
            <v>0.5</v>
          </cell>
          <cell r="T35">
            <v>0.39999999999999947</v>
          </cell>
          <cell r="U35">
            <v>7.0712784871504772E-2</v>
          </cell>
          <cell r="V35" t="e">
            <v>#REF!</v>
          </cell>
          <cell r="W35" t="e">
            <v>#REF!</v>
          </cell>
          <cell r="X35" t="e">
            <v>#REF!</v>
          </cell>
          <cell r="Y35" t="e">
            <v>#REF!</v>
          </cell>
          <cell r="Z35" t="e">
            <v>#REF!</v>
          </cell>
          <cell r="AA35"/>
          <cell r="AB35">
            <v>39661</v>
          </cell>
          <cell r="AC35">
            <v>0.48833099101401134</v>
          </cell>
          <cell r="AD35">
            <v>0.46515880071116855</v>
          </cell>
          <cell r="AE35">
            <v>0</v>
          </cell>
          <cell r="AF35">
            <v>-2.3172190302842788E-2</v>
          </cell>
          <cell r="AG35">
            <v>-4.7451811843287062E-2</v>
          </cell>
          <cell r="AH35">
            <v>0.46515880071116855</v>
          </cell>
          <cell r="AI35">
            <v>-1</v>
          </cell>
          <cell r="AJ35"/>
          <cell r="AK35">
            <v>0.48833099101401134</v>
          </cell>
          <cell r="AL35">
            <v>0.49894601241363157</v>
          </cell>
          <cell r="AM35">
            <v>0</v>
          </cell>
          <cell r="AN35">
            <v>1.0615021399620228E-2</v>
          </cell>
          <cell r="AO35">
            <v>-2.1274889738612135E-2</v>
          </cell>
          <cell r="AP35">
            <v>0.49894601241363157</v>
          </cell>
          <cell r="AQ35">
            <v>-1</v>
          </cell>
          <cell r="AR35">
            <v>0</v>
          </cell>
          <cell r="AS35" t="e">
            <v>#DIV/0!</v>
          </cell>
          <cell r="AT35">
            <v>0</v>
          </cell>
          <cell r="AU35" t="e">
            <v>#DIV/0!</v>
          </cell>
        </row>
        <row r="36">
          <cell r="B36">
            <v>39692</v>
          </cell>
          <cell r="C36">
            <v>0.46714759971572378</v>
          </cell>
          <cell r="D36" t="str">
            <v>c</v>
          </cell>
          <cell r="E36" t="str">
            <v>g</v>
          </cell>
          <cell r="F36" t="str">
            <v>c</v>
          </cell>
          <cell r="G36">
            <v>0.5</v>
          </cell>
          <cell r="H36">
            <v>0.40000000000000036</v>
          </cell>
          <cell r="I36">
            <v>0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>
            <v>0.50101634064570633</v>
          </cell>
          <cell r="P36" t="str">
            <v>g</v>
          </cell>
          <cell r="Q36" t="str">
            <v>c</v>
          </cell>
          <cell r="R36" t="str">
            <v>c</v>
          </cell>
          <cell r="S36">
            <v>0.5</v>
          </cell>
          <cell r="T36">
            <v>0.40000000000000036</v>
          </cell>
          <cell r="U36">
            <v>6.8148407761130098E-2</v>
          </cell>
          <cell r="V36" t="e">
            <v>#REF!</v>
          </cell>
          <cell r="W36" t="e">
            <v>#REF!</v>
          </cell>
          <cell r="X36" t="e">
            <v>#REF!</v>
          </cell>
          <cell r="Y36" t="e">
            <v>#REF!</v>
          </cell>
          <cell r="Z36" t="e">
            <v>#REF!</v>
          </cell>
          <cell r="AA36"/>
          <cell r="AB36">
            <v>39692</v>
          </cell>
          <cell r="AC36">
            <v>0.49831593128999663</v>
          </cell>
          <cell r="AD36">
            <v>0.46714759971572378</v>
          </cell>
          <cell r="AE36">
            <v>0</v>
          </cell>
          <cell r="AF36">
            <v>-3.1168331574272845E-2</v>
          </cell>
          <cell r="AG36">
            <v>-6.2547331155130892E-2</v>
          </cell>
          <cell r="AH36">
            <v>0.46714759971572378</v>
          </cell>
          <cell r="AI36">
            <v>-1</v>
          </cell>
          <cell r="AJ36"/>
          <cell r="AK36">
            <v>0.49831593128999663</v>
          </cell>
          <cell r="AL36">
            <v>0.50101634064570633</v>
          </cell>
          <cell r="AM36">
            <v>0</v>
          </cell>
          <cell r="AN36">
            <v>2.7004093557096986E-3</v>
          </cell>
          <cell r="AO36">
            <v>-5.3898628380651958E-3</v>
          </cell>
          <cell r="AP36">
            <v>0.50101634064570633</v>
          </cell>
          <cell r="AQ36">
            <v>-1</v>
          </cell>
          <cell r="AR36">
            <v>0</v>
          </cell>
          <cell r="AS36" t="e">
            <v>#DIV/0!</v>
          </cell>
          <cell r="AT36">
            <v>0</v>
          </cell>
          <cell r="AU36" t="e">
            <v>#DIV/0!</v>
          </cell>
        </row>
        <row r="37">
          <cell r="B37">
            <v>39722</v>
          </cell>
          <cell r="C37">
            <v>0.47150928624654537</v>
          </cell>
          <cell r="D37" t="str">
            <v>c</v>
          </cell>
          <cell r="E37" t="str">
            <v>g</v>
          </cell>
          <cell r="F37" t="str">
            <v>c</v>
          </cell>
          <cell r="G37">
            <v>0.5</v>
          </cell>
          <cell r="H37">
            <v>0.40000000000000036</v>
          </cell>
          <cell r="I37">
            <v>0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>
            <v>0.50953109443675482</v>
          </cell>
          <cell r="P37" t="str">
            <v>g</v>
          </cell>
          <cell r="Q37" t="str">
            <v>c</v>
          </cell>
          <cell r="R37" t="str">
            <v>c</v>
          </cell>
          <cell r="S37">
            <v>0.5</v>
          </cell>
          <cell r="T37">
            <v>0.40000000000000036</v>
          </cell>
          <cell r="U37">
            <v>6.6027146589697883E-2</v>
          </cell>
          <cell r="V37" t="e">
            <v>#REF!</v>
          </cell>
          <cell r="W37" t="e">
            <v>#REF!</v>
          </cell>
          <cell r="X37" t="e">
            <v>#REF!</v>
          </cell>
          <cell r="Y37" t="e">
            <v>#REF!</v>
          </cell>
          <cell r="Z37" t="e">
            <v>#REF!</v>
          </cell>
          <cell r="AA37"/>
          <cell r="AB37">
            <v>39722</v>
          </cell>
          <cell r="AC37">
            <v>0.46006737496760819</v>
          </cell>
          <cell r="AD37">
            <v>0.47150928624654537</v>
          </cell>
          <cell r="AE37">
            <v>0</v>
          </cell>
          <cell r="AF37">
            <v>1.1441911278937178E-2</v>
          </cell>
          <cell r="AG37">
            <v>2.4870077517978206E-2</v>
          </cell>
          <cell r="AH37">
            <v>0.47150928624654537</v>
          </cell>
          <cell r="AI37">
            <v>-1</v>
          </cell>
          <cell r="AJ37"/>
          <cell r="AK37">
            <v>0.46006737496760819</v>
          </cell>
          <cell r="AL37">
            <v>0.50953109443675482</v>
          </cell>
          <cell r="AM37">
            <v>0</v>
          </cell>
          <cell r="AN37">
            <v>4.9463719469146628E-2</v>
          </cell>
          <cell r="AO37">
            <v>-9.7076939973260612E-2</v>
          </cell>
          <cell r="AP37">
            <v>0.50953109443675482</v>
          </cell>
          <cell r="AQ37">
            <v>-1</v>
          </cell>
          <cell r="AR37">
            <v>0</v>
          </cell>
          <cell r="AS37" t="e">
            <v>#DIV/0!</v>
          </cell>
          <cell r="AT37">
            <v>0</v>
          </cell>
          <cell r="AU37" t="e">
            <v>#DIV/0!</v>
          </cell>
        </row>
        <row r="38">
          <cell r="B38">
            <v>39753</v>
          </cell>
          <cell r="C38">
            <v>0.47425911248371549</v>
          </cell>
          <cell r="D38" t="str">
            <v>c</v>
          </cell>
          <cell r="E38" t="str">
            <v>g</v>
          </cell>
          <cell r="F38" t="str">
            <v>c</v>
          </cell>
          <cell r="G38">
            <v>0.5</v>
          </cell>
          <cell r="H38">
            <v>0.40000000000000036</v>
          </cell>
          <cell r="I38">
            <v>0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>
            <v>0.51307560481627379</v>
          </cell>
          <cell r="P38" t="str">
            <v>g</v>
          </cell>
          <cell r="Q38" t="str">
            <v>c</v>
          </cell>
          <cell r="R38" t="str">
            <v>c</v>
          </cell>
          <cell r="S38">
            <v>0.5</v>
          </cell>
          <cell r="T38">
            <v>0.40000000000000036</v>
          </cell>
          <cell r="U38">
            <v>6.3771443147758428E-2</v>
          </cell>
          <cell r="V38" t="e">
            <v>#REF!</v>
          </cell>
          <cell r="W38" t="e">
            <v>#REF!</v>
          </cell>
          <cell r="X38" t="e">
            <v>#REF!</v>
          </cell>
          <cell r="Y38" t="e">
            <v>#REF!</v>
          </cell>
          <cell r="Z38" t="e">
            <v>#REF!</v>
          </cell>
          <cell r="AA38"/>
          <cell r="AB38">
            <v>39753</v>
          </cell>
          <cell r="AC38">
            <v>0.46889650489831547</v>
          </cell>
          <cell r="AD38">
            <v>0.47425911248371549</v>
          </cell>
          <cell r="AE38">
            <v>0</v>
          </cell>
          <cell r="AF38">
            <v>5.3626075854000255E-3</v>
          </cell>
          <cell r="AG38">
            <v>1.1436655060081957E-2</v>
          </cell>
          <cell r="AH38">
            <v>0.47425911248371549</v>
          </cell>
          <cell r="AI38">
            <v>-1</v>
          </cell>
          <cell r="AJ38"/>
          <cell r="AK38">
            <v>0.46889650489831547</v>
          </cell>
          <cell r="AL38">
            <v>0.51307560481627379</v>
          </cell>
          <cell r="AM38">
            <v>0</v>
          </cell>
          <cell r="AN38">
            <v>4.417909991795832E-2</v>
          </cell>
          <cell r="AO38">
            <v>-8.6106412979386038E-2</v>
          </cell>
          <cell r="AP38">
            <v>0.51307560481627379</v>
          </cell>
          <cell r="AQ38">
            <v>-1</v>
          </cell>
          <cell r="AR38">
            <v>0</v>
          </cell>
          <cell r="AS38" t="e">
            <v>#DIV/0!</v>
          </cell>
          <cell r="AT38">
            <v>0</v>
          </cell>
          <cell r="AU38" t="e">
            <v>#DIV/0!</v>
          </cell>
        </row>
        <row r="39">
          <cell r="B39">
            <v>39783</v>
          </cell>
          <cell r="C39">
            <v>0.4783985383203101</v>
          </cell>
          <cell r="D39" t="str">
            <v>c</v>
          </cell>
          <cell r="E39" t="str">
            <v>g</v>
          </cell>
          <cell r="F39" t="str">
            <v>c</v>
          </cell>
          <cell r="G39">
            <v>0.5</v>
          </cell>
          <cell r="H39">
            <v>0.40000000000000036</v>
          </cell>
          <cell r="I39">
            <v>0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>
            <v>0.52040241280707977</v>
          </cell>
          <cell r="P39" t="str">
            <v>g</v>
          </cell>
          <cell r="Q39" t="str">
            <v>c</v>
          </cell>
          <cell r="R39" t="str">
            <v>c</v>
          </cell>
          <cell r="S39">
            <v>0.5</v>
          </cell>
          <cell r="T39">
            <v>0.40000000000000036</v>
          </cell>
          <cell r="U39">
            <v>6.2085909159445486E-2</v>
          </cell>
          <cell r="V39" t="e">
            <v>#REF!</v>
          </cell>
          <cell r="W39" t="e">
            <v>#REF!</v>
          </cell>
          <cell r="X39" t="e">
            <v>#REF!</v>
          </cell>
          <cell r="Y39" t="e">
            <v>#REF!</v>
          </cell>
          <cell r="Z39" t="e">
            <v>#REF!</v>
          </cell>
          <cell r="AA39"/>
          <cell r="AB39">
            <v>39783</v>
          </cell>
          <cell r="AC39">
            <v>0.44735949164044664</v>
          </cell>
          <cell r="AD39">
            <v>0.4783985383203101</v>
          </cell>
          <cell r="AE39">
            <v>0</v>
          </cell>
          <cell r="AF39">
            <v>3.1039046679863458E-2</v>
          </cell>
          <cell r="AG39">
            <v>6.938278333168868E-2</v>
          </cell>
          <cell r="AH39">
            <v>0.4783985383203101</v>
          </cell>
          <cell r="AI39">
            <v>-1</v>
          </cell>
          <cell r="AJ39"/>
          <cell r="AK39">
            <v>0.44735949164044664</v>
          </cell>
          <cell r="AL39">
            <v>0.52040241280707977</v>
          </cell>
          <cell r="AM39">
            <v>0</v>
          </cell>
          <cell r="AN39">
            <v>7.3042921166633135E-2</v>
          </cell>
          <cell r="AO39">
            <v>-0.14035853671898935</v>
          </cell>
          <cell r="AP39">
            <v>0.52040241280707977</v>
          </cell>
          <cell r="AQ39">
            <v>-1</v>
          </cell>
          <cell r="AR39">
            <v>0</v>
          </cell>
          <cell r="AS39" t="e">
            <v>#DIV/0!</v>
          </cell>
          <cell r="AT39">
            <v>0</v>
          </cell>
          <cell r="AU39" t="e">
            <v>#DIV/0!</v>
          </cell>
        </row>
        <row r="40">
          <cell r="B40">
            <v>39814</v>
          </cell>
          <cell r="C40" t="str">
            <v/>
          </cell>
          <cell r="D40" t="str">
            <v/>
          </cell>
          <cell r="E40" t="str">
            <v/>
          </cell>
          <cell r="F40" t="str">
            <v/>
          </cell>
          <cell r="G40" t="str">
            <v/>
          </cell>
          <cell r="H40" t="str">
            <v/>
          </cell>
          <cell r="I40" t="e">
            <v>#DIV/0!</v>
          </cell>
          <cell r="J40" t="e">
            <v>#DIV/0!</v>
          </cell>
          <cell r="K40" t="e">
            <v>#DIV/0!</v>
          </cell>
          <cell r="L40" t="e">
            <v>#DIV/0!</v>
          </cell>
          <cell r="M40" t="e">
            <v>#N/A</v>
          </cell>
          <cell r="N40" t="e">
            <v>#N/A</v>
          </cell>
          <cell r="O40" t="str">
            <v/>
          </cell>
          <cell r="P40" t="str">
            <v/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>
            <v>6.2085909159445486E-2</v>
          </cell>
          <cell r="V40" t="e">
            <v>#REF!</v>
          </cell>
          <cell r="W40" t="e">
            <v>#REF!</v>
          </cell>
          <cell r="X40" t="e">
            <v>#REF!</v>
          </cell>
          <cell r="Y40" t="e">
            <v>#REF!</v>
          </cell>
          <cell r="Z40" t="e">
            <v>#REF!</v>
          </cell>
          <cell r="AA40"/>
          <cell r="AB40">
            <v>39814</v>
          </cell>
          <cell r="AC40">
            <v>0.4604880715991827</v>
          </cell>
          <cell r="AD40" t="str">
            <v/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 t="str">
            <v/>
          </cell>
          <cell r="AJ40"/>
          <cell r="AK40">
            <v>0.64307164307164311</v>
          </cell>
          <cell r="AL40" t="str">
            <v/>
          </cell>
          <cell r="AM40" t="str">
            <v/>
          </cell>
          <cell r="AN40" t="str">
            <v/>
          </cell>
          <cell r="AO40" t="str">
            <v/>
          </cell>
          <cell r="AP40" t="str">
            <v/>
          </cell>
          <cell r="AQ40" t="str">
            <v/>
          </cell>
          <cell r="AR40">
            <v>0</v>
          </cell>
          <cell r="AS40" t="str">
            <v/>
          </cell>
          <cell r="AT40" t="str">
            <v/>
          </cell>
          <cell r="AU40" t="str">
            <v/>
          </cell>
        </row>
        <row r="41">
          <cell r="B41">
            <v>39845</v>
          </cell>
          <cell r="C41" t="str">
            <v/>
          </cell>
          <cell r="D41" t="str">
            <v/>
          </cell>
          <cell r="E41" t="str">
            <v/>
          </cell>
          <cell r="F41" t="str">
            <v/>
          </cell>
          <cell r="G41" t="str">
            <v/>
          </cell>
          <cell r="H41" t="str">
            <v/>
          </cell>
          <cell r="I41" t="e">
            <v>#DIV/0!</v>
          </cell>
          <cell r="J41" t="e">
            <v>#DIV/0!</v>
          </cell>
          <cell r="K41" t="e">
            <v>#DIV/0!</v>
          </cell>
          <cell r="L41" t="e">
            <v>#DIV/0!</v>
          </cell>
          <cell r="M41" t="e">
            <v>#N/A</v>
          </cell>
          <cell r="N41" t="e">
            <v>#N/A</v>
          </cell>
          <cell r="O41" t="str">
            <v/>
          </cell>
          <cell r="P41" t="str">
            <v/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/>
          <cell r="V41" t="str">
            <v/>
          </cell>
          <cell r="W41" t="str">
            <v/>
          </cell>
          <cell r="X41" t="str">
            <v/>
          </cell>
          <cell r="Y41"/>
          <cell r="Z41"/>
          <cell r="AA41"/>
          <cell r="AB41">
            <v>39845</v>
          </cell>
          <cell r="AC41">
            <v>0.46958896809006728</v>
          </cell>
          <cell r="AD41" t="str">
            <v/>
          </cell>
          <cell r="AE41" t="str">
            <v/>
          </cell>
          <cell r="AF41" t="str">
            <v/>
          </cell>
          <cell r="AG41" t="str">
            <v/>
          </cell>
          <cell r="AH41" t="str">
            <v/>
          </cell>
          <cell r="AI41" t="str">
            <v/>
          </cell>
          <cell r="AJ41"/>
          <cell r="AK41">
            <v>0.61062726294157943</v>
          </cell>
          <cell r="AL41" t="str">
            <v/>
          </cell>
          <cell r="AM41" t="str">
            <v/>
          </cell>
          <cell r="AN41" t="str">
            <v/>
          </cell>
          <cell r="AO41" t="str">
            <v/>
          </cell>
          <cell r="AP41" t="str">
            <v/>
          </cell>
          <cell r="AQ41" t="str">
            <v/>
          </cell>
          <cell r="AR41">
            <v>0</v>
          </cell>
          <cell r="AS41"/>
          <cell r="AT41" t="str">
            <v/>
          </cell>
          <cell r="AU41" t="str">
            <v/>
          </cell>
        </row>
        <row r="42">
          <cell r="B42">
            <v>39873</v>
          </cell>
          <cell r="C42" t="str">
            <v/>
          </cell>
          <cell r="D42" t="str">
            <v/>
          </cell>
          <cell r="E42" t="str">
            <v/>
          </cell>
          <cell r="F42" t="str">
            <v/>
          </cell>
          <cell r="G42" t="str">
            <v/>
          </cell>
          <cell r="H42" t="str">
            <v/>
          </cell>
          <cell r="I42" t="e">
            <v>#DIV/0!</v>
          </cell>
          <cell r="J42" t="e">
            <v>#DIV/0!</v>
          </cell>
          <cell r="K42" t="e">
            <v>#DIV/0!</v>
          </cell>
          <cell r="L42" t="e">
            <v>#DIV/0!</v>
          </cell>
          <cell r="M42" t="e">
            <v>#N/A</v>
          </cell>
          <cell r="N42" t="e">
            <v>#N/A</v>
          </cell>
          <cell r="O42" t="str">
            <v/>
          </cell>
          <cell r="P42" t="str">
            <v/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/>
          <cell r="V42" t="str">
            <v/>
          </cell>
          <cell r="W42" t="str">
            <v/>
          </cell>
          <cell r="X42" t="str">
            <v/>
          </cell>
          <cell r="Y42"/>
          <cell r="Z42"/>
          <cell r="AA42"/>
          <cell r="AB42">
            <v>39873</v>
          </cell>
          <cell r="AC42">
            <v>0.46100784647032012</v>
          </cell>
          <cell r="AD42" t="str">
            <v/>
          </cell>
          <cell r="AE42" t="str">
            <v/>
          </cell>
          <cell r="AF42" t="str">
            <v/>
          </cell>
          <cell r="AG42" t="str">
            <v/>
          </cell>
          <cell r="AH42" t="str">
            <v/>
          </cell>
          <cell r="AI42" t="str">
            <v/>
          </cell>
          <cell r="AJ42"/>
          <cell r="AK42">
            <v>0.51514039273261147</v>
          </cell>
          <cell r="AL42" t="str">
            <v/>
          </cell>
          <cell r="AM42" t="str">
            <v/>
          </cell>
          <cell r="AN42" t="str">
            <v/>
          </cell>
          <cell r="AO42" t="str">
            <v/>
          </cell>
          <cell r="AP42" t="str">
            <v/>
          </cell>
          <cell r="AQ42" t="str">
            <v/>
          </cell>
          <cell r="AR42">
            <v>0</v>
          </cell>
          <cell r="AS42"/>
          <cell r="AT42" t="str">
            <v/>
          </cell>
          <cell r="AU42" t="str">
            <v/>
          </cell>
        </row>
        <row r="43">
          <cell r="B43">
            <v>39904</v>
          </cell>
          <cell r="C43" t="str">
            <v/>
          </cell>
          <cell r="D43" t="str">
            <v/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e">
            <v>#DIV/0!</v>
          </cell>
          <cell r="J43" t="e">
            <v>#DIV/0!</v>
          </cell>
          <cell r="K43" t="e">
            <v>#DIV/0!</v>
          </cell>
          <cell r="L43" t="e">
            <v>#DIV/0!</v>
          </cell>
          <cell r="M43" t="e">
            <v>#N/A</v>
          </cell>
          <cell r="N43" t="e">
            <v>#N/A</v>
          </cell>
          <cell r="O43" t="str">
            <v/>
          </cell>
          <cell r="P43" t="str">
            <v/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/>
          <cell r="V43" t="str">
            <v/>
          </cell>
          <cell r="W43" t="str">
            <v/>
          </cell>
          <cell r="X43" t="str">
            <v/>
          </cell>
          <cell r="Y43"/>
          <cell r="Z43"/>
          <cell r="AA43"/>
          <cell r="AB43">
            <v>39904</v>
          </cell>
          <cell r="AC43">
            <v>0.45889076655870065</v>
          </cell>
          <cell r="AD43" t="str">
            <v/>
          </cell>
          <cell r="AE43" t="str">
            <v/>
          </cell>
          <cell r="AF43" t="str">
            <v/>
          </cell>
          <cell r="AG43" t="str">
            <v/>
          </cell>
          <cell r="AH43" t="str">
            <v/>
          </cell>
          <cell r="AI43" t="str">
            <v/>
          </cell>
          <cell r="AJ43"/>
          <cell r="AK43">
            <v>0.49558303886925797</v>
          </cell>
          <cell r="AL43" t="str">
            <v/>
          </cell>
          <cell r="AM43" t="str">
            <v/>
          </cell>
          <cell r="AN43" t="str">
            <v/>
          </cell>
          <cell r="AO43" t="str">
            <v/>
          </cell>
          <cell r="AP43" t="str">
            <v/>
          </cell>
          <cell r="AQ43" t="str">
            <v/>
          </cell>
          <cell r="AR43">
            <v>0</v>
          </cell>
          <cell r="AS43"/>
          <cell r="AT43" t="str">
            <v/>
          </cell>
          <cell r="AU43" t="str">
            <v/>
          </cell>
        </row>
        <row r="44">
          <cell r="B44">
            <v>39934</v>
          </cell>
          <cell r="C44" t="str">
            <v/>
          </cell>
          <cell r="D44" t="str">
            <v/>
          </cell>
          <cell r="E44" t="str">
            <v/>
          </cell>
          <cell r="F44" t="str">
            <v/>
          </cell>
          <cell r="G44" t="str">
            <v/>
          </cell>
          <cell r="H44" t="str">
            <v/>
          </cell>
          <cell r="I44" t="e">
            <v>#DIV/0!</v>
          </cell>
          <cell r="J44" t="e">
            <v>#DIV/0!</v>
          </cell>
          <cell r="K44" t="e">
            <v>#DIV/0!</v>
          </cell>
          <cell r="L44" t="e">
            <v>#DIV/0!</v>
          </cell>
          <cell r="M44" t="e">
            <v>#N/A</v>
          </cell>
          <cell r="N44" t="e">
            <v>#N/A</v>
          </cell>
          <cell r="O44" t="str">
            <v/>
          </cell>
          <cell r="P44" t="str">
            <v/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/>
          <cell r="V44" t="str">
            <v/>
          </cell>
          <cell r="W44" t="str">
            <v/>
          </cell>
          <cell r="X44" t="str">
            <v/>
          </cell>
          <cell r="Y44"/>
          <cell r="Z44"/>
          <cell r="AA44"/>
          <cell r="AB44">
            <v>39934</v>
          </cell>
          <cell r="AC44">
            <v>0.4578008865028253</v>
          </cell>
          <cell r="AD44" t="str">
            <v/>
          </cell>
          <cell r="AE44" t="str">
            <v/>
          </cell>
          <cell r="AF44" t="str">
            <v/>
          </cell>
          <cell r="AG44" t="str">
            <v/>
          </cell>
          <cell r="AH44" t="str">
            <v/>
          </cell>
          <cell r="AI44" t="str">
            <v/>
          </cell>
          <cell r="AJ44"/>
          <cell r="AK44">
            <v>0.48621311957023544</v>
          </cell>
          <cell r="AL44" t="str">
            <v/>
          </cell>
          <cell r="AM44" t="str">
            <v/>
          </cell>
          <cell r="AN44" t="str">
            <v/>
          </cell>
          <cell r="AO44" t="str">
            <v/>
          </cell>
          <cell r="AP44" t="str">
            <v/>
          </cell>
          <cell r="AQ44" t="str">
            <v/>
          </cell>
          <cell r="AR44">
            <v>0</v>
          </cell>
          <cell r="AS44"/>
          <cell r="AT44" t="str">
            <v/>
          </cell>
          <cell r="AU44" t="str">
            <v/>
          </cell>
        </row>
        <row r="45">
          <cell r="B45">
            <v>39965</v>
          </cell>
          <cell r="C45" t="str">
            <v/>
          </cell>
          <cell r="D45" t="str">
            <v/>
          </cell>
          <cell r="E45" t="str">
            <v/>
          </cell>
          <cell r="F45" t="str">
            <v/>
          </cell>
          <cell r="G45" t="str">
            <v/>
          </cell>
          <cell r="H45" t="str">
            <v/>
          </cell>
          <cell r="I45" t="e">
            <v>#DIV/0!</v>
          </cell>
          <cell r="J45" t="e">
            <v>#DIV/0!</v>
          </cell>
          <cell r="K45" t="e">
            <v>#DIV/0!</v>
          </cell>
          <cell r="L45" t="e">
            <v>#DIV/0!</v>
          </cell>
          <cell r="M45" t="e">
            <v>#N/A</v>
          </cell>
          <cell r="N45" t="e">
            <v>#N/A</v>
          </cell>
          <cell r="O45" t="str">
            <v/>
          </cell>
          <cell r="P45" t="str">
            <v/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/>
          <cell r="V45" t="str">
            <v/>
          </cell>
          <cell r="W45" t="str">
            <v/>
          </cell>
          <cell r="X45" t="str">
            <v/>
          </cell>
          <cell r="Y45"/>
          <cell r="Z45"/>
          <cell r="AA45"/>
          <cell r="AB45">
            <v>39965</v>
          </cell>
          <cell r="AC45">
            <v>0.45721140738317245</v>
          </cell>
          <cell r="AD45" t="str">
            <v/>
          </cell>
          <cell r="AE45" t="str">
            <v/>
          </cell>
          <cell r="AF45" t="str">
            <v/>
          </cell>
          <cell r="AG45" t="str">
            <v/>
          </cell>
          <cell r="AH45" t="str">
            <v/>
          </cell>
          <cell r="AI45" t="str">
            <v/>
          </cell>
          <cell r="AJ45"/>
          <cell r="AK45">
            <v>0.4809933355672214</v>
          </cell>
          <cell r="AL45" t="str">
            <v/>
          </cell>
          <cell r="AM45" t="str">
            <v/>
          </cell>
          <cell r="AN45" t="str">
            <v/>
          </cell>
          <cell r="AO45" t="str">
            <v/>
          </cell>
          <cell r="AP45" t="str">
            <v/>
          </cell>
          <cell r="AQ45" t="str">
            <v/>
          </cell>
          <cell r="AR45">
            <v>0</v>
          </cell>
          <cell r="AS45"/>
          <cell r="AT45" t="str">
            <v/>
          </cell>
          <cell r="AU45" t="str">
            <v/>
          </cell>
        </row>
        <row r="46">
          <cell r="B46">
            <v>39995</v>
          </cell>
          <cell r="C46" t="str">
            <v/>
          </cell>
          <cell r="D46" t="str">
            <v/>
          </cell>
          <cell r="E46" t="str">
            <v/>
          </cell>
          <cell r="F46" t="str">
            <v/>
          </cell>
          <cell r="G46" t="str">
            <v/>
          </cell>
          <cell r="H46" t="str">
            <v/>
          </cell>
          <cell r="I46" t="e">
            <v>#DIV/0!</v>
          </cell>
          <cell r="J46" t="e">
            <v>#DIV/0!</v>
          </cell>
          <cell r="K46" t="e">
            <v>#DIV/0!</v>
          </cell>
          <cell r="L46" t="e">
            <v>#DIV/0!</v>
          </cell>
          <cell r="M46" t="e">
            <v>#N/A</v>
          </cell>
          <cell r="N46" t="e">
            <v>#N/A</v>
          </cell>
          <cell r="O46" t="str">
            <v/>
          </cell>
          <cell r="P46" t="str">
            <v/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/>
          <cell r="V46" t="str">
            <v/>
          </cell>
          <cell r="W46" t="str">
            <v/>
          </cell>
          <cell r="X46" t="str">
            <v/>
          </cell>
          <cell r="Y46"/>
          <cell r="Z46"/>
          <cell r="AA46"/>
          <cell r="AB46">
            <v>39995</v>
          </cell>
          <cell r="AC46">
            <v>0.46041403951240018</v>
          </cell>
          <cell r="AD46" t="str">
            <v/>
          </cell>
          <cell r="AE46" t="str">
            <v/>
          </cell>
          <cell r="AF46" t="str">
            <v/>
          </cell>
          <cell r="AG46" t="str">
            <v/>
          </cell>
          <cell r="AH46" t="str">
            <v/>
          </cell>
          <cell r="AI46" t="str">
            <v/>
          </cell>
          <cell r="AJ46"/>
          <cell r="AK46">
            <v>0.48832607835377917</v>
          </cell>
          <cell r="AL46" t="str">
            <v/>
          </cell>
          <cell r="AM46" t="str">
            <v/>
          </cell>
          <cell r="AN46" t="str">
            <v/>
          </cell>
          <cell r="AO46" t="str">
            <v/>
          </cell>
          <cell r="AP46" t="str">
            <v/>
          </cell>
          <cell r="AQ46" t="str">
            <v/>
          </cell>
          <cell r="AR46">
            <v>0</v>
          </cell>
          <cell r="AS46"/>
          <cell r="AT46" t="str">
            <v/>
          </cell>
          <cell r="AU46" t="str">
            <v/>
          </cell>
        </row>
        <row r="47">
          <cell r="B47">
            <v>40026</v>
          </cell>
          <cell r="C47" t="str">
            <v/>
          </cell>
          <cell r="D47" t="str">
            <v/>
          </cell>
          <cell r="E47" t="str">
            <v/>
          </cell>
          <cell r="F47" t="str">
            <v/>
          </cell>
          <cell r="G47" t="str">
            <v/>
          </cell>
          <cell r="H47" t="str">
            <v/>
          </cell>
          <cell r="I47" t="e">
            <v>#DIV/0!</v>
          </cell>
          <cell r="J47" t="e">
            <v>#DIV/0!</v>
          </cell>
          <cell r="K47" t="e">
            <v>#DIV/0!</v>
          </cell>
          <cell r="L47" t="e">
            <v>#DIV/0!</v>
          </cell>
          <cell r="M47" t="e">
            <v>#N/A</v>
          </cell>
          <cell r="N47" t="e">
            <v>#N/A</v>
          </cell>
          <cell r="O47" t="str">
            <v/>
          </cell>
          <cell r="P47" t="str">
            <v/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/>
          <cell r="V47" t="str">
            <v/>
          </cell>
          <cell r="W47" t="str">
            <v/>
          </cell>
          <cell r="X47" t="str">
            <v/>
          </cell>
          <cell r="Y47"/>
          <cell r="Z47"/>
          <cell r="AA47"/>
          <cell r="AB47">
            <v>40026</v>
          </cell>
          <cell r="AC47">
            <v>0.46515880071116855</v>
          </cell>
          <cell r="AD47" t="str">
            <v/>
          </cell>
          <cell r="AE47" t="str">
            <v/>
          </cell>
          <cell r="AF47" t="str">
            <v/>
          </cell>
          <cell r="AG47" t="str">
            <v/>
          </cell>
          <cell r="AH47" t="str">
            <v/>
          </cell>
          <cell r="AI47" t="str">
            <v/>
          </cell>
          <cell r="AJ47"/>
          <cell r="AK47">
            <v>0.49894601241363157</v>
          </cell>
          <cell r="AL47" t="str">
            <v/>
          </cell>
          <cell r="AM47" t="str">
            <v/>
          </cell>
          <cell r="AN47" t="str">
            <v/>
          </cell>
          <cell r="AO47" t="str">
            <v/>
          </cell>
          <cell r="AP47" t="str">
            <v/>
          </cell>
          <cell r="AQ47" t="str">
            <v/>
          </cell>
          <cell r="AR47">
            <v>0</v>
          </cell>
          <cell r="AS47"/>
          <cell r="AT47" t="str">
            <v/>
          </cell>
          <cell r="AU47" t="str">
            <v/>
          </cell>
        </row>
        <row r="48">
          <cell r="B48">
            <v>40057</v>
          </cell>
          <cell r="C48" t="str">
            <v/>
          </cell>
          <cell r="D48" t="str">
            <v/>
          </cell>
          <cell r="E48" t="str">
            <v/>
          </cell>
          <cell r="F48" t="str">
            <v/>
          </cell>
          <cell r="G48" t="str">
            <v/>
          </cell>
          <cell r="H48" t="str">
            <v/>
          </cell>
          <cell r="I48" t="e">
            <v>#DIV/0!</v>
          </cell>
          <cell r="J48" t="e">
            <v>#DIV/0!</v>
          </cell>
          <cell r="K48" t="e">
            <v>#DIV/0!</v>
          </cell>
          <cell r="L48" t="e">
            <v>#DIV/0!</v>
          </cell>
          <cell r="M48" t="e">
            <v>#N/A</v>
          </cell>
          <cell r="N48" t="e">
            <v>#N/A</v>
          </cell>
          <cell r="O48" t="str">
            <v/>
          </cell>
          <cell r="P48" t="str">
            <v/>
          </cell>
          <cell r="Q48" t="str">
            <v/>
          </cell>
          <cell r="R48" t="str">
            <v/>
          </cell>
          <cell r="S48" t="str">
            <v/>
          </cell>
          <cell r="T48" t="str">
            <v/>
          </cell>
          <cell r="U48"/>
          <cell r="V48" t="str">
            <v/>
          </cell>
          <cell r="W48" t="str">
            <v/>
          </cell>
          <cell r="X48" t="str">
            <v/>
          </cell>
          <cell r="Y48"/>
          <cell r="Z48"/>
          <cell r="AA48"/>
          <cell r="AB48">
            <v>40057</v>
          </cell>
          <cell r="AC48">
            <v>0.46714759971572378</v>
          </cell>
          <cell r="AD48" t="str">
            <v/>
          </cell>
          <cell r="AE48" t="str">
            <v/>
          </cell>
          <cell r="AF48" t="str">
            <v/>
          </cell>
          <cell r="AG48" t="str">
            <v/>
          </cell>
          <cell r="AH48" t="str">
            <v/>
          </cell>
          <cell r="AI48" t="str">
            <v/>
          </cell>
          <cell r="AJ48"/>
          <cell r="AK48">
            <v>0.50101634064570633</v>
          </cell>
          <cell r="AL48" t="str">
            <v/>
          </cell>
          <cell r="AM48" t="str">
            <v/>
          </cell>
          <cell r="AN48" t="str">
            <v/>
          </cell>
          <cell r="AO48" t="str">
            <v/>
          </cell>
          <cell r="AP48" t="str">
            <v/>
          </cell>
          <cell r="AQ48" t="str">
            <v/>
          </cell>
          <cell r="AR48">
            <v>0</v>
          </cell>
          <cell r="AS48"/>
          <cell r="AT48" t="str">
            <v/>
          </cell>
          <cell r="AU48" t="str">
            <v/>
          </cell>
        </row>
        <row r="49">
          <cell r="B49">
            <v>40087</v>
          </cell>
          <cell r="C49" t="str">
            <v/>
          </cell>
          <cell r="D49" t="str">
            <v/>
          </cell>
          <cell r="E49" t="str">
            <v/>
          </cell>
          <cell r="F49" t="str">
            <v/>
          </cell>
          <cell r="G49" t="str">
            <v/>
          </cell>
          <cell r="H49" t="str">
            <v/>
          </cell>
          <cell r="I49" t="e">
            <v>#DIV/0!</v>
          </cell>
          <cell r="J49" t="e">
            <v>#DIV/0!</v>
          </cell>
          <cell r="K49" t="e">
            <v>#DIV/0!</v>
          </cell>
          <cell r="L49" t="e">
            <v>#DIV/0!</v>
          </cell>
          <cell r="M49" t="e">
            <v>#N/A</v>
          </cell>
          <cell r="N49" t="e">
            <v>#N/A</v>
          </cell>
          <cell r="O49" t="str">
            <v/>
          </cell>
          <cell r="P49" t="str">
            <v/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  <cell r="U49"/>
          <cell r="V49" t="str">
            <v/>
          </cell>
          <cell r="W49" t="str">
            <v/>
          </cell>
          <cell r="X49" t="str">
            <v/>
          </cell>
          <cell r="Y49"/>
          <cell r="Z49"/>
          <cell r="AA49"/>
          <cell r="AB49">
            <v>40087</v>
          </cell>
          <cell r="AC49">
            <v>0.47150928624654537</v>
          </cell>
          <cell r="AD49" t="str">
            <v/>
          </cell>
          <cell r="AE49" t="str">
            <v/>
          </cell>
          <cell r="AF49" t="str">
            <v/>
          </cell>
          <cell r="AG49" t="str">
            <v/>
          </cell>
          <cell r="AH49" t="str">
            <v/>
          </cell>
          <cell r="AI49" t="str">
            <v/>
          </cell>
          <cell r="AJ49"/>
          <cell r="AK49">
            <v>0.50953109443675482</v>
          </cell>
          <cell r="AL49" t="str">
            <v/>
          </cell>
          <cell r="AM49" t="str">
            <v/>
          </cell>
          <cell r="AN49" t="str">
            <v/>
          </cell>
          <cell r="AO49" t="str">
            <v/>
          </cell>
          <cell r="AP49" t="str">
            <v/>
          </cell>
          <cell r="AQ49" t="str">
            <v/>
          </cell>
          <cell r="AR49">
            <v>0</v>
          </cell>
          <cell r="AS49"/>
          <cell r="AT49" t="str">
            <v/>
          </cell>
          <cell r="AU49" t="str">
            <v/>
          </cell>
        </row>
      </sheetData>
      <sheetData sheetId="31"/>
      <sheetData sheetId="32">
        <row r="13">
          <cell r="B13"/>
          <cell r="C13" t="str">
            <v>Mensual</v>
          </cell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Acumulado</v>
          </cell>
          <cell r="P13"/>
          <cell r="Q13"/>
          <cell r="R13"/>
          <cell r="S13"/>
          <cell r="T13"/>
        </row>
        <row r="14">
          <cell r="B14"/>
          <cell r="C14" t="str">
            <v>%</v>
          </cell>
          <cell r="D14" t="str">
            <v>% pedidos perfectos (óptimos)</v>
          </cell>
          <cell r="E14"/>
          <cell r="F14"/>
          <cell r="G14"/>
          <cell r="H14"/>
          <cell r="I14" t="e">
            <v>#N/A</v>
          </cell>
          <cell r="J14" t="str">
            <v>% Desechos</v>
          </cell>
          <cell r="K14"/>
          <cell r="L14"/>
          <cell r="M14"/>
          <cell r="N14"/>
          <cell r="O14" t="str">
            <v>%</v>
          </cell>
          <cell r="P14" t="str">
            <v>% pedidos perfectos (óptimos)</v>
          </cell>
          <cell r="Q14"/>
          <cell r="R14"/>
          <cell r="S14"/>
          <cell r="T14"/>
        </row>
        <row r="15">
          <cell r="B15" t="str">
            <v>Fecha</v>
          </cell>
          <cell r="C15"/>
          <cell r="D15" t="str">
            <v>Performance</v>
          </cell>
          <cell r="E15"/>
          <cell r="F15"/>
          <cell r="G15" t="str">
            <v>Sup</v>
          </cell>
          <cell r="H15" t="str">
            <v>Inf</v>
          </cell>
          <cell r="I15"/>
          <cell r="J15" t="str">
            <v>Performance</v>
          </cell>
          <cell r="K15"/>
          <cell r="L15"/>
          <cell r="M15" t="str">
            <v>Sup</v>
          </cell>
          <cell r="N15" t="str">
            <v>Inf</v>
          </cell>
          <cell r="O15"/>
          <cell r="P15" t="str">
            <v>Performance</v>
          </cell>
          <cell r="Q15"/>
          <cell r="R15"/>
          <cell r="S15" t="str">
            <v>Sup</v>
          </cell>
          <cell r="T15" t="str">
            <v>Inf</v>
          </cell>
        </row>
        <row r="16">
          <cell r="B16">
            <v>39083</v>
          </cell>
          <cell r="C16" t="str">
            <v/>
          </cell>
          <cell r="D16" t="str">
            <v/>
          </cell>
          <cell r="E16" t="str">
            <v/>
          </cell>
          <cell r="F16" t="str">
            <v/>
          </cell>
          <cell r="G16" t="str">
            <v/>
          </cell>
          <cell r="H16" t="str">
            <v/>
          </cell>
          <cell r="I16" t="e">
            <v>#DIV/0!</v>
          </cell>
          <cell r="J16" t="e">
            <v>#DIV/0!</v>
          </cell>
          <cell r="K16" t="e">
            <v>#DIV/0!</v>
          </cell>
          <cell r="L16" t="e">
            <v>#DIV/0!</v>
          </cell>
          <cell r="M16">
            <v>0.06</v>
          </cell>
          <cell r="N16">
            <v>0.02</v>
          </cell>
          <cell r="O16" t="str">
            <v/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AB16">
            <v>39083</v>
          </cell>
          <cell r="AC16"/>
          <cell r="AD16"/>
          <cell r="AE16" t="str">
            <v/>
          </cell>
          <cell r="AF16" t="str">
            <v/>
          </cell>
          <cell r="AG16"/>
          <cell r="AH16" t="str">
            <v/>
          </cell>
          <cell r="AI16" t="str">
            <v/>
          </cell>
          <cell r="AJ16"/>
          <cell r="AK16"/>
          <cell r="AL16"/>
          <cell r="AM16" t="str">
            <v/>
          </cell>
          <cell r="AN16"/>
          <cell r="AO16"/>
          <cell r="AP16" t="str">
            <v/>
          </cell>
          <cell r="AQ16" t="str">
            <v/>
          </cell>
        </row>
        <row r="17">
          <cell r="B17">
            <v>39114</v>
          </cell>
          <cell r="C17" t="str">
            <v/>
          </cell>
          <cell r="D17" t="str">
            <v/>
          </cell>
          <cell r="E17" t="str">
            <v/>
          </cell>
          <cell r="F17" t="str">
            <v/>
          </cell>
          <cell r="G17" t="str">
            <v/>
          </cell>
          <cell r="H17" t="str">
            <v/>
          </cell>
          <cell r="I17" t="e">
            <v>#DIV/0!</v>
          </cell>
          <cell r="J17" t="e">
            <v>#DIV/0!</v>
          </cell>
          <cell r="K17" t="e">
            <v>#DIV/0!</v>
          </cell>
          <cell r="L17" t="e">
            <v>#DIV/0!</v>
          </cell>
          <cell r="M17">
            <v>0.06</v>
          </cell>
          <cell r="N17">
            <v>0.02</v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AB17">
            <v>39114</v>
          </cell>
          <cell r="AC17"/>
          <cell r="AD17"/>
          <cell r="AE17" t="str">
            <v/>
          </cell>
          <cell r="AF17" t="str">
            <v/>
          </cell>
          <cell r="AG17"/>
          <cell r="AH17" t="str">
            <v/>
          </cell>
          <cell r="AI17" t="str">
            <v/>
          </cell>
          <cell r="AJ17"/>
          <cell r="AK17"/>
          <cell r="AL17"/>
          <cell r="AM17" t="str">
            <v/>
          </cell>
          <cell r="AN17"/>
          <cell r="AO17"/>
          <cell r="AP17" t="str">
            <v/>
          </cell>
          <cell r="AQ17" t="str">
            <v/>
          </cell>
        </row>
        <row r="18">
          <cell r="B18">
            <v>39142</v>
          </cell>
          <cell r="C18" t="str">
            <v/>
          </cell>
          <cell r="D18" t="str">
            <v/>
          </cell>
          <cell r="E18" t="str">
            <v/>
          </cell>
          <cell r="F18" t="str">
            <v/>
          </cell>
          <cell r="G18" t="str">
            <v/>
          </cell>
          <cell r="H18" t="str">
            <v/>
          </cell>
          <cell r="I18" t="e">
            <v>#DIV/0!</v>
          </cell>
          <cell r="J18" t="e">
            <v>#DIV/0!</v>
          </cell>
          <cell r="K18" t="e">
            <v>#DIV/0!</v>
          </cell>
          <cell r="L18" t="e">
            <v>#DIV/0!</v>
          </cell>
          <cell r="M18">
            <v>0.06</v>
          </cell>
          <cell r="N18">
            <v>0.02</v>
          </cell>
          <cell r="O18" t="str">
            <v/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AB18">
            <v>39142</v>
          </cell>
          <cell r="AC18"/>
          <cell r="AD18"/>
          <cell r="AE18" t="str">
            <v/>
          </cell>
          <cell r="AF18" t="str">
            <v/>
          </cell>
          <cell r="AG18"/>
          <cell r="AH18" t="str">
            <v/>
          </cell>
          <cell r="AI18" t="str">
            <v/>
          </cell>
          <cell r="AJ18"/>
          <cell r="AK18"/>
          <cell r="AL18"/>
          <cell r="AM18" t="str">
            <v/>
          </cell>
          <cell r="AN18"/>
          <cell r="AO18"/>
          <cell r="AP18" t="str">
            <v/>
          </cell>
          <cell r="AQ18" t="str">
            <v/>
          </cell>
        </row>
        <row r="19">
          <cell r="B19">
            <v>39173</v>
          </cell>
          <cell r="C19" t="str">
            <v/>
          </cell>
          <cell r="D19" t="str">
            <v/>
          </cell>
          <cell r="E19" t="str">
            <v/>
          </cell>
          <cell r="F19" t="str">
            <v/>
          </cell>
          <cell r="G19" t="str">
            <v/>
          </cell>
          <cell r="H19" t="str">
            <v/>
          </cell>
          <cell r="I19" t="e">
            <v>#DIV/0!</v>
          </cell>
          <cell r="J19" t="e">
            <v>#DIV/0!</v>
          </cell>
          <cell r="K19" t="e">
            <v>#DIV/0!</v>
          </cell>
          <cell r="L19" t="e">
            <v>#DIV/0!</v>
          </cell>
          <cell r="M19">
            <v>0.06</v>
          </cell>
          <cell r="N19">
            <v>0.02</v>
          </cell>
          <cell r="O19" t="str">
            <v/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AB19">
            <v>39173</v>
          </cell>
          <cell r="AC19"/>
          <cell r="AD19"/>
          <cell r="AE19" t="str">
            <v/>
          </cell>
          <cell r="AF19" t="str">
            <v/>
          </cell>
          <cell r="AG19"/>
          <cell r="AH19" t="str">
            <v/>
          </cell>
          <cell r="AI19" t="str">
            <v/>
          </cell>
          <cell r="AJ19"/>
          <cell r="AK19"/>
          <cell r="AL19"/>
          <cell r="AM19" t="str">
            <v/>
          </cell>
          <cell r="AN19"/>
          <cell r="AO19"/>
          <cell r="AP19" t="str">
            <v/>
          </cell>
          <cell r="AQ19" t="str">
            <v/>
          </cell>
        </row>
        <row r="20">
          <cell r="B20">
            <v>39203</v>
          </cell>
          <cell r="C20" t="str">
            <v/>
          </cell>
          <cell r="D20" t="str">
            <v/>
          </cell>
          <cell r="E20" t="str">
            <v/>
          </cell>
          <cell r="F20" t="str">
            <v/>
          </cell>
          <cell r="G20" t="str">
            <v/>
          </cell>
          <cell r="H20" t="str">
            <v/>
          </cell>
          <cell r="I20" t="e">
            <v>#DIV/0!</v>
          </cell>
          <cell r="J20" t="e">
            <v>#DIV/0!</v>
          </cell>
          <cell r="K20" t="e">
            <v>#DIV/0!</v>
          </cell>
          <cell r="L20" t="e">
            <v>#DIV/0!</v>
          </cell>
          <cell r="M20">
            <v>0.06</v>
          </cell>
          <cell r="N20">
            <v>0.02</v>
          </cell>
          <cell r="O20" t="str">
            <v/>
          </cell>
          <cell r="P20" t="str">
            <v/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AB20">
            <v>39203</v>
          </cell>
          <cell r="AC20"/>
          <cell r="AD20"/>
          <cell r="AE20" t="str">
            <v/>
          </cell>
          <cell r="AF20" t="str">
            <v/>
          </cell>
          <cell r="AG20"/>
          <cell r="AH20" t="str">
            <v/>
          </cell>
          <cell r="AI20" t="str">
            <v/>
          </cell>
          <cell r="AJ20"/>
          <cell r="AK20"/>
          <cell r="AL20"/>
          <cell r="AM20" t="str">
            <v/>
          </cell>
          <cell r="AN20"/>
          <cell r="AO20"/>
          <cell r="AP20" t="str">
            <v/>
          </cell>
          <cell r="AQ20" t="str">
            <v/>
          </cell>
        </row>
        <row r="21">
          <cell r="B21">
            <v>39234</v>
          </cell>
          <cell r="C21" t="str">
            <v/>
          </cell>
          <cell r="D21" t="str">
            <v/>
          </cell>
          <cell r="E21" t="str">
            <v/>
          </cell>
          <cell r="F21" t="str">
            <v/>
          </cell>
          <cell r="G21" t="str">
            <v/>
          </cell>
          <cell r="H21" t="str">
            <v/>
          </cell>
          <cell r="I21" t="e">
            <v>#DIV/0!</v>
          </cell>
          <cell r="J21" t="e">
            <v>#DIV/0!</v>
          </cell>
          <cell r="K21" t="e">
            <v>#DIV/0!</v>
          </cell>
          <cell r="L21" t="e">
            <v>#DIV/0!</v>
          </cell>
          <cell r="M21">
            <v>0.06</v>
          </cell>
          <cell r="N21">
            <v>0.02</v>
          </cell>
          <cell r="O21" t="str">
            <v/>
          </cell>
          <cell r="P21" t="str">
            <v/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AB21">
            <v>39234</v>
          </cell>
          <cell r="AC21"/>
          <cell r="AD21"/>
          <cell r="AE21" t="str">
            <v/>
          </cell>
          <cell r="AF21" t="str">
            <v/>
          </cell>
          <cell r="AG21"/>
          <cell r="AH21" t="str">
            <v/>
          </cell>
          <cell r="AI21" t="str">
            <v/>
          </cell>
          <cell r="AJ21"/>
          <cell r="AK21"/>
          <cell r="AL21"/>
          <cell r="AM21" t="str">
            <v/>
          </cell>
          <cell r="AN21"/>
          <cell r="AO21"/>
          <cell r="AP21" t="str">
            <v/>
          </cell>
          <cell r="AQ21" t="str">
            <v/>
          </cell>
        </row>
        <row r="22">
          <cell r="B22">
            <v>39264</v>
          </cell>
          <cell r="C22" t="str">
            <v/>
          </cell>
          <cell r="D22" t="str">
            <v/>
          </cell>
          <cell r="E22" t="str">
            <v/>
          </cell>
          <cell r="F22" t="str">
            <v/>
          </cell>
          <cell r="G22" t="str">
            <v/>
          </cell>
          <cell r="H22" t="str">
            <v/>
          </cell>
          <cell r="I22" t="e">
            <v>#DIV/0!</v>
          </cell>
          <cell r="J22" t="e">
            <v>#DIV/0!</v>
          </cell>
          <cell r="K22" t="e">
            <v>#DIV/0!</v>
          </cell>
          <cell r="L22" t="e">
            <v>#DIV/0!</v>
          </cell>
          <cell r="M22">
            <v>0.06</v>
          </cell>
          <cell r="N22">
            <v>0.02</v>
          </cell>
          <cell r="O22" t="str">
            <v/>
          </cell>
          <cell r="P22" t="str">
            <v/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  <cell r="AB22">
            <v>39264</v>
          </cell>
          <cell r="AC22"/>
          <cell r="AD22"/>
          <cell r="AE22" t="str">
            <v/>
          </cell>
          <cell r="AF22" t="str">
            <v/>
          </cell>
          <cell r="AG22"/>
          <cell r="AH22" t="str">
            <v/>
          </cell>
          <cell r="AI22" t="str">
            <v/>
          </cell>
          <cell r="AJ22"/>
          <cell r="AK22"/>
          <cell r="AL22"/>
          <cell r="AM22" t="str">
            <v/>
          </cell>
          <cell r="AN22"/>
          <cell r="AO22"/>
          <cell r="AP22" t="str">
            <v/>
          </cell>
          <cell r="AQ22" t="str">
            <v/>
          </cell>
        </row>
        <row r="23">
          <cell r="B23">
            <v>39295</v>
          </cell>
          <cell r="C23" t="str">
            <v/>
          </cell>
          <cell r="D23" t="str">
            <v/>
          </cell>
          <cell r="E23" t="str">
            <v/>
          </cell>
          <cell r="F23" t="str">
            <v/>
          </cell>
          <cell r="G23" t="str">
            <v/>
          </cell>
          <cell r="H23" t="str">
            <v/>
          </cell>
          <cell r="I23" t="e">
            <v>#DIV/0!</v>
          </cell>
          <cell r="J23" t="e">
            <v>#DIV/0!</v>
          </cell>
          <cell r="K23" t="e">
            <v>#DIV/0!</v>
          </cell>
          <cell r="L23" t="e">
            <v>#DIV/0!</v>
          </cell>
          <cell r="M23">
            <v>0.06</v>
          </cell>
          <cell r="N23">
            <v>0.02</v>
          </cell>
          <cell r="O23" t="str">
            <v/>
          </cell>
          <cell r="P23" t="str">
            <v/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AB23">
            <v>39295</v>
          </cell>
          <cell r="AC23"/>
          <cell r="AD23"/>
          <cell r="AE23" t="str">
            <v/>
          </cell>
          <cell r="AF23" t="str">
            <v/>
          </cell>
          <cell r="AG23"/>
          <cell r="AH23" t="str">
            <v/>
          </cell>
          <cell r="AI23" t="str">
            <v/>
          </cell>
          <cell r="AJ23"/>
          <cell r="AK23"/>
          <cell r="AL23"/>
          <cell r="AM23" t="str">
            <v/>
          </cell>
          <cell r="AN23"/>
          <cell r="AO23"/>
          <cell r="AP23" t="str">
            <v/>
          </cell>
          <cell r="AQ23" t="str">
            <v/>
          </cell>
        </row>
        <row r="24">
          <cell r="B24">
            <v>39326</v>
          </cell>
          <cell r="C24" t="str">
            <v/>
          </cell>
          <cell r="D24" t="str">
            <v/>
          </cell>
          <cell r="E24" t="str">
            <v/>
          </cell>
          <cell r="F24" t="str">
            <v/>
          </cell>
          <cell r="G24" t="str">
            <v/>
          </cell>
          <cell r="H24" t="str">
            <v/>
          </cell>
          <cell r="I24" t="e">
            <v>#DIV/0!</v>
          </cell>
          <cell r="J24" t="e">
            <v>#DIV/0!</v>
          </cell>
          <cell r="K24" t="e">
            <v>#DIV/0!</v>
          </cell>
          <cell r="L24" t="e">
            <v>#DIV/0!</v>
          </cell>
          <cell r="M24">
            <v>0.06</v>
          </cell>
          <cell r="N24">
            <v>0.02</v>
          </cell>
          <cell r="O24" t="str">
            <v/>
          </cell>
          <cell r="P24" t="str">
            <v/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  <cell r="AB24">
            <v>39326</v>
          </cell>
          <cell r="AC24"/>
          <cell r="AD24"/>
          <cell r="AE24" t="str">
            <v/>
          </cell>
          <cell r="AF24" t="str">
            <v/>
          </cell>
          <cell r="AG24"/>
          <cell r="AH24" t="str">
            <v/>
          </cell>
          <cell r="AI24" t="str">
            <v/>
          </cell>
          <cell r="AJ24"/>
          <cell r="AK24"/>
          <cell r="AL24"/>
          <cell r="AM24" t="str">
            <v/>
          </cell>
          <cell r="AN24"/>
          <cell r="AO24"/>
          <cell r="AP24" t="str">
            <v/>
          </cell>
          <cell r="AQ24" t="str">
            <v/>
          </cell>
        </row>
        <row r="25">
          <cell r="B25">
            <v>39356</v>
          </cell>
          <cell r="C25">
            <v>0.86187845303867405</v>
          </cell>
          <cell r="D25" t="str">
            <v>c</v>
          </cell>
          <cell r="E25" t="str">
            <v>g</v>
          </cell>
          <cell r="F25" t="str">
            <v>c</v>
          </cell>
          <cell r="G25">
            <v>0.9</v>
          </cell>
          <cell r="H25">
            <v>0.8</v>
          </cell>
          <cell r="I25">
            <v>0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>
            <v>0.86187845303867405</v>
          </cell>
          <cell r="P25" t="str">
            <v>c</v>
          </cell>
          <cell r="Q25" t="str">
            <v>g</v>
          </cell>
          <cell r="R25" t="str">
            <v>c</v>
          </cell>
          <cell r="S25">
            <v>0.9</v>
          </cell>
          <cell r="T25">
            <v>0.8</v>
          </cell>
          <cell r="AB25">
            <v>39356</v>
          </cell>
          <cell r="AC25"/>
          <cell r="AD25">
            <v>0.86187845303867405</v>
          </cell>
          <cell r="AE25" t="str">
            <v/>
          </cell>
          <cell r="AF25">
            <v>0.86187845303867405</v>
          </cell>
          <cell r="AG25" t="str">
            <v/>
          </cell>
          <cell r="AH25" t="str">
            <v/>
          </cell>
          <cell r="AI25" t="e">
            <v>#VALUE!</v>
          </cell>
          <cell r="AJ25"/>
          <cell r="AK25"/>
          <cell r="AL25">
            <v>0.86187845303867405</v>
          </cell>
          <cell r="AM25" t="str">
            <v/>
          </cell>
          <cell r="AN25">
            <v>0.86187845303867405</v>
          </cell>
          <cell r="AO25" t="str">
            <v/>
          </cell>
          <cell r="AP25" t="str">
            <v/>
          </cell>
          <cell r="AQ25" t="e">
            <v>#VALUE!</v>
          </cell>
        </row>
        <row r="26">
          <cell r="B26">
            <v>39387</v>
          </cell>
          <cell r="C26">
            <v>0.83163265306122447</v>
          </cell>
          <cell r="D26" t="str">
            <v>c</v>
          </cell>
          <cell r="E26" t="str">
            <v>g</v>
          </cell>
          <cell r="F26" t="str">
            <v>c</v>
          </cell>
          <cell r="G26">
            <v>0.9</v>
          </cell>
          <cell r="H26">
            <v>0.8</v>
          </cell>
          <cell r="I26">
            <v>0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>
            <v>0.84615384615384615</v>
          </cell>
          <cell r="P26" t="str">
            <v>c</v>
          </cell>
          <cell r="Q26" t="str">
            <v>g</v>
          </cell>
          <cell r="R26" t="str">
            <v>c</v>
          </cell>
          <cell r="S26">
            <v>0.9</v>
          </cell>
          <cell r="T26">
            <v>0.8</v>
          </cell>
          <cell r="AB26">
            <v>39387</v>
          </cell>
          <cell r="AC26"/>
          <cell r="AD26">
            <v>0.83163265306122447</v>
          </cell>
          <cell r="AE26" t="str">
            <v/>
          </cell>
          <cell r="AF26">
            <v>0.83163265306122447</v>
          </cell>
          <cell r="AG26" t="str">
            <v/>
          </cell>
          <cell r="AH26" t="str">
            <v/>
          </cell>
          <cell r="AI26" t="e">
            <v>#VALUE!</v>
          </cell>
          <cell r="AJ26"/>
          <cell r="AK26"/>
          <cell r="AL26">
            <v>0.84615384615384615</v>
          </cell>
          <cell r="AM26" t="str">
            <v/>
          </cell>
          <cell r="AN26">
            <v>0.84615384615384615</v>
          </cell>
          <cell r="AO26" t="str">
            <v/>
          </cell>
          <cell r="AP26" t="str">
            <v/>
          </cell>
          <cell r="AQ26" t="e">
            <v>#VALUE!</v>
          </cell>
        </row>
        <row r="27">
          <cell r="B27">
            <v>39417</v>
          </cell>
          <cell r="C27">
            <v>0.60312500000000002</v>
          </cell>
          <cell r="D27" t="str">
            <v>c</v>
          </cell>
          <cell r="E27" t="str">
            <v>c</v>
          </cell>
          <cell r="F27" t="str">
            <v>g</v>
          </cell>
          <cell r="G27">
            <v>0.90000000000000013</v>
          </cell>
          <cell r="H27">
            <v>0.80000000000000027</v>
          </cell>
          <cell r="I27">
            <v>0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>
            <v>0.73457675753228124</v>
          </cell>
          <cell r="P27" t="str">
            <v>c</v>
          </cell>
          <cell r="Q27" t="str">
            <v>c</v>
          </cell>
          <cell r="R27" t="str">
            <v>g</v>
          </cell>
          <cell r="S27">
            <v>0.90000000000000013</v>
          </cell>
          <cell r="T27">
            <v>0.80000000000000027</v>
          </cell>
          <cell r="AB27">
            <v>39417</v>
          </cell>
          <cell r="AC27"/>
          <cell r="AD27">
            <v>0.60312500000000002</v>
          </cell>
          <cell r="AE27" t="str">
            <v/>
          </cell>
          <cell r="AF27">
            <v>0.60312500000000002</v>
          </cell>
          <cell r="AG27" t="str">
            <v/>
          </cell>
          <cell r="AH27" t="str">
            <v/>
          </cell>
          <cell r="AI27" t="e">
            <v>#VALUE!</v>
          </cell>
          <cell r="AJ27"/>
          <cell r="AK27"/>
          <cell r="AL27">
            <v>0.73457675753228124</v>
          </cell>
          <cell r="AM27" t="str">
            <v/>
          </cell>
          <cell r="AN27">
            <v>0.73457675753228124</v>
          </cell>
          <cell r="AO27" t="str">
            <v/>
          </cell>
          <cell r="AP27" t="str">
            <v/>
          </cell>
          <cell r="AQ27" t="e">
            <v>#VALUE!</v>
          </cell>
        </row>
        <row r="28">
          <cell r="B28">
            <v>39448</v>
          </cell>
          <cell r="C28">
            <v>0.875</v>
          </cell>
          <cell r="D28" t="str">
            <v>c</v>
          </cell>
          <cell r="E28" t="str">
            <v>g</v>
          </cell>
          <cell r="F28" t="str">
            <v>c</v>
          </cell>
          <cell r="G28">
            <v>0.89999999999999991</v>
          </cell>
          <cell r="H28">
            <v>0.79999999999999982</v>
          </cell>
          <cell r="I28">
            <v>0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>
            <v>0.875</v>
          </cell>
          <cell r="P28" t="str">
            <v>c</v>
          </cell>
          <cell r="Q28" t="str">
            <v>g</v>
          </cell>
          <cell r="R28" t="str">
            <v>c</v>
          </cell>
          <cell r="S28">
            <v>0.89999999999999991</v>
          </cell>
          <cell r="T28">
            <v>0.79999999999999982</v>
          </cell>
          <cell r="AB28">
            <v>39448</v>
          </cell>
          <cell r="AC28"/>
          <cell r="AD28">
            <v>0.875</v>
          </cell>
          <cell r="AE28" t="str">
            <v/>
          </cell>
          <cell r="AF28">
            <v>0.875</v>
          </cell>
          <cell r="AG28" t="str">
            <v/>
          </cell>
          <cell r="AH28" t="str">
            <v/>
          </cell>
          <cell r="AI28" t="e">
            <v>#VALUE!</v>
          </cell>
          <cell r="AJ28"/>
          <cell r="AK28"/>
          <cell r="AL28">
            <v>0.875</v>
          </cell>
          <cell r="AM28" t="str">
            <v/>
          </cell>
          <cell r="AN28">
            <v>0.875</v>
          </cell>
          <cell r="AO28" t="str">
            <v/>
          </cell>
          <cell r="AP28" t="str">
            <v/>
          </cell>
          <cell r="AQ28" t="e">
            <v>#VALUE!</v>
          </cell>
        </row>
        <row r="29">
          <cell r="B29">
            <v>39479</v>
          </cell>
          <cell r="C29">
            <v>0.91578947368421049</v>
          </cell>
          <cell r="D29" t="str">
            <v>g</v>
          </cell>
          <cell r="E29" t="str">
            <v>c</v>
          </cell>
          <cell r="F29" t="str">
            <v>c</v>
          </cell>
          <cell r="G29">
            <v>0.89999999999999991</v>
          </cell>
          <cell r="H29">
            <v>0.79999999999999982</v>
          </cell>
          <cell r="I29">
            <v>0</v>
          </cell>
          <cell r="J29" t="str">
            <v>g</v>
          </cell>
          <cell r="K29" t="str">
            <v>c</v>
          </cell>
          <cell r="L29" t="str">
            <v>c</v>
          </cell>
          <cell r="M29">
            <v>0.06</v>
          </cell>
          <cell r="N29">
            <v>0.02</v>
          </cell>
          <cell r="O29">
            <v>0.88973384030418246</v>
          </cell>
          <cell r="P29" t="str">
            <v>c</v>
          </cell>
          <cell r="Q29" t="str">
            <v>g</v>
          </cell>
          <cell r="R29" t="str">
            <v>c</v>
          </cell>
          <cell r="S29">
            <v>0.89999999999999991</v>
          </cell>
          <cell r="T29">
            <v>0.79999999999999982</v>
          </cell>
          <cell r="AB29">
            <v>39479</v>
          </cell>
          <cell r="AC29"/>
          <cell r="AD29">
            <v>0.91578947368421049</v>
          </cell>
          <cell r="AE29" t="str">
            <v/>
          </cell>
          <cell r="AF29">
            <v>0.91578947368421049</v>
          </cell>
          <cell r="AG29" t="str">
            <v/>
          </cell>
          <cell r="AH29" t="str">
            <v/>
          </cell>
          <cell r="AI29" t="e">
            <v>#VALUE!</v>
          </cell>
          <cell r="AJ29"/>
          <cell r="AK29"/>
          <cell r="AL29">
            <v>0.88973384030418246</v>
          </cell>
          <cell r="AM29" t="str">
            <v/>
          </cell>
          <cell r="AN29">
            <v>0.88973384030418246</v>
          </cell>
          <cell r="AO29" t="str">
            <v/>
          </cell>
          <cell r="AP29" t="str">
            <v/>
          </cell>
          <cell r="AQ29" t="e">
            <v>#VALUE!</v>
          </cell>
        </row>
        <row r="30">
          <cell r="B30">
            <v>39508</v>
          </cell>
          <cell r="C30">
            <v>0.90810810810810816</v>
          </cell>
          <cell r="D30" t="str">
            <v>g</v>
          </cell>
          <cell r="E30" t="str">
            <v>c</v>
          </cell>
          <cell r="F30" t="str">
            <v>c</v>
          </cell>
          <cell r="G30">
            <v>0.90000000000000036</v>
          </cell>
          <cell r="H30">
            <v>0.79999999999999982</v>
          </cell>
          <cell r="I30">
            <v>0</v>
          </cell>
          <cell r="J30" t="str">
            <v>g</v>
          </cell>
          <cell r="K30" t="str">
            <v>c</v>
          </cell>
          <cell r="L30" t="str">
            <v>c</v>
          </cell>
          <cell r="M30">
            <v>0.06</v>
          </cell>
          <cell r="N30">
            <v>0.02</v>
          </cell>
          <cell r="O30">
            <v>0.8973214285714286</v>
          </cell>
          <cell r="P30" t="str">
            <v>c</v>
          </cell>
          <cell r="Q30" t="str">
            <v>g</v>
          </cell>
          <cell r="R30" t="str">
            <v>c</v>
          </cell>
          <cell r="S30">
            <v>0.90000000000000036</v>
          </cell>
          <cell r="T30">
            <v>0.79999999999999982</v>
          </cell>
          <cell r="AB30">
            <v>39508</v>
          </cell>
          <cell r="AC30"/>
          <cell r="AD30">
            <v>0.90810810810810816</v>
          </cell>
          <cell r="AE30" t="str">
            <v/>
          </cell>
          <cell r="AF30">
            <v>0.90810810810810816</v>
          </cell>
          <cell r="AG30" t="str">
            <v/>
          </cell>
          <cell r="AH30" t="str">
            <v/>
          </cell>
          <cell r="AI30" t="e">
            <v>#VALUE!</v>
          </cell>
          <cell r="AJ30"/>
          <cell r="AK30"/>
          <cell r="AL30">
            <v>0.8973214285714286</v>
          </cell>
          <cell r="AM30" t="str">
            <v/>
          </cell>
          <cell r="AN30">
            <v>0.8973214285714286</v>
          </cell>
          <cell r="AO30" t="str">
            <v/>
          </cell>
          <cell r="AP30" t="str">
            <v/>
          </cell>
          <cell r="AQ30" t="e">
            <v>#VALUE!</v>
          </cell>
        </row>
        <row r="31">
          <cell r="B31">
            <v>39539</v>
          </cell>
          <cell r="C31">
            <v>0.89329268292682928</v>
          </cell>
          <cell r="D31" t="str">
            <v>c</v>
          </cell>
          <cell r="E31" t="str">
            <v>g</v>
          </cell>
          <cell r="F31" t="str">
            <v>c</v>
          </cell>
          <cell r="G31">
            <v>0.90000000000000036</v>
          </cell>
          <cell r="H31">
            <v>0.79999999999999982</v>
          </cell>
          <cell r="I31">
            <v>0</v>
          </cell>
          <cell r="J31" t="str">
            <v>g</v>
          </cell>
          <cell r="K31" t="str">
            <v>c</v>
          </cell>
          <cell r="L31" t="str">
            <v>c</v>
          </cell>
          <cell r="M31">
            <v>0.06</v>
          </cell>
          <cell r="N31">
            <v>0.02</v>
          </cell>
          <cell r="O31">
            <v>0.89561855670103097</v>
          </cell>
          <cell r="P31" t="str">
            <v>c</v>
          </cell>
          <cell r="Q31" t="str">
            <v>g</v>
          </cell>
          <cell r="R31" t="str">
            <v>c</v>
          </cell>
          <cell r="S31">
            <v>0.90000000000000036</v>
          </cell>
          <cell r="T31">
            <v>0.79999999999999982</v>
          </cell>
          <cell r="AB31">
            <v>39539</v>
          </cell>
          <cell r="AC31"/>
          <cell r="AD31">
            <v>0.89329268292682928</v>
          </cell>
          <cell r="AE31" t="str">
            <v/>
          </cell>
          <cell r="AF31">
            <v>0.89329268292682928</v>
          </cell>
          <cell r="AG31" t="str">
            <v/>
          </cell>
          <cell r="AH31" t="str">
            <v/>
          </cell>
          <cell r="AI31" t="e">
            <v>#VALUE!</v>
          </cell>
          <cell r="AJ31"/>
          <cell r="AK31"/>
          <cell r="AL31">
            <v>0.89561855670103097</v>
          </cell>
          <cell r="AM31" t="str">
            <v/>
          </cell>
          <cell r="AN31">
            <v>0.89561855670103097</v>
          </cell>
          <cell r="AO31" t="str">
            <v/>
          </cell>
          <cell r="AP31" t="str">
            <v/>
          </cell>
          <cell r="AQ31" t="e">
            <v>#VALUE!</v>
          </cell>
        </row>
        <row r="32">
          <cell r="B32">
            <v>39569</v>
          </cell>
          <cell r="C32">
            <v>0.90960451977401124</v>
          </cell>
          <cell r="D32" t="str">
            <v>g</v>
          </cell>
          <cell r="E32" t="str">
            <v>c</v>
          </cell>
          <cell r="F32" t="str">
            <v>c</v>
          </cell>
          <cell r="G32">
            <v>0.90000000000000036</v>
          </cell>
          <cell r="H32">
            <v>0.79999999999999982</v>
          </cell>
          <cell r="I32">
            <v>0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>
            <v>0.9</v>
          </cell>
          <cell r="P32" t="str">
            <v>c</v>
          </cell>
          <cell r="Q32" t="str">
            <v>g</v>
          </cell>
          <cell r="R32" t="str">
            <v>c</v>
          </cell>
          <cell r="S32">
            <v>0.90000000000000036</v>
          </cell>
          <cell r="T32">
            <v>0.79999999999999982</v>
          </cell>
          <cell r="AB32">
            <v>39569</v>
          </cell>
          <cell r="AC32"/>
          <cell r="AD32">
            <v>0.90960451977401124</v>
          </cell>
          <cell r="AE32" t="str">
            <v/>
          </cell>
          <cell r="AF32">
            <v>0.90960451977401124</v>
          </cell>
          <cell r="AG32" t="str">
            <v/>
          </cell>
          <cell r="AH32" t="str">
            <v/>
          </cell>
          <cell r="AI32" t="e">
            <v>#VALUE!</v>
          </cell>
          <cell r="AJ32"/>
          <cell r="AK32"/>
          <cell r="AL32">
            <v>0.9</v>
          </cell>
          <cell r="AM32" t="str">
            <v/>
          </cell>
          <cell r="AN32">
            <v>0.9</v>
          </cell>
          <cell r="AO32" t="str">
            <v/>
          </cell>
          <cell r="AP32" t="str">
            <v/>
          </cell>
          <cell r="AQ32" t="e">
            <v>#VALUE!</v>
          </cell>
        </row>
        <row r="33">
          <cell r="B33">
            <v>39600</v>
          </cell>
          <cell r="C33">
            <v>0.91758241758241754</v>
          </cell>
          <cell r="D33" t="str">
            <v>g</v>
          </cell>
          <cell r="E33" t="str">
            <v>c</v>
          </cell>
          <cell r="F33" t="str">
            <v>c</v>
          </cell>
          <cell r="G33">
            <v>0.90000000000000036</v>
          </cell>
          <cell r="H33">
            <v>0.79999999999999982</v>
          </cell>
          <cell r="I33">
            <v>0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>
            <v>0.90428380187416335</v>
          </cell>
          <cell r="P33" t="str">
            <v>g</v>
          </cell>
          <cell r="Q33" t="str">
            <v>c</v>
          </cell>
          <cell r="R33" t="str">
            <v>c</v>
          </cell>
          <cell r="S33">
            <v>0.90000000000000036</v>
          </cell>
          <cell r="T33">
            <v>0.79999999999999982</v>
          </cell>
          <cell r="AB33">
            <v>39600</v>
          </cell>
          <cell r="AC33"/>
          <cell r="AD33">
            <v>0.91758241758241754</v>
          </cell>
          <cell r="AE33" t="str">
            <v/>
          </cell>
          <cell r="AF33">
            <v>0.91758241758241754</v>
          </cell>
          <cell r="AG33" t="str">
            <v/>
          </cell>
          <cell r="AH33" t="str">
            <v/>
          </cell>
          <cell r="AI33" t="e">
            <v>#VALUE!</v>
          </cell>
          <cell r="AJ33"/>
          <cell r="AK33"/>
          <cell r="AL33">
            <v>0.90428380187416335</v>
          </cell>
          <cell r="AM33" t="str">
            <v/>
          </cell>
          <cell r="AN33">
            <v>0.90428380187416335</v>
          </cell>
          <cell r="AO33" t="str">
            <v/>
          </cell>
          <cell r="AP33" t="str">
            <v/>
          </cell>
          <cell r="AQ33" t="e">
            <v>#VALUE!</v>
          </cell>
        </row>
        <row r="34">
          <cell r="B34">
            <v>39630</v>
          </cell>
          <cell r="C34">
            <v>0.89572192513368987</v>
          </cell>
          <cell r="D34" t="str">
            <v>c</v>
          </cell>
          <cell r="E34" t="str">
            <v>g</v>
          </cell>
          <cell r="F34" t="str">
            <v>c</v>
          </cell>
          <cell r="G34">
            <v>0.90000000000000036</v>
          </cell>
          <cell r="H34">
            <v>0.79999999999999982</v>
          </cell>
          <cell r="I34">
            <v>0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>
            <v>0.90256959314775165</v>
          </cell>
          <cell r="P34" t="str">
            <v>g</v>
          </cell>
          <cell r="Q34" t="str">
            <v>c</v>
          </cell>
          <cell r="R34" t="str">
            <v>c</v>
          </cell>
          <cell r="S34">
            <v>0.90000000000000036</v>
          </cell>
          <cell r="T34">
            <v>0.79999999999999982</v>
          </cell>
          <cell r="AB34">
            <v>39630</v>
          </cell>
          <cell r="AC34"/>
          <cell r="AD34">
            <v>0.89572192513368987</v>
          </cell>
          <cell r="AE34" t="str">
            <v/>
          </cell>
          <cell r="AF34">
            <v>0.89572192513368987</v>
          </cell>
          <cell r="AG34" t="str">
            <v/>
          </cell>
          <cell r="AH34" t="str">
            <v/>
          </cell>
          <cell r="AI34" t="e">
            <v>#VALUE!</v>
          </cell>
          <cell r="AJ34"/>
          <cell r="AK34"/>
          <cell r="AL34">
            <v>0.90256959314775165</v>
          </cell>
          <cell r="AM34" t="str">
            <v/>
          </cell>
          <cell r="AN34">
            <v>0.90256959314775165</v>
          </cell>
          <cell r="AO34" t="str">
            <v/>
          </cell>
          <cell r="AP34" t="str">
            <v/>
          </cell>
          <cell r="AQ34" t="e">
            <v>#VALUE!</v>
          </cell>
        </row>
        <row r="35">
          <cell r="B35">
            <v>39661</v>
          </cell>
          <cell r="C35">
            <v>0.91935483870967738</v>
          </cell>
          <cell r="D35" t="str">
            <v>g</v>
          </cell>
          <cell r="E35" t="str">
            <v>c</v>
          </cell>
          <cell r="F35" t="str">
            <v>c</v>
          </cell>
          <cell r="G35">
            <v>0.90000000000000036</v>
          </cell>
          <cell r="H35">
            <v>0.79999999999999982</v>
          </cell>
          <cell r="I35">
            <v>0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>
            <v>0.90535714285714286</v>
          </cell>
          <cell r="P35" t="str">
            <v>g</v>
          </cell>
          <cell r="Q35" t="str">
            <v>c</v>
          </cell>
          <cell r="R35" t="str">
            <v>c</v>
          </cell>
          <cell r="S35">
            <v>0.90000000000000036</v>
          </cell>
          <cell r="T35">
            <v>0.79999999999999982</v>
          </cell>
          <cell r="AB35">
            <v>39661</v>
          </cell>
          <cell r="AC35"/>
          <cell r="AD35">
            <v>0.91935483870967738</v>
          </cell>
          <cell r="AE35" t="str">
            <v/>
          </cell>
          <cell r="AF35">
            <v>0.91935483870967738</v>
          </cell>
          <cell r="AG35" t="str">
            <v/>
          </cell>
          <cell r="AH35" t="str">
            <v/>
          </cell>
          <cell r="AI35" t="e">
            <v>#VALUE!</v>
          </cell>
          <cell r="AJ35"/>
          <cell r="AK35"/>
          <cell r="AL35">
            <v>0.90535714285714286</v>
          </cell>
          <cell r="AM35" t="str">
            <v/>
          </cell>
          <cell r="AN35">
            <v>0.90535714285714286</v>
          </cell>
          <cell r="AO35" t="str">
            <v/>
          </cell>
          <cell r="AP35" t="str">
            <v/>
          </cell>
          <cell r="AQ35" t="e">
            <v>#VALUE!</v>
          </cell>
        </row>
        <row r="36">
          <cell r="B36">
            <v>39692</v>
          </cell>
          <cell r="C36">
            <v>0.89017341040462428</v>
          </cell>
          <cell r="D36" t="str">
            <v>c</v>
          </cell>
          <cell r="E36" t="str">
            <v>g</v>
          </cell>
          <cell r="F36" t="str">
            <v>c</v>
          </cell>
          <cell r="G36">
            <v>0.90000000000000036</v>
          </cell>
          <cell r="H36">
            <v>0.80000000000000071</v>
          </cell>
          <cell r="I36">
            <v>0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>
            <v>0.90332559938128387</v>
          </cell>
          <cell r="P36" t="str">
            <v>g</v>
          </cell>
          <cell r="Q36" t="str">
            <v>c</v>
          </cell>
          <cell r="R36" t="str">
            <v>c</v>
          </cell>
          <cell r="S36">
            <v>0.90000000000000036</v>
          </cell>
          <cell r="T36">
            <v>0.80000000000000071</v>
          </cell>
          <cell r="AB36">
            <v>39692</v>
          </cell>
          <cell r="AC36"/>
          <cell r="AD36">
            <v>0.89017341040462428</v>
          </cell>
          <cell r="AE36" t="str">
            <v/>
          </cell>
          <cell r="AF36">
            <v>0.89017341040462428</v>
          </cell>
          <cell r="AG36" t="str">
            <v/>
          </cell>
          <cell r="AH36" t="str">
            <v/>
          </cell>
          <cell r="AI36" t="e">
            <v>#VALUE!</v>
          </cell>
          <cell r="AJ36"/>
          <cell r="AK36"/>
          <cell r="AL36">
            <v>0.90332559938128387</v>
          </cell>
          <cell r="AM36" t="str">
            <v/>
          </cell>
          <cell r="AN36">
            <v>0.90332559938128387</v>
          </cell>
          <cell r="AO36" t="str">
            <v/>
          </cell>
          <cell r="AP36" t="str">
            <v/>
          </cell>
          <cell r="AQ36" t="e">
            <v>#VALUE!</v>
          </cell>
        </row>
        <row r="37">
          <cell r="B37">
            <v>39722</v>
          </cell>
          <cell r="C37">
            <v>0.91711229946524064</v>
          </cell>
          <cell r="D37" t="str">
            <v>g</v>
          </cell>
          <cell r="E37" t="str">
            <v>c</v>
          </cell>
          <cell r="F37" t="str">
            <v>c</v>
          </cell>
          <cell r="G37">
            <v>0.90000000000000036</v>
          </cell>
          <cell r="H37">
            <v>0.80000000000000071</v>
          </cell>
          <cell r="I37">
            <v>0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>
            <v>0.90506756756756757</v>
          </cell>
          <cell r="P37" t="str">
            <v>g</v>
          </cell>
          <cell r="Q37" t="str">
            <v>c</v>
          </cell>
          <cell r="R37" t="str">
            <v>c</v>
          </cell>
          <cell r="S37">
            <v>0.90000000000000036</v>
          </cell>
          <cell r="T37">
            <v>0.80000000000000071</v>
          </cell>
          <cell r="AB37">
            <v>39722</v>
          </cell>
          <cell r="AC37">
            <v>0.86187845303867405</v>
          </cell>
          <cell r="AD37">
            <v>0.91711229946524064</v>
          </cell>
          <cell r="AE37" t="str">
            <v/>
          </cell>
          <cell r="AF37">
            <v>5.5233846426566591E-2</v>
          </cell>
          <cell r="AG37">
            <v>6.40854243795419E-2</v>
          </cell>
          <cell r="AH37" t="str">
            <v/>
          </cell>
          <cell r="AI37" t="e">
            <v>#VALUE!</v>
          </cell>
          <cell r="AJ37"/>
          <cell r="AK37">
            <v>0.86187845303867405</v>
          </cell>
          <cell r="AL37">
            <v>0.90506756756756757</v>
          </cell>
          <cell r="AM37" t="str">
            <v/>
          </cell>
          <cell r="AN37">
            <v>4.3189114528893513E-2</v>
          </cell>
          <cell r="AO37">
            <v>5.0110446985446977E-2</v>
          </cell>
          <cell r="AP37" t="str">
            <v/>
          </cell>
          <cell r="AQ37" t="e">
            <v>#VALUE!</v>
          </cell>
        </row>
        <row r="38">
          <cell r="B38">
            <v>39753</v>
          </cell>
          <cell r="C38">
            <v>0.97802197802197799</v>
          </cell>
          <cell r="D38" t="str">
            <v>g</v>
          </cell>
          <cell r="E38" t="str">
            <v>c</v>
          </cell>
          <cell r="F38" t="str">
            <v>c</v>
          </cell>
          <cell r="G38">
            <v>0.90000000000000036</v>
          </cell>
          <cell r="H38">
            <v>0.80000000000000071</v>
          </cell>
          <cell r="I38">
            <v>0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>
            <v>0.90929344366645448</v>
          </cell>
          <cell r="P38" t="str">
            <v>g</v>
          </cell>
          <cell r="Q38" t="str">
            <v>c</v>
          </cell>
          <cell r="R38" t="str">
            <v>c</v>
          </cell>
          <cell r="S38">
            <v>0.90000000000000036</v>
          </cell>
          <cell r="T38">
            <v>0.80000000000000071</v>
          </cell>
          <cell r="AB38">
            <v>39753</v>
          </cell>
          <cell r="AC38">
            <v>0.83163265306122447</v>
          </cell>
          <cell r="AD38">
            <v>0.97802197802197799</v>
          </cell>
          <cell r="AE38" t="str">
            <v/>
          </cell>
          <cell r="AF38">
            <v>0.14638932496075352</v>
          </cell>
          <cell r="AG38">
            <v>0.17602642756016995</v>
          </cell>
          <cell r="AH38" t="str">
            <v/>
          </cell>
          <cell r="AI38" t="e">
            <v>#VALUE!</v>
          </cell>
          <cell r="AJ38"/>
          <cell r="AK38">
            <v>0.84615384615384615</v>
          </cell>
          <cell r="AL38">
            <v>0.90929344366645448</v>
          </cell>
          <cell r="AM38" t="str">
            <v/>
          </cell>
          <cell r="AN38">
            <v>6.3139597512608336E-2</v>
          </cell>
          <cell r="AO38">
            <v>7.4619524333082499E-2</v>
          </cell>
          <cell r="AP38" t="str">
            <v/>
          </cell>
          <cell r="AQ38" t="e">
            <v>#VALUE!</v>
          </cell>
        </row>
        <row r="39">
          <cell r="B39">
            <v>39783</v>
          </cell>
          <cell r="C39">
            <v>0.97115384615384615</v>
          </cell>
          <cell r="D39" t="str">
            <v>g</v>
          </cell>
          <cell r="E39" t="str">
            <v>c</v>
          </cell>
          <cell r="F39" t="str">
            <v>c</v>
          </cell>
          <cell r="G39">
            <v>0.90000000000000036</v>
          </cell>
          <cell r="H39">
            <v>0.80000000000000071</v>
          </cell>
          <cell r="I39">
            <v>0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>
            <v>0.91313432835820896</v>
          </cell>
          <cell r="P39" t="str">
            <v>g</v>
          </cell>
          <cell r="Q39" t="str">
            <v>c</v>
          </cell>
          <cell r="R39" t="str">
            <v>c</v>
          </cell>
          <cell r="S39">
            <v>0.90000000000000036</v>
          </cell>
          <cell r="T39">
            <v>0.80000000000000071</v>
          </cell>
          <cell r="AB39">
            <v>39783</v>
          </cell>
          <cell r="AC39">
            <v>0.60312500000000002</v>
          </cell>
          <cell r="AD39">
            <v>0.97115384615384615</v>
          </cell>
          <cell r="AE39" t="str">
            <v/>
          </cell>
          <cell r="AF39">
            <v>0.36802884615384612</v>
          </cell>
          <cell r="AG39">
            <v>0.61020326823435633</v>
          </cell>
          <cell r="AH39" t="str">
            <v/>
          </cell>
          <cell r="AI39" t="e">
            <v>#VALUE!</v>
          </cell>
          <cell r="AJ39"/>
          <cell r="AK39">
            <v>0.73457675753228124</v>
          </cell>
          <cell r="AL39">
            <v>0.91313432835820896</v>
          </cell>
          <cell r="AM39" t="str">
            <v/>
          </cell>
          <cell r="AN39">
            <v>0.17855757082592771</v>
          </cell>
          <cell r="AO39">
            <v>0.24307544309701479</v>
          </cell>
          <cell r="AP39" t="str">
            <v/>
          </cell>
          <cell r="AQ39" t="e">
            <v>#VALUE!</v>
          </cell>
        </row>
        <row r="40">
          <cell r="B40">
            <v>39814</v>
          </cell>
          <cell r="C40" t="str">
            <v/>
          </cell>
          <cell r="D40" t="str">
            <v/>
          </cell>
          <cell r="E40" t="str">
            <v/>
          </cell>
          <cell r="F40" t="str">
            <v/>
          </cell>
          <cell r="G40" t="str">
            <v/>
          </cell>
          <cell r="H40" t="str">
            <v/>
          </cell>
          <cell r="I40" t="e">
            <v>#DIV/0!</v>
          </cell>
          <cell r="J40" t="e">
            <v>#DIV/0!</v>
          </cell>
          <cell r="K40" t="e">
            <v>#DIV/0!</v>
          </cell>
          <cell r="L40" t="e">
            <v>#DIV/0!</v>
          </cell>
          <cell r="M40" t="e">
            <v>#N/A</v>
          </cell>
          <cell r="N40" t="e">
            <v>#N/A</v>
          </cell>
          <cell r="O40" t="str">
            <v/>
          </cell>
          <cell r="P40" t="str">
            <v/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AB40">
            <v>39814</v>
          </cell>
          <cell r="AC40">
            <v>0.875</v>
          </cell>
          <cell r="AD40" t="str">
            <v/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 t="str">
            <v/>
          </cell>
          <cell r="AJ40"/>
          <cell r="AK40">
            <v>0.875</v>
          </cell>
          <cell r="AL40" t="str">
            <v/>
          </cell>
          <cell r="AM40" t="str">
            <v/>
          </cell>
          <cell r="AN40" t="str">
            <v/>
          </cell>
          <cell r="AO40" t="str">
            <v/>
          </cell>
          <cell r="AP40" t="str">
            <v/>
          </cell>
          <cell r="AQ40" t="str">
            <v/>
          </cell>
        </row>
        <row r="41">
          <cell r="B41">
            <v>39845</v>
          </cell>
          <cell r="C41" t="str">
            <v/>
          </cell>
          <cell r="D41" t="str">
            <v/>
          </cell>
          <cell r="E41" t="str">
            <v/>
          </cell>
          <cell r="F41" t="str">
            <v/>
          </cell>
          <cell r="G41" t="str">
            <v/>
          </cell>
          <cell r="H41" t="str">
            <v/>
          </cell>
          <cell r="I41" t="e">
            <v>#DIV/0!</v>
          </cell>
          <cell r="J41" t="e">
            <v>#DIV/0!</v>
          </cell>
          <cell r="K41" t="e">
            <v>#DIV/0!</v>
          </cell>
          <cell r="L41" t="e">
            <v>#DIV/0!</v>
          </cell>
          <cell r="M41" t="e">
            <v>#N/A</v>
          </cell>
          <cell r="N41" t="e">
            <v>#N/A</v>
          </cell>
          <cell r="O41" t="str">
            <v/>
          </cell>
          <cell r="P41" t="str">
            <v/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AB41">
            <v>39845</v>
          </cell>
          <cell r="AC41">
            <v>0.91578947368421049</v>
          </cell>
          <cell r="AD41" t="str">
            <v/>
          </cell>
          <cell r="AE41" t="str">
            <v/>
          </cell>
          <cell r="AF41" t="str">
            <v/>
          </cell>
          <cell r="AG41" t="str">
            <v/>
          </cell>
          <cell r="AH41" t="str">
            <v/>
          </cell>
          <cell r="AI41" t="str">
            <v/>
          </cell>
          <cell r="AJ41"/>
          <cell r="AK41">
            <v>0.88973384030418246</v>
          </cell>
          <cell r="AL41" t="str">
            <v/>
          </cell>
          <cell r="AM41" t="str">
            <v/>
          </cell>
          <cell r="AN41" t="str">
            <v/>
          </cell>
          <cell r="AO41" t="str">
            <v/>
          </cell>
          <cell r="AP41" t="str">
            <v/>
          </cell>
          <cell r="AQ41" t="str">
            <v/>
          </cell>
        </row>
        <row r="42">
          <cell r="B42">
            <v>39873</v>
          </cell>
          <cell r="C42" t="str">
            <v/>
          </cell>
          <cell r="D42" t="str">
            <v/>
          </cell>
          <cell r="E42" t="str">
            <v/>
          </cell>
          <cell r="F42" t="str">
            <v/>
          </cell>
          <cell r="G42" t="str">
            <v/>
          </cell>
          <cell r="H42" t="str">
            <v/>
          </cell>
          <cell r="I42" t="e">
            <v>#DIV/0!</v>
          </cell>
          <cell r="J42" t="e">
            <v>#DIV/0!</v>
          </cell>
          <cell r="K42" t="e">
            <v>#DIV/0!</v>
          </cell>
          <cell r="L42" t="e">
            <v>#DIV/0!</v>
          </cell>
          <cell r="M42" t="e">
            <v>#N/A</v>
          </cell>
          <cell r="N42" t="e">
            <v>#N/A</v>
          </cell>
          <cell r="O42" t="str">
            <v/>
          </cell>
          <cell r="P42" t="str">
            <v/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AB42">
            <v>39873</v>
          </cell>
          <cell r="AC42">
            <v>0.90810810810810816</v>
          </cell>
          <cell r="AD42" t="str">
            <v/>
          </cell>
          <cell r="AE42" t="str">
            <v/>
          </cell>
          <cell r="AF42" t="str">
            <v/>
          </cell>
          <cell r="AG42" t="str">
            <v/>
          </cell>
          <cell r="AH42" t="str">
            <v/>
          </cell>
          <cell r="AI42" t="str">
            <v/>
          </cell>
          <cell r="AJ42"/>
          <cell r="AK42">
            <v>0.8973214285714286</v>
          </cell>
          <cell r="AL42" t="str">
            <v/>
          </cell>
          <cell r="AM42" t="str">
            <v/>
          </cell>
          <cell r="AN42" t="str">
            <v/>
          </cell>
          <cell r="AO42" t="str">
            <v/>
          </cell>
          <cell r="AP42" t="str">
            <v/>
          </cell>
          <cell r="AQ42" t="str">
            <v/>
          </cell>
        </row>
        <row r="43">
          <cell r="B43">
            <v>39904</v>
          </cell>
          <cell r="C43" t="str">
            <v/>
          </cell>
          <cell r="D43" t="str">
            <v/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e">
            <v>#DIV/0!</v>
          </cell>
          <cell r="J43" t="e">
            <v>#DIV/0!</v>
          </cell>
          <cell r="K43" t="e">
            <v>#DIV/0!</v>
          </cell>
          <cell r="L43" t="e">
            <v>#DIV/0!</v>
          </cell>
          <cell r="M43" t="e">
            <v>#N/A</v>
          </cell>
          <cell r="N43" t="e">
            <v>#N/A</v>
          </cell>
          <cell r="O43" t="str">
            <v/>
          </cell>
          <cell r="P43" t="str">
            <v/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AB43">
            <v>39904</v>
          </cell>
          <cell r="AC43">
            <v>0.89329268292682928</v>
          </cell>
          <cell r="AD43" t="str">
            <v/>
          </cell>
          <cell r="AE43" t="str">
            <v/>
          </cell>
          <cell r="AF43" t="str">
            <v/>
          </cell>
          <cell r="AG43" t="str">
            <v/>
          </cell>
          <cell r="AH43" t="str">
            <v/>
          </cell>
          <cell r="AI43" t="str">
            <v/>
          </cell>
          <cell r="AJ43"/>
          <cell r="AK43">
            <v>0.89561855670103097</v>
          </cell>
          <cell r="AL43" t="str">
            <v/>
          </cell>
          <cell r="AM43" t="str">
            <v/>
          </cell>
          <cell r="AN43" t="str">
            <v/>
          </cell>
          <cell r="AO43" t="str">
            <v/>
          </cell>
          <cell r="AP43" t="str">
            <v/>
          </cell>
          <cell r="AQ43" t="str">
            <v/>
          </cell>
        </row>
        <row r="44">
          <cell r="B44">
            <v>39934</v>
          </cell>
          <cell r="C44" t="str">
            <v/>
          </cell>
          <cell r="D44" t="str">
            <v/>
          </cell>
          <cell r="E44" t="str">
            <v/>
          </cell>
          <cell r="F44" t="str">
            <v/>
          </cell>
          <cell r="G44" t="str">
            <v/>
          </cell>
          <cell r="H44" t="str">
            <v/>
          </cell>
          <cell r="I44" t="e">
            <v>#DIV/0!</v>
          </cell>
          <cell r="J44" t="e">
            <v>#DIV/0!</v>
          </cell>
          <cell r="K44" t="e">
            <v>#DIV/0!</v>
          </cell>
          <cell r="L44" t="e">
            <v>#DIV/0!</v>
          </cell>
          <cell r="M44" t="e">
            <v>#N/A</v>
          </cell>
          <cell r="N44" t="e">
            <v>#N/A</v>
          </cell>
          <cell r="O44" t="str">
            <v/>
          </cell>
          <cell r="P44" t="str">
            <v/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AB44">
            <v>39934</v>
          </cell>
          <cell r="AC44">
            <v>0.90960451977401124</v>
          </cell>
          <cell r="AD44" t="str">
            <v/>
          </cell>
          <cell r="AE44" t="str">
            <v/>
          </cell>
          <cell r="AF44" t="str">
            <v/>
          </cell>
          <cell r="AG44" t="str">
            <v/>
          </cell>
          <cell r="AH44" t="str">
            <v/>
          </cell>
          <cell r="AI44" t="str">
            <v/>
          </cell>
          <cell r="AJ44"/>
          <cell r="AK44">
            <v>0.9</v>
          </cell>
          <cell r="AL44" t="str">
            <v/>
          </cell>
          <cell r="AM44" t="str">
            <v/>
          </cell>
          <cell r="AN44" t="str">
            <v/>
          </cell>
          <cell r="AO44" t="str">
            <v/>
          </cell>
          <cell r="AP44" t="str">
            <v/>
          </cell>
          <cell r="AQ44" t="str">
            <v/>
          </cell>
        </row>
        <row r="45">
          <cell r="B45">
            <v>39965</v>
          </cell>
          <cell r="C45" t="str">
            <v/>
          </cell>
          <cell r="D45" t="str">
            <v/>
          </cell>
          <cell r="E45" t="str">
            <v/>
          </cell>
          <cell r="F45" t="str">
            <v/>
          </cell>
          <cell r="G45" t="str">
            <v/>
          </cell>
          <cell r="H45" t="str">
            <v/>
          </cell>
          <cell r="I45" t="e">
            <v>#DIV/0!</v>
          </cell>
          <cell r="J45" t="e">
            <v>#DIV/0!</v>
          </cell>
          <cell r="K45" t="e">
            <v>#DIV/0!</v>
          </cell>
          <cell r="L45" t="e">
            <v>#DIV/0!</v>
          </cell>
          <cell r="M45" t="e">
            <v>#N/A</v>
          </cell>
          <cell r="N45" t="e">
            <v>#N/A</v>
          </cell>
          <cell r="O45" t="str">
            <v/>
          </cell>
          <cell r="P45" t="str">
            <v/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AB45">
            <v>39965</v>
          </cell>
          <cell r="AC45">
            <v>0.91758241758241754</v>
          </cell>
          <cell r="AD45" t="str">
            <v/>
          </cell>
          <cell r="AE45" t="str">
            <v/>
          </cell>
          <cell r="AF45" t="str">
            <v/>
          </cell>
          <cell r="AG45" t="str">
            <v/>
          </cell>
          <cell r="AH45" t="str">
            <v/>
          </cell>
          <cell r="AI45" t="str">
            <v/>
          </cell>
          <cell r="AJ45"/>
          <cell r="AK45">
            <v>0.90428380187416335</v>
          </cell>
          <cell r="AL45" t="str">
            <v/>
          </cell>
          <cell r="AM45" t="str">
            <v/>
          </cell>
          <cell r="AN45" t="str">
            <v/>
          </cell>
          <cell r="AO45" t="str">
            <v/>
          </cell>
          <cell r="AP45" t="str">
            <v/>
          </cell>
          <cell r="AQ45" t="str">
            <v/>
          </cell>
        </row>
        <row r="46">
          <cell r="B46">
            <v>39995</v>
          </cell>
          <cell r="C46" t="str">
            <v/>
          </cell>
          <cell r="D46" t="str">
            <v/>
          </cell>
          <cell r="E46" t="str">
            <v/>
          </cell>
          <cell r="F46" t="str">
            <v/>
          </cell>
          <cell r="G46" t="str">
            <v/>
          </cell>
          <cell r="H46" t="str">
            <v/>
          </cell>
          <cell r="I46" t="e">
            <v>#DIV/0!</v>
          </cell>
          <cell r="J46" t="e">
            <v>#DIV/0!</v>
          </cell>
          <cell r="K46" t="e">
            <v>#DIV/0!</v>
          </cell>
          <cell r="L46" t="e">
            <v>#DIV/0!</v>
          </cell>
          <cell r="M46" t="e">
            <v>#N/A</v>
          </cell>
          <cell r="N46" t="e">
            <v>#N/A</v>
          </cell>
          <cell r="O46" t="str">
            <v/>
          </cell>
          <cell r="P46" t="str">
            <v/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AB46">
            <v>39995</v>
          </cell>
          <cell r="AC46">
            <v>0.89572192513368987</v>
          </cell>
          <cell r="AD46" t="str">
            <v/>
          </cell>
          <cell r="AE46" t="str">
            <v/>
          </cell>
          <cell r="AF46" t="str">
            <v/>
          </cell>
          <cell r="AG46" t="str">
            <v/>
          </cell>
          <cell r="AH46" t="str">
            <v/>
          </cell>
          <cell r="AI46" t="str">
            <v/>
          </cell>
          <cell r="AJ46"/>
          <cell r="AK46">
            <v>0.90256959314775165</v>
          </cell>
          <cell r="AL46" t="str">
            <v/>
          </cell>
          <cell r="AM46" t="str">
            <v/>
          </cell>
          <cell r="AN46" t="str">
            <v/>
          </cell>
          <cell r="AO46" t="str">
            <v/>
          </cell>
          <cell r="AP46" t="str">
            <v/>
          </cell>
          <cell r="AQ46" t="str">
            <v/>
          </cell>
        </row>
        <row r="47">
          <cell r="AB47">
            <v>40026</v>
          </cell>
          <cell r="AC47">
            <v>0.91935483870967738</v>
          </cell>
          <cell r="AD47" t="str">
            <v/>
          </cell>
          <cell r="AE47" t="str">
            <v/>
          </cell>
          <cell r="AF47" t="str">
            <v/>
          </cell>
          <cell r="AG47" t="str">
            <v/>
          </cell>
          <cell r="AH47" t="str">
            <v/>
          </cell>
          <cell r="AI47" t="str">
            <v/>
          </cell>
          <cell r="AJ47"/>
          <cell r="AK47">
            <v>0.90535714285714286</v>
          </cell>
          <cell r="AL47" t="str">
            <v/>
          </cell>
          <cell r="AM47" t="str">
            <v/>
          </cell>
          <cell r="AN47" t="str">
            <v/>
          </cell>
          <cell r="AO47" t="str">
            <v/>
          </cell>
          <cell r="AP47" t="str">
            <v/>
          </cell>
          <cell r="AQ47" t="str">
            <v/>
          </cell>
        </row>
        <row r="48">
          <cell r="AB48">
            <v>40057</v>
          </cell>
          <cell r="AC48">
            <v>0.89017341040462428</v>
          </cell>
          <cell r="AD48" t="str">
            <v/>
          </cell>
          <cell r="AE48" t="str">
            <v/>
          </cell>
          <cell r="AF48" t="str">
            <v/>
          </cell>
          <cell r="AG48" t="str">
            <v/>
          </cell>
          <cell r="AH48" t="str">
            <v/>
          </cell>
          <cell r="AI48" t="str">
            <v/>
          </cell>
          <cell r="AJ48"/>
          <cell r="AK48">
            <v>0.90332559938128387</v>
          </cell>
          <cell r="AL48" t="str">
            <v/>
          </cell>
          <cell r="AM48" t="str">
            <v/>
          </cell>
          <cell r="AN48" t="str">
            <v/>
          </cell>
          <cell r="AO48" t="str">
            <v/>
          </cell>
          <cell r="AP48" t="str">
            <v/>
          </cell>
          <cell r="AQ48" t="str">
            <v/>
          </cell>
        </row>
        <row r="49">
          <cell r="AB49">
            <v>40087</v>
          </cell>
          <cell r="AC49">
            <v>0.91711229946524064</v>
          </cell>
          <cell r="AD49" t="str">
            <v/>
          </cell>
          <cell r="AE49" t="str">
            <v/>
          </cell>
          <cell r="AF49" t="str">
            <v/>
          </cell>
          <cell r="AG49" t="str">
            <v/>
          </cell>
          <cell r="AH49" t="str">
            <v/>
          </cell>
          <cell r="AI49" t="str">
            <v/>
          </cell>
          <cell r="AJ49"/>
          <cell r="AK49">
            <v>0.90506756756756757</v>
          </cell>
          <cell r="AL49" t="str">
            <v/>
          </cell>
          <cell r="AM49" t="str">
            <v/>
          </cell>
          <cell r="AN49" t="str">
            <v/>
          </cell>
          <cell r="AO49" t="str">
            <v/>
          </cell>
          <cell r="AP49" t="str">
            <v/>
          </cell>
          <cell r="AQ49" t="str">
            <v/>
          </cell>
        </row>
      </sheetData>
      <sheetData sheetId="33">
        <row r="13">
          <cell r="B13"/>
          <cell r="C13"/>
          <cell r="D13"/>
          <cell r="E13" t="str">
            <v>Mensual</v>
          </cell>
          <cell r="F13"/>
          <cell r="G13"/>
          <cell r="H13"/>
          <cell r="I13"/>
          <cell r="J13"/>
          <cell r="K13" t="str">
            <v>Acumulado</v>
          </cell>
          <cell r="L13"/>
          <cell r="M13"/>
          <cell r="N13"/>
          <cell r="O13"/>
          <cell r="P13"/>
          <cell r="Q13"/>
          <cell r="R13"/>
          <cell r="S13"/>
          <cell r="U13"/>
          <cell r="V13"/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</row>
        <row r="14">
          <cell r="B14"/>
          <cell r="C14"/>
          <cell r="D14"/>
          <cell r="E14" t="str">
            <v>%</v>
          </cell>
          <cell r="F14" t="str">
            <v>Ordenes Perfectas</v>
          </cell>
          <cell r="G14"/>
          <cell r="H14"/>
          <cell r="I14"/>
          <cell r="J14"/>
          <cell r="K14" t="str">
            <v>%</v>
          </cell>
          <cell r="L14" t="str">
            <v>Acum. Ordenes Perfectas</v>
          </cell>
          <cell r="M14"/>
          <cell r="N14"/>
          <cell r="O14"/>
          <cell r="P14"/>
          <cell r="Q14"/>
          <cell r="R14"/>
          <cell r="S14"/>
          <cell r="T14" t="str">
            <v>Avance Ordenes Perfectas</v>
          </cell>
          <cell r="U14"/>
          <cell r="V14"/>
          <cell r="W14" t="str">
            <v>Var 1.</v>
          </cell>
          <cell r="X14"/>
          <cell r="Y14" t="str">
            <v>Var. 2</v>
          </cell>
          <cell r="Z14"/>
          <cell r="AA14"/>
          <cell r="AB14" t="str">
            <v>Cumplimiento Proyectado  TM</v>
          </cell>
          <cell r="AC14"/>
          <cell r="AD14"/>
          <cell r="AE14" t="str">
            <v>Var 1.</v>
          </cell>
          <cell r="AF14"/>
          <cell r="AG14" t="str">
            <v>Var. 2</v>
          </cell>
          <cell r="AH14"/>
          <cell r="AI14"/>
          <cell r="AJ14" t="str">
            <v>Acum. Ordenes Perfectas</v>
          </cell>
          <cell r="AK14"/>
          <cell r="AL14"/>
          <cell r="AM14" t="str">
            <v>Var 1.</v>
          </cell>
          <cell r="AN14"/>
          <cell r="AO14" t="str">
            <v>Var. 2</v>
          </cell>
          <cell r="AP14"/>
          <cell r="AQ14" t="str">
            <v>Acumula</v>
          </cell>
          <cell r="AR14"/>
        </row>
        <row r="15">
          <cell r="B15"/>
          <cell r="C15" t="str">
            <v>Fecha</v>
          </cell>
          <cell r="D15" t="str">
            <v>TIPO2</v>
          </cell>
          <cell r="E15"/>
          <cell r="F15" t="str">
            <v>Performance</v>
          </cell>
          <cell r="G15"/>
          <cell r="H15"/>
          <cell r="I15" t="str">
            <v>Sup</v>
          </cell>
          <cell r="J15" t="str">
            <v>Inf</v>
          </cell>
          <cell r="K15"/>
          <cell r="L15" t="str">
            <v>Performance</v>
          </cell>
          <cell r="M15"/>
          <cell r="N15"/>
          <cell r="O15" t="str">
            <v>Sup</v>
          </cell>
          <cell r="P15" t="str">
            <v>Inf</v>
          </cell>
          <cell r="Q15"/>
          <cell r="R15" t="str">
            <v>Fecha</v>
          </cell>
          <cell r="S15" t="str">
            <v>TIPO2</v>
          </cell>
          <cell r="T15" t="str">
            <v>Anteriores</v>
          </cell>
          <cell r="U15" t="str">
            <v>Real</v>
          </cell>
          <cell r="V15" t="str">
            <v>Programado</v>
          </cell>
          <cell r="W15" t="str">
            <v>Unidades</v>
          </cell>
          <cell r="X15" t="str">
            <v>%</v>
          </cell>
          <cell r="Y15" t="str">
            <v>Unidades</v>
          </cell>
          <cell r="Z15" t="str">
            <v>%</v>
          </cell>
          <cell r="AA15"/>
          <cell r="AB15" t="str">
            <v>Anteriores</v>
          </cell>
          <cell r="AC15" t="str">
            <v>Real</v>
          </cell>
          <cell r="AD15" t="str">
            <v>Inicial</v>
          </cell>
          <cell r="AE15" t="str">
            <v>Unidades</v>
          </cell>
          <cell r="AF15" t="str">
            <v>%</v>
          </cell>
          <cell r="AG15" t="str">
            <v>Unidades</v>
          </cell>
          <cell r="AH15" t="str">
            <v>%</v>
          </cell>
          <cell r="AI15"/>
          <cell r="AJ15" t="str">
            <v>Anterior</v>
          </cell>
          <cell r="AK15" t="str">
            <v>Real</v>
          </cell>
          <cell r="AL15" t="str">
            <v>Programado</v>
          </cell>
          <cell r="AM15" t="str">
            <v>Unidades</v>
          </cell>
          <cell r="AN15" t="str">
            <v>%</v>
          </cell>
          <cell r="AO15" t="str">
            <v>Unidades</v>
          </cell>
          <cell r="AP15" t="str">
            <v>%</v>
          </cell>
          <cell r="AQ15" t="str">
            <v>PPTO</v>
          </cell>
          <cell r="AR15" t="str">
            <v>Avance</v>
          </cell>
        </row>
        <row r="16">
          <cell r="B16">
            <v>39083</v>
          </cell>
          <cell r="C16"/>
          <cell r="D16" t="str">
            <v>TOTAL</v>
          </cell>
          <cell r="E16"/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 t="str">
            <v/>
          </cell>
          <cell r="K16"/>
          <cell r="L16" t="str">
            <v/>
          </cell>
          <cell r="M16" t="str">
            <v/>
          </cell>
          <cell r="N16" t="str">
            <v/>
          </cell>
          <cell r="O16" t="str">
            <v/>
          </cell>
          <cell r="P16" t="e">
            <v>#N/A</v>
          </cell>
          <cell r="Q16"/>
          <cell r="R16">
            <v>39083</v>
          </cell>
          <cell r="S16" t="str">
            <v>TOTAL</v>
          </cell>
          <cell r="T16"/>
          <cell r="U16">
            <v>0</v>
          </cell>
          <cell r="V16" t="str">
            <v/>
          </cell>
          <cell r="W16">
            <v>0</v>
          </cell>
          <cell r="X16"/>
          <cell r="Y16" t="str">
            <v/>
          </cell>
          <cell r="Z16" t="str">
            <v/>
          </cell>
          <cell r="AA16"/>
          <cell r="AB16"/>
          <cell r="AC16" t="str">
            <v/>
          </cell>
          <cell r="AD16" t="str">
            <v/>
          </cell>
          <cell r="AE16" t="str">
            <v/>
          </cell>
          <cell r="AF16" t="str">
            <v/>
          </cell>
          <cell r="AG16" t="str">
            <v/>
          </cell>
          <cell r="AH16" t="str">
            <v/>
          </cell>
          <cell r="AI16"/>
          <cell r="AJ16"/>
          <cell r="AK16">
            <v>0</v>
          </cell>
          <cell r="AL16" t="str">
            <v/>
          </cell>
          <cell r="AM16">
            <v>0</v>
          </cell>
          <cell r="AN16"/>
          <cell r="AO16" t="str">
            <v/>
          </cell>
          <cell r="AP16" t="str">
            <v/>
          </cell>
          <cell r="AQ16">
            <v>0</v>
          </cell>
          <cell r="AR16" t="str">
            <v/>
          </cell>
        </row>
        <row r="17">
          <cell r="B17">
            <v>39114</v>
          </cell>
          <cell r="C17"/>
          <cell r="D17" t="str">
            <v>TOTAL</v>
          </cell>
          <cell r="E17"/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  <cell r="J17" t="str">
            <v/>
          </cell>
          <cell r="K17"/>
          <cell r="L17" t="str">
            <v/>
          </cell>
          <cell r="M17" t="str">
            <v/>
          </cell>
          <cell r="N17" t="str">
            <v/>
          </cell>
          <cell r="O17" t="str">
            <v/>
          </cell>
          <cell r="P17" t="str">
            <v/>
          </cell>
          <cell r="Q17"/>
          <cell r="R17">
            <v>39114</v>
          </cell>
          <cell r="S17" t="str">
            <v>TOTAL</v>
          </cell>
          <cell r="T17"/>
          <cell r="U17">
            <v>0</v>
          </cell>
          <cell r="V17" t="str">
            <v/>
          </cell>
          <cell r="W17">
            <v>0</v>
          </cell>
          <cell r="X17"/>
          <cell r="Y17" t="str">
            <v/>
          </cell>
          <cell r="Z17" t="str">
            <v/>
          </cell>
          <cell r="AA17"/>
          <cell r="AB17"/>
          <cell r="AC17" t="str">
            <v/>
          </cell>
          <cell r="AD17" t="str">
            <v/>
          </cell>
          <cell r="AE17" t="str">
            <v/>
          </cell>
          <cell r="AF17" t="str">
            <v/>
          </cell>
          <cell r="AG17" t="str">
            <v/>
          </cell>
          <cell r="AH17" t="str">
            <v/>
          </cell>
          <cell r="AI17"/>
          <cell r="AJ17"/>
          <cell r="AK17">
            <v>0</v>
          </cell>
          <cell r="AL17" t="str">
            <v/>
          </cell>
          <cell r="AM17">
            <v>0</v>
          </cell>
          <cell r="AN17"/>
          <cell r="AO17" t="str">
            <v/>
          </cell>
          <cell r="AP17" t="str">
            <v/>
          </cell>
          <cell r="AQ17">
            <v>0</v>
          </cell>
          <cell r="AR17" t="str">
            <v/>
          </cell>
        </row>
        <row r="18">
          <cell r="B18">
            <v>39142</v>
          </cell>
          <cell r="C18"/>
          <cell r="D18" t="str">
            <v>TOTAL</v>
          </cell>
          <cell r="E18"/>
          <cell r="F18" t="str">
            <v/>
          </cell>
          <cell r="G18" t="str">
            <v/>
          </cell>
          <cell r="H18" t="str">
            <v/>
          </cell>
          <cell r="I18" t="str">
            <v/>
          </cell>
          <cell r="J18" t="str">
            <v/>
          </cell>
          <cell r="K18"/>
          <cell r="L18" t="str">
            <v/>
          </cell>
          <cell r="M18" t="str">
            <v/>
          </cell>
          <cell r="N18" t="str">
            <v/>
          </cell>
          <cell r="O18" t="str">
            <v/>
          </cell>
          <cell r="P18" t="str">
            <v/>
          </cell>
          <cell r="Q18"/>
          <cell r="R18">
            <v>39142</v>
          </cell>
          <cell r="S18" t="str">
            <v>TOTAL</v>
          </cell>
          <cell r="T18"/>
          <cell r="U18">
            <v>0</v>
          </cell>
          <cell r="V18" t="str">
            <v/>
          </cell>
          <cell r="W18">
            <v>0</v>
          </cell>
          <cell r="X18"/>
          <cell r="Y18" t="str">
            <v/>
          </cell>
          <cell r="Z18" t="str">
            <v/>
          </cell>
          <cell r="AA18"/>
          <cell r="AB18"/>
          <cell r="AC18" t="str">
            <v/>
          </cell>
          <cell r="AD18" t="str">
            <v/>
          </cell>
          <cell r="AE18" t="str">
            <v/>
          </cell>
          <cell r="AF18" t="str">
            <v/>
          </cell>
          <cell r="AG18" t="str">
            <v/>
          </cell>
          <cell r="AH18" t="str">
            <v/>
          </cell>
          <cell r="AI18"/>
          <cell r="AJ18"/>
          <cell r="AK18">
            <v>0</v>
          </cell>
          <cell r="AL18" t="str">
            <v/>
          </cell>
          <cell r="AM18">
            <v>0</v>
          </cell>
          <cell r="AN18"/>
          <cell r="AO18" t="str">
            <v/>
          </cell>
          <cell r="AP18" t="str">
            <v/>
          </cell>
          <cell r="AQ18">
            <v>0</v>
          </cell>
          <cell r="AR18" t="str">
            <v/>
          </cell>
        </row>
        <row r="19">
          <cell r="B19">
            <v>39173</v>
          </cell>
          <cell r="C19"/>
          <cell r="D19" t="str">
            <v>TOTAL</v>
          </cell>
          <cell r="E19"/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  <cell r="J19" t="str">
            <v/>
          </cell>
          <cell r="K19"/>
          <cell r="L19" t="str">
            <v/>
          </cell>
          <cell r="M19" t="str">
            <v/>
          </cell>
          <cell r="N19" t="str">
            <v/>
          </cell>
          <cell r="O19" t="str">
            <v/>
          </cell>
          <cell r="P19" t="str">
            <v/>
          </cell>
          <cell r="Q19"/>
          <cell r="R19">
            <v>39173</v>
          </cell>
          <cell r="S19" t="str">
            <v>TOTAL</v>
          </cell>
          <cell r="T19"/>
          <cell r="U19">
            <v>0</v>
          </cell>
          <cell r="V19" t="str">
            <v/>
          </cell>
          <cell r="W19">
            <v>0</v>
          </cell>
          <cell r="X19"/>
          <cell r="Y19" t="str">
            <v/>
          </cell>
          <cell r="Z19" t="str">
            <v/>
          </cell>
          <cell r="AA19"/>
          <cell r="AB19"/>
          <cell r="AC19" t="str">
            <v/>
          </cell>
          <cell r="AD19" t="str">
            <v/>
          </cell>
          <cell r="AE19" t="str">
            <v/>
          </cell>
          <cell r="AF19" t="str">
            <v/>
          </cell>
          <cell r="AG19" t="str">
            <v/>
          </cell>
          <cell r="AH19" t="str">
            <v/>
          </cell>
          <cell r="AI19"/>
          <cell r="AJ19"/>
          <cell r="AK19">
            <v>0</v>
          </cell>
          <cell r="AL19" t="str">
            <v/>
          </cell>
          <cell r="AM19">
            <v>0</v>
          </cell>
          <cell r="AN19"/>
          <cell r="AO19" t="str">
            <v/>
          </cell>
          <cell r="AP19" t="str">
            <v/>
          </cell>
          <cell r="AQ19">
            <v>0</v>
          </cell>
          <cell r="AR19" t="str">
            <v/>
          </cell>
        </row>
        <row r="20">
          <cell r="B20">
            <v>39203</v>
          </cell>
          <cell r="C20"/>
          <cell r="D20" t="str">
            <v>TOTAL</v>
          </cell>
          <cell r="E20"/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  <cell r="J20" t="str">
            <v/>
          </cell>
          <cell r="K20"/>
          <cell r="L20" t="str">
            <v/>
          </cell>
          <cell r="M20" t="str">
            <v/>
          </cell>
          <cell r="N20" t="str">
            <v/>
          </cell>
          <cell r="O20" t="str">
            <v/>
          </cell>
          <cell r="P20" t="str">
            <v/>
          </cell>
          <cell r="Q20"/>
          <cell r="R20">
            <v>39203</v>
          </cell>
          <cell r="S20" t="str">
            <v>TOTAL</v>
          </cell>
          <cell r="T20"/>
          <cell r="U20">
            <v>0</v>
          </cell>
          <cell r="V20" t="str">
            <v/>
          </cell>
          <cell r="W20">
            <v>0</v>
          </cell>
          <cell r="X20"/>
          <cell r="Y20" t="str">
            <v/>
          </cell>
          <cell r="Z20" t="str">
            <v/>
          </cell>
          <cell r="AA20"/>
          <cell r="AB20"/>
          <cell r="AC20" t="str">
            <v/>
          </cell>
          <cell r="AD20" t="str">
            <v/>
          </cell>
          <cell r="AE20" t="str">
            <v/>
          </cell>
          <cell r="AF20" t="str">
            <v/>
          </cell>
          <cell r="AG20" t="str">
            <v/>
          </cell>
          <cell r="AH20" t="str">
            <v/>
          </cell>
          <cell r="AI20"/>
          <cell r="AJ20"/>
          <cell r="AK20">
            <v>0</v>
          </cell>
          <cell r="AL20" t="str">
            <v/>
          </cell>
          <cell r="AM20">
            <v>0</v>
          </cell>
          <cell r="AN20"/>
          <cell r="AO20" t="str">
            <v/>
          </cell>
          <cell r="AP20" t="str">
            <v/>
          </cell>
          <cell r="AQ20">
            <v>0</v>
          </cell>
          <cell r="AR20" t="str">
            <v/>
          </cell>
        </row>
        <row r="21">
          <cell r="B21">
            <v>39234</v>
          </cell>
          <cell r="C21"/>
          <cell r="D21" t="str">
            <v>TOTAL</v>
          </cell>
          <cell r="E21"/>
          <cell r="F21" t="str">
            <v/>
          </cell>
          <cell r="G21" t="str">
            <v/>
          </cell>
          <cell r="H21" t="str">
            <v/>
          </cell>
          <cell r="I21" t="str">
            <v/>
          </cell>
          <cell r="J21" t="str">
            <v/>
          </cell>
          <cell r="K21"/>
          <cell r="L21" t="str">
            <v/>
          </cell>
          <cell r="M21" t="str">
            <v/>
          </cell>
          <cell r="N21" t="str">
            <v/>
          </cell>
          <cell r="O21" t="str">
            <v/>
          </cell>
          <cell r="P21" t="str">
            <v/>
          </cell>
          <cell r="Q21"/>
          <cell r="R21">
            <v>39234</v>
          </cell>
          <cell r="S21" t="str">
            <v>TOTAL</v>
          </cell>
          <cell r="T21"/>
          <cell r="U21">
            <v>0</v>
          </cell>
          <cell r="V21" t="str">
            <v/>
          </cell>
          <cell r="W21">
            <v>0</v>
          </cell>
          <cell r="X21"/>
          <cell r="Y21" t="str">
            <v/>
          </cell>
          <cell r="Z21" t="str">
            <v/>
          </cell>
          <cell r="AA21"/>
          <cell r="AB21"/>
          <cell r="AC21" t="str">
            <v/>
          </cell>
          <cell r="AD21" t="str">
            <v/>
          </cell>
          <cell r="AE21" t="str">
            <v/>
          </cell>
          <cell r="AF21" t="str">
            <v/>
          </cell>
          <cell r="AG21" t="str">
            <v/>
          </cell>
          <cell r="AH21" t="str">
            <v/>
          </cell>
          <cell r="AI21"/>
          <cell r="AJ21"/>
          <cell r="AK21">
            <v>0</v>
          </cell>
          <cell r="AL21" t="str">
            <v/>
          </cell>
          <cell r="AM21">
            <v>0</v>
          </cell>
          <cell r="AN21"/>
          <cell r="AO21" t="str">
            <v/>
          </cell>
          <cell r="AP21" t="str">
            <v/>
          </cell>
          <cell r="AQ21">
            <v>0</v>
          </cell>
          <cell r="AR21" t="str">
            <v/>
          </cell>
        </row>
        <row r="22">
          <cell r="B22">
            <v>39264</v>
          </cell>
          <cell r="C22"/>
          <cell r="D22" t="str">
            <v>TOTAL</v>
          </cell>
          <cell r="E22"/>
          <cell r="F22" t="str">
            <v/>
          </cell>
          <cell r="G22" t="str">
            <v/>
          </cell>
          <cell r="H22" t="str">
            <v/>
          </cell>
          <cell r="I22" t="str">
            <v/>
          </cell>
          <cell r="J22" t="str">
            <v/>
          </cell>
          <cell r="K22"/>
          <cell r="L22" t="str">
            <v/>
          </cell>
          <cell r="M22" t="str">
            <v/>
          </cell>
          <cell r="N22" t="str">
            <v/>
          </cell>
          <cell r="O22" t="str">
            <v/>
          </cell>
          <cell r="P22" t="str">
            <v/>
          </cell>
          <cell r="Q22"/>
          <cell r="R22">
            <v>39264</v>
          </cell>
          <cell r="S22" t="str">
            <v>TOTAL</v>
          </cell>
          <cell r="T22"/>
          <cell r="U22">
            <v>0</v>
          </cell>
          <cell r="V22" t="str">
            <v/>
          </cell>
          <cell r="W22">
            <v>0</v>
          </cell>
          <cell r="X22"/>
          <cell r="Y22" t="str">
            <v/>
          </cell>
          <cell r="Z22" t="str">
            <v/>
          </cell>
          <cell r="AA22"/>
          <cell r="AB22"/>
          <cell r="AC22" t="str">
            <v/>
          </cell>
          <cell r="AD22" t="str">
            <v/>
          </cell>
          <cell r="AE22" t="str">
            <v/>
          </cell>
          <cell r="AF22" t="str">
            <v/>
          </cell>
          <cell r="AG22" t="str">
            <v/>
          </cell>
          <cell r="AH22" t="str">
            <v/>
          </cell>
          <cell r="AI22"/>
          <cell r="AJ22"/>
          <cell r="AK22">
            <v>0</v>
          </cell>
          <cell r="AL22" t="str">
            <v/>
          </cell>
          <cell r="AM22">
            <v>0</v>
          </cell>
          <cell r="AN22"/>
          <cell r="AO22" t="str">
            <v/>
          </cell>
          <cell r="AP22" t="str">
            <v/>
          </cell>
          <cell r="AQ22">
            <v>0</v>
          </cell>
          <cell r="AR22" t="str">
            <v/>
          </cell>
        </row>
        <row r="23">
          <cell r="B23">
            <v>39295</v>
          </cell>
          <cell r="C23"/>
          <cell r="D23" t="str">
            <v>TOTAL</v>
          </cell>
          <cell r="E23"/>
          <cell r="F23" t="str">
            <v/>
          </cell>
          <cell r="G23" t="str">
            <v/>
          </cell>
          <cell r="H23" t="str">
            <v/>
          </cell>
          <cell r="I23" t="str">
            <v/>
          </cell>
          <cell r="J23" t="str">
            <v/>
          </cell>
          <cell r="K23"/>
          <cell r="L23" t="str">
            <v/>
          </cell>
          <cell r="M23" t="str">
            <v/>
          </cell>
          <cell r="N23" t="str">
            <v/>
          </cell>
          <cell r="O23" t="str">
            <v/>
          </cell>
          <cell r="P23" t="str">
            <v/>
          </cell>
          <cell r="Q23"/>
          <cell r="R23">
            <v>39295</v>
          </cell>
          <cell r="S23" t="str">
            <v>TOTAL</v>
          </cell>
          <cell r="T23"/>
          <cell r="U23">
            <v>0</v>
          </cell>
          <cell r="V23" t="str">
            <v/>
          </cell>
          <cell r="W23">
            <v>0</v>
          </cell>
          <cell r="X23"/>
          <cell r="Y23" t="str">
            <v/>
          </cell>
          <cell r="Z23" t="str">
            <v/>
          </cell>
          <cell r="AA23"/>
          <cell r="AB23"/>
          <cell r="AC23" t="str">
            <v/>
          </cell>
          <cell r="AD23" t="str">
            <v/>
          </cell>
          <cell r="AE23" t="str">
            <v/>
          </cell>
          <cell r="AF23" t="str">
            <v/>
          </cell>
          <cell r="AG23" t="str">
            <v/>
          </cell>
          <cell r="AH23" t="str">
            <v/>
          </cell>
          <cell r="AI23"/>
          <cell r="AJ23"/>
          <cell r="AK23">
            <v>0</v>
          </cell>
          <cell r="AL23" t="str">
            <v/>
          </cell>
          <cell r="AM23">
            <v>0</v>
          </cell>
          <cell r="AN23"/>
          <cell r="AO23" t="str">
            <v/>
          </cell>
          <cell r="AP23" t="str">
            <v/>
          </cell>
          <cell r="AQ23">
            <v>0</v>
          </cell>
          <cell r="AR23" t="str">
            <v/>
          </cell>
        </row>
        <row r="24">
          <cell r="B24">
            <v>39326</v>
          </cell>
          <cell r="C24"/>
          <cell r="D24" t="str">
            <v>TOTAL</v>
          </cell>
          <cell r="E24"/>
          <cell r="F24" t="str">
            <v/>
          </cell>
          <cell r="G24" t="str">
            <v/>
          </cell>
          <cell r="H24" t="str">
            <v/>
          </cell>
          <cell r="I24" t="str">
            <v/>
          </cell>
          <cell r="J24" t="str">
            <v/>
          </cell>
          <cell r="K24"/>
          <cell r="L24" t="str">
            <v/>
          </cell>
          <cell r="M24" t="str">
            <v/>
          </cell>
          <cell r="N24" t="str">
            <v/>
          </cell>
          <cell r="O24" t="str">
            <v/>
          </cell>
          <cell r="P24" t="str">
            <v/>
          </cell>
          <cell r="Q24"/>
          <cell r="R24">
            <v>39326</v>
          </cell>
          <cell r="S24" t="str">
            <v>TOTAL</v>
          </cell>
          <cell r="T24"/>
          <cell r="U24">
            <v>0</v>
          </cell>
          <cell r="V24" t="str">
            <v/>
          </cell>
          <cell r="W24">
            <v>0</v>
          </cell>
          <cell r="X24"/>
          <cell r="Y24" t="str">
            <v/>
          </cell>
          <cell r="Z24" t="str">
            <v/>
          </cell>
          <cell r="AA24"/>
          <cell r="AB24"/>
          <cell r="AC24" t="str">
            <v/>
          </cell>
          <cell r="AD24" t="str">
            <v/>
          </cell>
          <cell r="AE24" t="str">
            <v/>
          </cell>
          <cell r="AF24" t="str">
            <v/>
          </cell>
          <cell r="AG24" t="str">
            <v/>
          </cell>
          <cell r="AH24" t="str">
            <v/>
          </cell>
          <cell r="AI24"/>
          <cell r="AJ24"/>
          <cell r="AK24">
            <v>0</v>
          </cell>
          <cell r="AL24" t="str">
            <v/>
          </cell>
          <cell r="AM24">
            <v>0</v>
          </cell>
          <cell r="AN24"/>
          <cell r="AO24" t="str">
            <v/>
          </cell>
          <cell r="AP24" t="str">
            <v/>
          </cell>
          <cell r="AQ24">
            <v>0</v>
          </cell>
          <cell r="AR24" t="str">
            <v/>
          </cell>
        </row>
        <row r="25">
          <cell r="B25">
            <v>39356</v>
          </cell>
          <cell r="C25"/>
          <cell r="D25" t="str">
            <v>TOTAL</v>
          </cell>
          <cell r="E25"/>
          <cell r="F25" t="str">
            <v/>
          </cell>
          <cell r="G25" t="str">
            <v/>
          </cell>
          <cell r="H25" t="str">
            <v/>
          </cell>
          <cell r="I25" t="str">
            <v/>
          </cell>
          <cell r="J25" t="str">
            <v/>
          </cell>
          <cell r="K25"/>
          <cell r="L25" t="str">
            <v/>
          </cell>
          <cell r="M25" t="str">
            <v/>
          </cell>
          <cell r="N25" t="str">
            <v/>
          </cell>
          <cell r="O25" t="str">
            <v/>
          </cell>
          <cell r="P25" t="str">
            <v/>
          </cell>
          <cell r="Q25"/>
          <cell r="R25">
            <v>39356</v>
          </cell>
          <cell r="S25" t="str">
            <v>TOTAL</v>
          </cell>
          <cell r="T25"/>
          <cell r="U25">
            <v>0</v>
          </cell>
          <cell r="V25" t="str">
            <v/>
          </cell>
          <cell r="W25">
            <v>0</v>
          </cell>
          <cell r="X25"/>
          <cell r="Y25" t="str">
            <v/>
          </cell>
          <cell r="Z25" t="str">
            <v/>
          </cell>
          <cell r="AA25"/>
          <cell r="AB25"/>
          <cell r="AC25" t="str">
            <v/>
          </cell>
          <cell r="AD25" t="str">
            <v/>
          </cell>
          <cell r="AE25" t="str">
            <v/>
          </cell>
          <cell r="AF25" t="str">
            <v/>
          </cell>
          <cell r="AG25" t="str">
            <v/>
          </cell>
          <cell r="AH25" t="str">
            <v/>
          </cell>
          <cell r="AI25"/>
          <cell r="AJ25"/>
          <cell r="AK25">
            <v>0</v>
          </cell>
          <cell r="AL25" t="str">
            <v/>
          </cell>
          <cell r="AM25">
            <v>0</v>
          </cell>
          <cell r="AN25"/>
          <cell r="AO25" t="str">
            <v/>
          </cell>
          <cell r="AP25" t="str">
            <v/>
          </cell>
          <cell r="AQ25">
            <v>0</v>
          </cell>
          <cell r="AR25" t="str">
            <v/>
          </cell>
        </row>
        <row r="26">
          <cell r="B26">
            <v>39387</v>
          </cell>
          <cell r="C26"/>
          <cell r="D26" t="str">
            <v>TOTAL</v>
          </cell>
          <cell r="E26"/>
          <cell r="F26" t="str">
            <v/>
          </cell>
          <cell r="G26" t="str">
            <v/>
          </cell>
          <cell r="H26" t="str">
            <v/>
          </cell>
          <cell r="I26" t="str">
            <v/>
          </cell>
          <cell r="J26" t="str">
            <v/>
          </cell>
          <cell r="K26"/>
          <cell r="L26" t="str">
            <v/>
          </cell>
          <cell r="M26" t="str">
            <v/>
          </cell>
          <cell r="N26" t="str">
            <v/>
          </cell>
          <cell r="O26" t="str">
            <v/>
          </cell>
          <cell r="P26" t="str">
            <v/>
          </cell>
          <cell r="Q26"/>
          <cell r="R26">
            <v>39387</v>
          </cell>
          <cell r="S26" t="str">
            <v>TOTAL</v>
          </cell>
          <cell r="T26"/>
          <cell r="U26">
            <v>0</v>
          </cell>
          <cell r="V26" t="str">
            <v/>
          </cell>
          <cell r="W26">
            <v>0</v>
          </cell>
          <cell r="X26"/>
          <cell r="Y26" t="str">
            <v/>
          </cell>
          <cell r="Z26" t="str">
            <v/>
          </cell>
          <cell r="AA26"/>
          <cell r="AB26"/>
          <cell r="AC26" t="str">
            <v/>
          </cell>
          <cell r="AD26" t="str">
            <v/>
          </cell>
          <cell r="AE26" t="str">
            <v/>
          </cell>
          <cell r="AF26" t="str">
            <v/>
          </cell>
          <cell r="AG26" t="str">
            <v/>
          </cell>
          <cell r="AH26" t="str">
            <v/>
          </cell>
          <cell r="AI26"/>
          <cell r="AJ26"/>
          <cell r="AK26">
            <v>0</v>
          </cell>
          <cell r="AL26" t="str">
            <v/>
          </cell>
          <cell r="AM26">
            <v>0</v>
          </cell>
          <cell r="AN26"/>
          <cell r="AO26" t="str">
            <v/>
          </cell>
          <cell r="AP26" t="str">
            <v/>
          </cell>
          <cell r="AQ26">
            <v>0</v>
          </cell>
          <cell r="AR26" t="str">
            <v/>
          </cell>
        </row>
        <row r="27">
          <cell r="B27">
            <v>39417</v>
          </cell>
          <cell r="C27"/>
          <cell r="D27" t="str">
            <v>TOTAL</v>
          </cell>
          <cell r="E27"/>
          <cell r="F27" t="str">
            <v/>
          </cell>
          <cell r="G27" t="str">
            <v/>
          </cell>
          <cell r="H27" t="str">
            <v/>
          </cell>
          <cell r="I27" t="str">
            <v/>
          </cell>
          <cell r="J27" t="str">
            <v/>
          </cell>
          <cell r="K27"/>
          <cell r="L27" t="str">
            <v/>
          </cell>
          <cell r="M27" t="str">
            <v/>
          </cell>
          <cell r="N27" t="str">
            <v/>
          </cell>
          <cell r="O27" t="str">
            <v/>
          </cell>
          <cell r="P27" t="str">
            <v/>
          </cell>
          <cell r="Q27"/>
          <cell r="R27">
            <v>39417</v>
          </cell>
          <cell r="S27" t="str">
            <v>TOTAL</v>
          </cell>
          <cell r="T27"/>
          <cell r="U27">
            <v>0</v>
          </cell>
          <cell r="V27" t="str">
            <v/>
          </cell>
          <cell r="W27">
            <v>0</v>
          </cell>
          <cell r="X27"/>
          <cell r="Y27" t="str">
            <v/>
          </cell>
          <cell r="Z27" t="str">
            <v/>
          </cell>
          <cell r="AA27"/>
          <cell r="AB27"/>
          <cell r="AC27" t="str">
            <v/>
          </cell>
          <cell r="AD27" t="str">
            <v/>
          </cell>
          <cell r="AE27" t="str">
            <v/>
          </cell>
          <cell r="AF27" t="str">
            <v/>
          </cell>
          <cell r="AG27" t="str">
            <v/>
          </cell>
          <cell r="AH27" t="str">
            <v/>
          </cell>
          <cell r="AI27"/>
          <cell r="AJ27"/>
          <cell r="AK27">
            <v>0</v>
          </cell>
          <cell r="AL27" t="str">
            <v/>
          </cell>
          <cell r="AM27">
            <v>0</v>
          </cell>
          <cell r="AN27"/>
          <cell r="AO27" t="str">
            <v/>
          </cell>
          <cell r="AP27" t="str">
            <v/>
          </cell>
          <cell r="AQ27">
            <v>0</v>
          </cell>
          <cell r="AR27" t="str">
            <v/>
          </cell>
        </row>
        <row r="28">
          <cell r="B28">
            <v>39448</v>
          </cell>
          <cell r="C28"/>
          <cell r="D28" t="str">
            <v>TOTAL</v>
          </cell>
          <cell r="E28" t="str">
            <v/>
          </cell>
          <cell r="F28" t="str">
            <v/>
          </cell>
          <cell r="G28" t="str">
            <v/>
          </cell>
          <cell r="H28" t="str">
            <v/>
          </cell>
          <cell r="I28" t="str">
            <v/>
          </cell>
          <cell r="J28" t="str">
            <v/>
          </cell>
          <cell r="K28" t="str">
            <v/>
          </cell>
          <cell r="L28" t="str">
            <v/>
          </cell>
          <cell r="M28" t="str">
            <v/>
          </cell>
          <cell r="N28" t="str">
            <v/>
          </cell>
          <cell r="O28" t="str">
            <v/>
          </cell>
          <cell r="P28" t="str">
            <v/>
          </cell>
          <cell r="Q28"/>
          <cell r="R28">
            <v>39448</v>
          </cell>
          <cell r="S28" t="str">
            <v>TOTAL</v>
          </cell>
          <cell r="T28">
            <v>0</v>
          </cell>
          <cell r="U28" t="str">
            <v/>
          </cell>
          <cell r="V28" t="str">
            <v/>
          </cell>
          <cell r="W28" t="str">
            <v/>
          </cell>
          <cell r="X28" t="str">
            <v/>
          </cell>
          <cell r="Y28" t="str">
            <v/>
          </cell>
          <cell r="Z28" t="str">
            <v/>
          </cell>
          <cell r="AA28"/>
          <cell r="AB28" t="str">
            <v/>
          </cell>
          <cell r="AC28" t="str">
            <v/>
          </cell>
          <cell r="AD28" t="str">
            <v/>
          </cell>
          <cell r="AE28" t="str">
            <v/>
          </cell>
          <cell r="AF28" t="str">
            <v/>
          </cell>
          <cell r="AG28" t="str">
            <v/>
          </cell>
          <cell r="AH28" t="str">
            <v/>
          </cell>
          <cell r="AI28"/>
          <cell r="AJ28">
            <v>0</v>
          </cell>
          <cell r="AK28" t="str">
            <v/>
          </cell>
          <cell r="AL28" t="str">
            <v/>
          </cell>
          <cell r="AM28" t="str">
            <v/>
          </cell>
          <cell r="AN28" t="str">
            <v/>
          </cell>
          <cell r="AO28" t="str">
            <v/>
          </cell>
          <cell r="AP28" t="str">
            <v/>
          </cell>
          <cell r="AQ28">
            <v>0</v>
          </cell>
          <cell r="AR28" t="str">
            <v/>
          </cell>
        </row>
        <row r="29">
          <cell r="B29">
            <v>39479</v>
          </cell>
          <cell r="C29"/>
          <cell r="D29" t="str">
            <v>TOTAL</v>
          </cell>
          <cell r="E29" t="str">
            <v/>
          </cell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  <cell r="J29" t="str">
            <v/>
          </cell>
          <cell r="K29" t="str">
            <v/>
          </cell>
          <cell r="L29" t="str">
            <v/>
          </cell>
          <cell r="M29" t="str">
            <v/>
          </cell>
          <cell r="N29" t="str">
            <v/>
          </cell>
          <cell r="O29" t="str">
            <v/>
          </cell>
          <cell r="P29" t="str">
            <v/>
          </cell>
          <cell r="Q29"/>
          <cell r="R29">
            <v>39479</v>
          </cell>
          <cell r="S29" t="str">
            <v>TOTAL</v>
          </cell>
          <cell r="T29">
            <v>0</v>
          </cell>
          <cell r="U29" t="str">
            <v/>
          </cell>
          <cell r="V29" t="str">
            <v/>
          </cell>
          <cell r="W29" t="str">
            <v/>
          </cell>
          <cell r="X29" t="str">
            <v/>
          </cell>
          <cell r="Y29" t="str">
            <v/>
          </cell>
          <cell r="Z29" t="str">
            <v/>
          </cell>
          <cell r="AA29"/>
          <cell r="AB29" t="str">
            <v/>
          </cell>
          <cell r="AC29" t="str">
            <v/>
          </cell>
          <cell r="AD29" t="str">
            <v/>
          </cell>
          <cell r="AE29" t="str">
            <v/>
          </cell>
          <cell r="AF29" t="str">
            <v/>
          </cell>
          <cell r="AG29" t="str">
            <v/>
          </cell>
          <cell r="AH29" t="str">
            <v/>
          </cell>
          <cell r="AI29"/>
          <cell r="AJ29">
            <v>0</v>
          </cell>
          <cell r="AK29" t="str">
            <v/>
          </cell>
          <cell r="AL29" t="str">
            <v/>
          </cell>
          <cell r="AM29" t="str">
            <v/>
          </cell>
          <cell r="AN29" t="str">
            <v/>
          </cell>
          <cell r="AO29" t="str">
            <v/>
          </cell>
          <cell r="AP29" t="str">
            <v/>
          </cell>
          <cell r="AQ29">
            <v>0</v>
          </cell>
          <cell r="AR29" t="str">
            <v/>
          </cell>
        </row>
        <row r="30">
          <cell r="B30">
            <v>39508</v>
          </cell>
          <cell r="C30"/>
          <cell r="D30" t="str">
            <v>TOTAL</v>
          </cell>
          <cell r="E30" t="str">
            <v/>
          </cell>
          <cell r="F30" t="str">
            <v/>
          </cell>
          <cell r="G30" t="str">
            <v/>
          </cell>
          <cell r="H30" t="str">
            <v/>
          </cell>
          <cell r="I30" t="str">
            <v/>
          </cell>
          <cell r="J30" t="str">
            <v/>
          </cell>
          <cell r="K30" t="str">
            <v/>
          </cell>
          <cell r="L30" t="str">
            <v/>
          </cell>
          <cell r="M30" t="str">
            <v/>
          </cell>
          <cell r="N30" t="str">
            <v/>
          </cell>
          <cell r="O30" t="str">
            <v/>
          </cell>
          <cell r="P30" t="str">
            <v/>
          </cell>
          <cell r="Q30"/>
          <cell r="R30">
            <v>39508</v>
          </cell>
          <cell r="S30" t="str">
            <v>TOTAL</v>
          </cell>
          <cell r="T30">
            <v>0</v>
          </cell>
          <cell r="U30" t="str">
            <v/>
          </cell>
          <cell r="V30" t="str">
            <v/>
          </cell>
          <cell r="W30" t="str">
            <v/>
          </cell>
          <cell r="X30" t="str">
            <v/>
          </cell>
          <cell r="Y30" t="str">
            <v/>
          </cell>
          <cell r="Z30" t="str">
            <v/>
          </cell>
          <cell r="AA30"/>
          <cell r="AB30" t="str">
            <v/>
          </cell>
          <cell r="AC30" t="str">
            <v/>
          </cell>
          <cell r="AD30" t="str">
            <v/>
          </cell>
          <cell r="AE30" t="str">
            <v/>
          </cell>
          <cell r="AF30" t="str">
            <v/>
          </cell>
          <cell r="AG30" t="str">
            <v/>
          </cell>
          <cell r="AH30" t="str">
            <v/>
          </cell>
          <cell r="AI30"/>
          <cell r="AJ30">
            <v>0</v>
          </cell>
          <cell r="AK30" t="str">
            <v/>
          </cell>
          <cell r="AL30" t="str">
            <v/>
          </cell>
          <cell r="AM30" t="str">
            <v/>
          </cell>
          <cell r="AN30" t="str">
            <v/>
          </cell>
          <cell r="AO30" t="str">
            <v/>
          </cell>
          <cell r="AP30" t="str">
            <v/>
          </cell>
          <cell r="AQ30">
            <v>0</v>
          </cell>
          <cell r="AR30" t="str">
            <v/>
          </cell>
        </row>
        <row r="31">
          <cell r="B31">
            <v>39539</v>
          </cell>
          <cell r="C31"/>
          <cell r="D31" t="str">
            <v>TOTAL</v>
          </cell>
          <cell r="E31" t="str">
            <v/>
          </cell>
          <cell r="F31" t="str">
            <v/>
          </cell>
          <cell r="G31" t="str">
            <v/>
          </cell>
          <cell r="H31" t="str">
            <v/>
          </cell>
          <cell r="I31" t="str">
            <v/>
          </cell>
          <cell r="J31" t="str">
            <v/>
          </cell>
          <cell r="K31" t="str">
            <v/>
          </cell>
          <cell r="L31" t="str">
            <v/>
          </cell>
          <cell r="M31" t="str">
            <v/>
          </cell>
          <cell r="N31" t="str">
            <v/>
          </cell>
          <cell r="O31" t="str">
            <v/>
          </cell>
          <cell r="P31" t="str">
            <v/>
          </cell>
          <cell r="Q31"/>
          <cell r="R31">
            <v>39539</v>
          </cell>
          <cell r="S31" t="str">
            <v>TOTAL</v>
          </cell>
          <cell r="T31">
            <v>0</v>
          </cell>
          <cell r="U31" t="str">
            <v/>
          </cell>
          <cell r="V31" t="str">
            <v/>
          </cell>
          <cell r="W31" t="str">
            <v/>
          </cell>
          <cell r="X31" t="str">
            <v/>
          </cell>
          <cell r="Y31" t="str">
            <v/>
          </cell>
          <cell r="Z31" t="str">
            <v/>
          </cell>
          <cell r="AA31"/>
          <cell r="AB31" t="str">
            <v/>
          </cell>
          <cell r="AC31" t="str">
            <v/>
          </cell>
          <cell r="AD31" t="str">
            <v/>
          </cell>
          <cell r="AE31" t="str">
            <v/>
          </cell>
          <cell r="AF31" t="str">
            <v/>
          </cell>
          <cell r="AG31" t="str">
            <v/>
          </cell>
          <cell r="AH31" t="str">
            <v/>
          </cell>
          <cell r="AI31"/>
          <cell r="AJ31">
            <v>0</v>
          </cell>
          <cell r="AK31" t="str">
            <v/>
          </cell>
          <cell r="AL31" t="str">
            <v/>
          </cell>
          <cell r="AM31" t="str">
            <v/>
          </cell>
          <cell r="AN31" t="str">
            <v/>
          </cell>
          <cell r="AO31" t="str">
            <v/>
          </cell>
          <cell r="AP31" t="str">
            <v/>
          </cell>
          <cell r="AQ31">
            <v>0</v>
          </cell>
          <cell r="AR31" t="str">
            <v/>
          </cell>
        </row>
        <row r="32">
          <cell r="B32">
            <v>39569</v>
          </cell>
          <cell r="C32"/>
          <cell r="D32" t="str">
            <v>TOTAL</v>
          </cell>
          <cell r="E32" t="str">
            <v/>
          </cell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  <cell r="L32" t="str">
            <v/>
          </cell>
          <cell r="M32" t="str">
            <v/>
          </cell>
          <cell r="N32" t="str">
            <v/>
          </cell>
          <cell r="O32" t="str">
            <v/>
          </cell>
          <cell r="P32" t="str">
            <v/>
          </cell>
          <cell r="Q32"/>
          <cell r="R32">
            <v>39569</v>
          </cell>
          <cell r="S32" t="str">
            <v>TOTAL</v>
          </cell>
          <cell r="T32">
            <v>0</v>
          </cell>
          <cell r="U32" t="str">
            <v/>
          </cell>
          <cell r="V32" t="str">
            <v/>
          </cell>
          <cell r="W32" t="str">
            <v/>
          </cell>
          <cell r="X32" t="str">
            <v/>
          </cell>
          <cell r="Y32" t="str">
            <v/>
          </cell>
          <cell r="Z32" t="str">
            <v/>
          </cell>
          <cell r="AA32"/>
          <cell r="AB32" t="str">
            <v/>
          </cell>
          <cell r="AC32" t="str">
            <v/>
          </cell>
          <cell r="AD32" t="str">
            <v/>
          </cell>
          <cell r="AE32" t="str">
            <v/>
          </cell>
          <cell r="AF32" t="str">
            <v/>
          </cell>
          <cell r="AG32" t="str">
            <v/>
          </cell>
          <cell r="AH32" t="str">
            <v/>
          </cell>
          <cell r="AI32"/>
          <cell r="AJ32">
            <v>0</v>
          </cell>
          <cell r="AK32" t="str">
            <v/>
          </cell>
          <cell r="AL32" t="str">
            <v/>
          </cell>
          <cell r="AM32" t="str">
            <v/>
          </cell>
          <cell r="AN32" t="str">
            <v/>
          </cell>
          <cell r="AO32" t="str">
            <v/>
          </cell>
          <cell r="AP32" t="str">
            <v/>
          </cell>
          <cell r="AQ32">
            <v>0</v>
          </cell>
          <cell r="AR32" t="str">
            <v/>
          </cell>
        </row>
        <row r="33">
          <cell r="B33">
            <v>39600</v>
          </cell>
          <cell r="C33"/>
          <cell r="D33" t="str">
            <v>TOTAL</v>
          </cell>
          <cell r="E33" t="str">
            <v/>
          </cell>
          <cell r="F33" t="str">
            <v/>
          </cell>
          <cell r="G33" t="str">
            <v/>
          </cell>
          <cell r="H33" t="str">
            <v/>
          </cell>
          <cell r="I33" t="str">
            <v/>
          </cell>
          <cell r="J33" t="str">
            <v/>
          </cell>
          <cell r="K33" t="str">
            <v/>
          </cell>
          <cell r="L33" t="str">
            <v/>
          </cell>
          <cell r="M33" t="str">
            <v/>
          </cell>
          <cell r="N33" t="str">
            <v/>
          </cell>
          <cell r="O33" t="str">
            <v/>
          </cell>
          <cell r="P33" t="str">
            <v/>
          </cell>
          <cell r="Q33"/>
          <cell r="R33">
            <v>39600</v>
          </cell>
          <cell r="S33" t="str">
            <v>TOTAL</v>
          </cell>
          <cell r="T33">
            <v>0</v>
          </cell>
          <cell r="U33" t="str">
            <v/>
          </cell>
          <cell r="V33" t="str">
            <v/>
          </cell>
          <cell r="W33" t="str">
            <v/>
          </cell>
          <cell r="X33" t="str">
            <v/>
          </cell>
          <cell r="Y33" t="str">
            <v/>
          </cell>
          <cell r="Z33" t="str">
            <v/>
          </cell>
          <cell r="AA33"/>
          <cell r="AB33" t="str">
            <v/>
          </cell>
          <cell r="AC33" t="str">
            <v/>
          </cell>
          <cell r="AD33" t="str">
            <v/>
          </cell>
          <cell r="AE33" t="str">
            <v/>
          </cell>
          <cell r="AF33" t="str">
            <v/>
          </cell>
          <cell r="AG33" t="str">
            <v/>
          </cell>
          <cell r="AH33" t="str">
            <v/>
          </cell>
          <cell r="AI33"/>
          <cell r="AJ33">
            <v>0</v>
          </cell>
          <cell r="AK33" t="str">
            <v/>
          </cell>
          <cell r="AL33" t="str">
            <v/>
          </cell>
          <cell r="AM33" t="str">
            <v/>
          </cell>
          <cell r="AN33" t="str">
            <v/>
          </cell>
          <cell r="AO33" t="str">
            <v/>
          </cell>
          <cell r="AP33" t="str">
            <v/>
          </cell>
          <cell r="AQ33">
            <v>0</v>
          </cell>
          <cell r="AR33" t="str">
            <v/>
          </cell>
        </row>
        <row r="34">
          <cell r="B34">
            <v>39630</v>
          </cell>
          <cell r="C34"/>
          <cell r="D34" t="str">
            <v>TOTAL</v>
          </cell>
          <cell r="E34" t="str">
            <v/>
          </cell>
          <cell r="F34" t="str">
            <v/>
          </cell>
          <cell r="G34" t="str">
            <v/>
          </cell>
          <cell r="H34" t="str">
            <v/>
          </cell>
          <cell r="I34" t="str">
            <v/>
          </cell>
          <cell r="J34" t="str">
            <v/>
          </cell>
          <cell r="K34" t="str">
            <v/>
          </cell>
          <cell r="L34" t="str">
            <v/>
          </cell>
          <cell r="M34" t="str">
            <v/>
          </cell>
          <cell r="N34" t="str">
            <v/>
          </cell>
          <cell r="O34" t="str">
            <v/>
          </cell>
          <cell r="P34" t="str">
            <v/>
          </cell>
          <cell r="Q34"/>
          <cell r="R34">
            <v>39630</v>
          </cell>
          <cell r="S34" t="str">
            <v>TOTAL</v>
          </cell>
          <cell r="T34">
            <v>0</v>
          </cell>
          <cell r="U34" t="str">
            <v/>
          </cell>
          <cell r="V34" t="str">
            <v/>
          </cell>
          <cell r="W34" t="str">
            <v/>
          </cell>
          <cell r="X34" t="str">
            <v/>
          </cell>
          <cell r="Y34" t="str">
            <v/>
          </cell>
          <cell r="Z34" t="str">
            <v/>
          </cell>
          <cell r="AA34"/>
          <cell r="AB34" t="str">
            <v/>
          </cell>
          <cell r="AC34" t="str">
            <v/>
          </cell>
          <cell r="AD34" t="str">
            <v/>
          </cell>
          <cell r="AE34" t="str">
            <v/>
          </cell>
          <cell r="AF34" t="str">
            <v/>
          </cell>
          <cell r="AG34" t="str">
            <v/>
          </cell>
          <cell r="AH34" t="str">
            <v/>
          </cell>
          <cell r="AI34"/>
          <cell r="AJ34">
            <v>0</v>
          </cell>
          <cell r="AK34" t="str">
            <v/>
          </cell>
          <cell r="AL34" t="str">
            <v/>
          </cell>
          <cell r="AM34" t="str">
            <v/>
          </cell>
          <cell r="AN34" t="str">
            <v/>
          </cell>
          <cell r="AO34" t="str">
            <v/>
          </cell>
          <cell r="AP34" t="str">
            <v/>
          </cell>
          <cell r="AQ34">
            <v>0</v>
          </cell>
          <cell r="AR34" t="str">
            <v/>
          </cell>
        </row>
        <row r="35">
          <cell r="B35">
            <v>39661</v>
          </cell>
          <cell r="C35"/>
          <cell r="D35" t="str">
            <v>TOTAL</v>
          </cell>
          <cell r="E35" t="str">
            <v/>
          </cell>
          <cell r="F35" t="str">
            <v/>
          </cell>
          <cell r="G35" t="str">
            <v/>
          </cell>
          <cell r="H35" t="str">
            <v/>
          </cell>
          <cell r="I35" t="str">
            <v/>
          </cell>
          <cell r="J35" t="str">
            <v/>
          </cell>
          <cell r="K35" t="str">
            <v/>
          </cell>
          <cell r="L35" t="str">
            <v/>
          </cell>
          <cell r="M35" t="str">
            <v/>
          </cell>
          <cell r="N35" t="str">
            <v/>
          </cell>
          <cell r="O35" t="str">
            <v/>
          </cell>
          <cell r="P35" t="str">
            <v/>
          </cell>
          <cell r="Q35"/>
          <cell r="R35">
            <v>39661</v>
          </cell>
          <cell r="S35" t="str">
            <v>TOTAL</v>
          </cell>
          <cell r="T35">
            <v>0</v>
          </cell>
          <cell r="U35" t="str">
            <v/>
          </cell>
          <cell r="V35" t="str">
            <v/>
          </cell>
          <cell r="W35" t="str">
            <v/>
          </cell>
          <cell r="X35" t="str">
            <v/>
          </cell>
          <cell r="Y35" t="str">
            <v/>
          </cell>
          <cell r="Z35" t="str">
            <v/>
          </cell>
          <cell r="AA35"/>
          <cell r="AB35" t="str">
            <v/>
          </cell>
          <cell r="AC35" t="str">
            <v/>
          </cell>
          <cell r="AD35" t="str">
            <v/>
          </cell>
          <cell r="AE35" t="str">
            <v/>
          </cell>
          <cell r="AF35" t="str">
            <v/>
          </cell>
          <cell r="AG35" t="str">
            <v/>
          </cell>
          <cell r="AH35" t="str">
            <v/>
          </cell>
          <cell r="AI35"/>
          <cell r="AJ35">
            <v>0</v>
          </cell>
          <cell r="AK35" t="str">
            <v/>
          </cell>
          <cell r="AL35" t="str">
            <v/>
          </cell>
          <cell r="AM35" t="str">
            <v/>
          </cell>
          <cell r="AN35" t="str">
            <v/>
          </cell>
          <cell r="AO35" t="str">
            <v/>
          </cell>
          <cell r="AP35" t="str">
            <v/>
          </cell>
          <cell r="AQ35">
            <v>0</v>
          </cell>
          <cell r="AR35" t="str">
            <v/>
          </cell>
        </row>
        <row r="36">
          <cell r="B36">
            <v>39692</v>
          </cell>
          <cell r="C36"/>
          <cell r="D36" t="str">
            <v>TOTAL</v>
          </cell>
          <cell r="E36" t="str">
            <v/>
          </cell>
          <cell r="F36" t="str">
            <v/>
          </cell>
          <cell r="G36" t="str">
            <v/>
          </cell>
          <cell r="H36" t="str">
            <v/>
          </cell>
          <cell r="I36" t="str">
            <v/>
          </cell>
          <cell r="J36" t="str">
            <v/>
          </cell>
          <cell r="K36" t="str">
            <v/>
          </cell>
          <cell r="L36" t="str">
            <v/>
          </cell>
          <cell r="M36" t="str">
            <v/>
          </cell>
          <cell r="N36" t="str">
            <v/>
          </cell>
          <cell r="O36" t="str">
            <v/>
          </cell>
          <cell r="P36" t="str">
            <v/>
          </cell>
          <cell r="Q36"/>
          <cell r="R36">
            <v>39692</v>
          </cell>
          <cell r="S36" t="str">
            <v>TOTAL</v>
          </cell>
          <cell r="T36">
            <v>0</v>
          </cell>
          <cell r="U36" t="str">
            <v/>
          </cell>
          <cell r="V36" t="str">
            <v/>
          </cell>
          <cell r="W36" t="str">
            <v/>
          </cell>
          <cell r="X36" t="str">
            <v/>
          </cell>
          <cell r="Y36" t="str">
            <v/>
          </cell>
          <cell r="Z36" t="str">
            <v/>
          </cell>
          <cell r="AA36"/>
          <cell r="AB36" t="str">
            <v/>
          </cell>
          <cell r="AC36" t="str">
            <v/>
          </cell>
          <cell r="AD36" t="str">
            <v/>
          </cell>
          <cell r="AE36" t="str">
            <v/>
          </cell>
          <cell r="AF36" t="str">
            <v/>
          </cell>
          <cell r="AG36" t="str">
            <v/>
          </cell>
          <cell r="AH36" t="str">
            <v/>
          </cell>
          <cell r="AI36"/>
          <cell r="AJ36">
            <v>0</v>
          </cell>
          <cell r="AK36" t="str">
            <v/>
          </cell>
          <cell r="AL36" t="str">
            <v/>
          </cell>
          <cell r="AM36" t="str">
            <v/>
          </cell>
          <cell r="AN36" t="str">
            <v/>
          </cell>
          <cell r="AO36" t="str">
            <v/>
          </cell>
          <cell r="AP36" t="str">
            <v/>
          </cell>
          <cell r="AQ36">
            <v>0</v>
          </cell>
          <cell r="AR36" t="str">
            <v/>
          </cell>
        </row>
        <row r="37">
          <cell r="B37">
            <v>39722</v>
          </cell>
          <cell r="C37"/>
          <cell r="D37" t="str">
            <v>TOTAL</v>
          </cell>
          <cell r="E37" t="str">
            <v/>
          </cell>
          <cell r="F37" t="str">
            <v/>
          </cell>
          <cell r="G37" t="str">
            <v/>
          </cell>
          <cell r="H37" t="str">
            <v/>
          </cell>
          <cell r="I37" t="str">
            <v/>
          </cell>
          <cell r="J37" t="str">
            <v/>
          </cell>
          <cell r="K37" t="str">
            <v/>
          </cell>
          <cell r="L37" t="str">
            <v/>
          </cell>
          <cell r="M37" t="str">
            <v/>
          </cell>
          <cell r="N37" t="str">
            <v/>
          </cell>
          <cell r="O37" t="str">
            <v/>
          </cell>
          <cell r="P37" t="str">
            <v/>
          </cell>
          <cell r="Q37"/>
          <cell r="R37">
            <v>39722</v>
          </cell>
          <cell r="S37" t="str">
            <v>TOTAL</v>
          </cell>
          <cell r="T37">
            <v>0</v>
          </cell>
          <cell r="U37" t="str">
            <v/>
          </cell>
          <cell r="V37" t="str">
            <v/>
          </cell>
          <cell r="W37" t="str">
            <v/>
          </cell>
          <cell r="X37" t="str">
            <v/>
          </cell>
          <cell r="Y37" t="str">
            <v/>
          </cell>
          <cell r="Z37" t="str">
            <v/>
          </cell>
          <cell r="AA37"/>
          <cell r="AB37" t="str">
            <v/>
          </cell>
          <cell r="AC37" t="str">
            <v/>
          </cell>
          <cell r="AD37" t="str">
            <v/>
          </cell>
          <cell r="AE37" t="str">
            <v/>
          </cell>
          <cell r="AF37" t="str">
            <v/>
          </cell>
          <cell r="AG37" t="str">
            <v/>
          </cell>
          <cell r="AH37" t="str">
            <v/>
          </cell>
          <cell r="AI37"/>
          <cell r="AJ37">
            <v>0</v>
          </cell>
          <cell r="AK37" t="str">
            <v/>
          </cell>
          <cell r="AL37" t="str">
            <v/>
          </cell>
          <cell r="AM37" t="str">
            <v/>
          </cell>
          <cell r="AN37" t="str">
            <v/>
          </cell>
          <cell r="AO37" t="str">
            <v/>
          </cell>
          <cell r="AP37" t="str">
            <v/>
          </cell>
          <cell r="AQ37">
            <v>0</v>
          </cell>
          <cell r="AR37" t="str">
            <v/>
          </cell>
        </row>
        <row r="38">
          <cell r="B38">
            <v>39753</v>
          </cell>
          <cell r="C38"/>
          <cell r="D38" t="str">
            <v>TOTAL</v>
          </cell>
          <cell r="E38" t="str">
            <v/>
          </cell>
          <cell r="F38" t="str">
            <v/>
          </cell>
          <cell r="G38" t="str">
            <v/>
          </cell>
          <cell r="H38" t="str">
            <v/>
          </cell>
          <cell r="I38" t="str">
            <v/>
          </cell>
          <cell r="J38" t="str">
            <v/>
          </cell>
          <cell r="K38" t="str">
            <v/>
          </cell>
          <cell r="L38" t="str">
            <v/>
          </cell>
          <cell r="M38" t="str">
            <v/>
          </cell>
          <cell r="N38" t="str">
            <v/>
          </cell>
          <cell r="O38" t="str">
            <v/>
          </cell>
          <cell r="P38" t="str">
            <v/>
          </cell>
          <cell r="Q38"/>
          <cell r="R38">
            <v>39753</v>
          </cell>
          <cell r="S38" t="str">
            <v>TOTAL</v>
          </cell>
          <cell r="T38">
            <v>0</v>
          </cell>
          <cell r="U38" t="str">
            <v/>
          </cell>
          <cell r="V38" t="str">
            <v/>
          </cell>
          <cell r="W38" t="str">
            <v/>
          </cell>
          <cell r="X38" t="str">
            <v/>
          </cell>
          <cell r="Y38" t="str">
            <v/>
          </cell>
          <cell r="Z38" t="str">
            <v/>
          </cell>
          <cell r="AA38"/>
          <cell r="AB38" t="str">
            <v/>
          </cell>
          <cell r="AC38" t="str">
            <v/>
          </cell>
          <cell r="AD38" t="str">
            <v/>
          </cell>
          <cell r="AE38" t="str">
            <v/>
          </cell>
          <cell r="AF38" t="str">
            <v/>
          </cell>
          <cell r="AG38" t="str">
            <v/>
          </cell>
          <cell r="AH38" t="str">
            <v/>
          </cell>
          <cell r="AI38"/>
          <cell r="AJ38">
            <v>0</v>
          </cell>
          <cell r="AK38" t="str">
            <v/>
          </cell>
          <cell r="AL38" t="str">
            <v/>
          </cell>
          <cell r="AM38" t="str">
            <v/>
          </cell>
          <cell r="AN38" t="str">
            <v/>
          </cell>
          <cell r="AO38" t="str">
            <v/>
          </cell>
          <cell r="AP38" t="str">
            <v/>
          </cell>
          <cell r="AQ38">
            <v>0</v>
          </cell>
          <cell r="AR38" t="str">
            <v/>
          </cell>
        </row>
        <row r="39">
          <cell r="B39">
            <v>39783</v>
          </cell>
          <cell r="C39"/>
          <cell r="D39" t="str">
            <v>TOTAL</v>
          </cell>
          <cell r="E39" t="str">
            <v/>
          </cell>
          <cell r="F39" t="str">
            <v/>
          </cell>
          <cell r="G39" t="str">
            <v/>
          </cell>
          <cell r="H39" t="str">
            <v/>
          </cell>
          <cell r="I39" t="str">
            <v/>
          </cell>
          <cell r="J39" t="str">
            <v/>
          </cell>
          <cell r="K39" t="str">
            <v/>
          </cell>
          <cell r="L39" t="str">
            <v/>
          </cell>
          <cell r="M39" t="str">
            <v/>
          </cell>
          <cell r="N39" t="str">
            <v/>
          </cell>
          <cell r="O39" t="str">
            <v/>
          </cell>
          <cell r="P39" t="str">
            <v/>
          </cell>
          <cell r="Q39"/>
          <cell r="R39">
            <v>39783</v>
          </cell>
          <cell r="S39" t="str">
            <v>TOTAL</v>
          </cell>
          <cell r="T39">
            <v>0</v>
          </cell>
          <cell r="U39" t="str">
            <v/>
          </cell>
          <cell r="V39" t="str">
            <v/>
          </cell>
          <cell r="W39" t="str">
            <v/>
          </cell>
          <cell r="X39" t="str">
            <v/>
          </cell>
          <cell r="Y39" t="str">
            <v/>
          </cell>
          <cell r="Z39" t="str">
            <v/>
          </cell>
          <cell r="AA39"/>
          <cell r="AB39" t="str">
            <v/>
          </cell>
          <cell r="AC39" t="str">
            <v/>
          </cell>
          <cell r="AD39" t="str">
            <v/>
          </cell>
          <cell r="AE39" t="str">
            <v/>
          </cell>
          <cell r="AF39" t="str">
            <v/>
          </cell>
          <cell r="AG39" t="str">
            <v/>
          </cell>
          <cell r="AH39" t="str">
            <v/>
          </cell>
          <cell r="AI39"/>
          <cell r="AJ39">
            <v>0</v>
          </cell>
          <cell r="AK39" t="str">
            <v/>
          </cell>
          <cell r="AL39" t="str">
            <v/>
          </cell>
          <cell r="AM39" t="str">
            <v/>
          </cell>
          <cell r="AN39" t="str">
            <v/>
          </cell>
          <cell r="AO39" t="str">
            <v/>
          </cell>
          <cell r="AP39" t="str">
            <v/>
          </cell>
          <cell r="AQ39">
            <v>0</v>
          </cell>
          <cell r="AR39" t="str">
            <v/>
          </cell>
        </row>
        <row r="40">
          <cell r="B40">
            <v>39814</v>
          </cell>
          <cell r="C40"/>
          <cell r="D40" t="str">
            <v>TOTAL</v>
          </cell>
          <cell r="E40" t="str">
            <v/>
          </cell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  <cell r="L40" t="str">
            <v/>
          </cell>
          <cell r="M40" t="str">
            <v/>
          </cell>
          <cell r="N40" t="str">
            <v/>
          </cell>
          <cell r="O40" t="str">
            <v/>
          </cell>
          <cell r="P40" t="str">
            <v/>
          </cell>
          <cell r="Q40"/>
          <cell r="R40">
            <v>39814</v>
          </cell>
          <cell r="S40" t="str">
            <v>TOTAL</v>
          </cell>
          <cell r="T40" t="str">
            <v/>
          </cell>
          <cell r="U40" t="str">
            <v/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 t="str">
            <v/>
          </cell>
          <cell r="AA40"/>
          <cell r="AB40" t="str">
            <v/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/>
          <cell r="AJ40" t="str">
            <v/>
          </cell>
          <cell r="AK40" t="str">
            <v/>
          </cell>
          <cell r="AL40" t="str">
            <v/>
          </cell>
          <cell r="AM40" t="str">
            <v/>
          </cell>
          <cell r="AN40" t="str">
            <v/>
          </cell>
          <cell r="AO40" t="str">
            <v/>
          </cell>
          <cell r="AP40" t="str">
            <v/>
          </cell>
          <cell r="AQ40">
            <v>0</v>
          </cell>
          <cell r="AR40" t="str">
            <v/>
          </cell>
        </row>
        <row r="41">
          <cell r="B41">
            <v>39845</v>
          </cell>
          <cell r="C41"/>
          <cell r="D41" t="str">
            <v>TOTAL</v>
          </cell>
          <cell r="E41" t="str">
            <v/>
          </cell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  <cell r="J41" t="str">
            <v/>
          </cell>
          <cell r="K41" t="str">
            <v/>
          </cell>
          <cell r="L41" t="str">
            <v/>
          </cell>
          <cell r="M41" t="str">
            <v/>
          </cell>
          <cell r="N41" t="str">
            <v/>
          </cell>
          <cell r="O41"/>
          <cell r="P41"/>
          <cell r="Q41"/>
          <cell r="R41">
            <v>39845</v>
          </cell>
          <cell r="S41" t="str">
            <v>TOTAL</v>
          </cell>
          <cell r="T41" t="str">
            <v/>
          </cell>
          <cell r="U41" t="str">
            <v/>
          </cell>
          <cell r="V41" t="str">
            <v/>
          </cell>
          <cell r="W41" t="str">
            <v/>
          </cell>
          <cell r="X41" t="str">
            <v/>
          </cell>
          <cell r="Y41" t="str">
            <v/>
          </cell>
          <cell r="Z41" t="str">
            <v/>
          </cell>
          <cell r="AA41"/>
          <cell r="AB41" t="str">
            <v/>
          </cell>
          <cell r="AC41" t="str">
            <v/>
          </cell>
          <cell r="AD41" t="str">
            <v/>
          </cell>
          <cell r="AE41" t="str">
            <v/>
          </cell>
          <cell r="AF41" t="str">
            <v/>
          </cell>
          <cell r="AG41" t="str">
            <v/>
          </cell>
          <cell r="AH41" t="str">
            <v/>
          </cell>
          <cell r="AI41"/>
          <cell r="AJ41" t="str">
            <v/>
          </cell>
          <cell r="AK41" t="str">
            <v/>
          </cell>
          <cell r="AL41" t="str">
            <v/>
          </cell>
          <cell r="AM41" t="str">
            <v/>
          </cell>
          <cell r="AN41" t="str">
            <v/>
          </cell>
          <cell r="AO41" t="str">
            <v/>
          </cell>
          <cell r="AP41" t="str">
            <v/>
          </cell>
          <cell r="AQ41">
            <v>0</v>
          </cell>
          <cell r="AR41"/>
        </row>
        <row r="42">
          <cell r="B42">
            <v>39873</v>
          </cell>
          <cell r="C42"/>
          <cell r="D42" t="str">
            <v>TOTAL</v>
          </cell>
          <cell r="E42" t="str">
            <v/>
          </cell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  <cell r="J42" t="str">
            <v/>
          </cell>
          <cell r="K42" t="str">
            <v/>
          </cell>
          <cell r="L42" t="str">
            <v/>
          </cell>
          <cell r="M42" t="str">
            <v/>
          </cell>
          <cell r="N42" t="str">
            <v/>
          </cell>
          <cell r="O42"/>
          <cell r="P42"/>
          <cell r="Q42"/>
          <cell r="R42">
            <v>39873</v>
          </cell>
          <cell r="S42" t="str">
            <v>TOTAL</v>
          </cell>
          <cell r="T42" t="str">
            <v/>
          </cell>
          <cell r="U42" t="str">
            <v/>
          </cell>
          <cell r="V42" t="str">
            <v/>
          </cell>
          <cell r="W42" t="str">
            <v/>
          </cell>
          <cell r="X42" t="str">
            <v/>
          </cell>
          <cell r="Y42" t="str">
            <v/>
          </cell>
          <cell r="Z42" t="str">
            <v/>
          </cell>
          <cell r="AA42"/>
          <cell r="AB42" t="str">
            <v/>
          </cell>
          <cell r="AC42" t="str">
            <v/>
          </cell>
          <cell r="AD42" t="str">
            <v/>
          </cell>
          <cell r="AE42" t="str">
            <v/>
          </cell>
          <cell r="AF42" t="str">
            <v/>
          </cell>
          <cell r="AG42" t="str">
            <v/>
          </cell>
          <cell r="AH42" t="str">
            <v/>
          </cell>
          <cell r="AI42"/>
          <cell r="AJ42" t="str">
            <v/>
          </cell>
          <cell r="AK42" t="str">
            <v/>
          </cell>
          <cell r="AL42" t="str">
            <v/>
          </cell>
          <cell r="AM42" t="str">
            <v/>
          </cell>
          <cell r="AN42" t="str">
            <v/>
          </cell>
          <cell r="AO42" t="str">
            <v/>
          </cell>
          <cell r="AP42" t="str">
            <v/>
          </cell>
          <cell r="AQ42">
            <v>0</v>
          </cell>
          <cell r="AR42"/>
        </row>
        <row r="43">
          <cell r="B43">
            <v>39904</v>
          </cell>
          <cell r="C43"/>
          <cell r="D43" t="str">
            <v>TOTAL</v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 t="str">
            <v/>
          </cell>
          <cell r="L43" t="str">
            <v/>
          </cell>
          <cell r="M43" t="str">
            <v/>
          </cell>
          <cell r="N43" t="str">
            <v/>
          </cell>
          <cell r="O43"/>
          <cell r="P43"/>
          <cell r="Q43"/>
          <cell r="R43">
            <v>39904</v>
          </cell>
          <cell r="S43" t="str">
            <v>TOTAL</v>
          </cell>
          <cell r="T43" t="str">
            <v/>
          </cell>
          <cell r="U43" t="str">
            <v/>
          </cell>
          <cell r="V43" t="str">
            <v/>
          </cell>
          <cell r="W43" t="str">
            <v/>
          </cell>
          <cell r="X43" t="str">
            <v/>
          </cell>
          <cell r="Y43" t="str">
            <v/>
          </cell>
          <cell r="Z43" t="str">
            <v/>
          </cell>
          <cell r="AA43"/>
          <cell r="AB43" t="str">
            <v/>
          </cell>
          <cell r="AC43" t="str">
            <v/>
          </cell>
          <cell r="AD43" t="str">
            <v/>
          </cell>
          <cell r="AE43" t="str">
            <v/>
          </cell>
          <cell r="AF43" t="str">
            <v/>
          </cell>
          <cell r="AG43" t="str">
            <v/>
          </cell>
          <cell r="AH43" t="str">
            <v/>
          </cell>
          <cell r="AI43"/>
          <cell r="AJ43" t="str">
            <v/>
          </cell>
          <cell r="AK43" t="str">
            <v/>
          </cell>
          <cell r="AL43" t="str">
            <v/>
          </cell>
          <cell r="AM43" t="str">
            <v/>
          </cell>
          <cell r="AN43" t="str">
            <v/>
          </cell>
          <cell r="AO43" t="str">
            <v/>
          </cell>
          <cell r="AP43" t="str">
            <v/>
          </cell>
          <cell r="AQ43">
            <v>0</v>
          </cell>
          <cell r="AR43"/>
        </row>
        <row r="44">
          <cell r="B44">
            <v>39934</v>
          </cell>
          <cell r="C44"/>
          <cell r="D44" t="str">
            <v>TOTAL</v>
          </cell>
          <cell r="E44" t="str">
            <v/>
          </cell>
          <cell r="F44" t="str">
            <v/>
          </cell>
          <cell r="G44" t="str">
            <v/>
          </cell>
          <cell r="H44" t="str">
            <v/>
          </cell>
          <cell r="I44" t="str">
            <v/>
          </cell>
          <cell r="J44" t="str">
            <v/>
          </cell>
          <cell r="K44" t="str">
            <v/>
          </cell>
          <cell r="L44" t="str">
            <v/>
          </cell>
          <cell r="M44" t="str">
            <v/>
          </cell>
          <cell r="N44" t="str">
            <v/>
          </cell>
          <cell r="O44"/>
          <cell r="P44"/>
          <cell r="Q44"/>
          <cell r="R44">
            <v>39934</v>
          </cell>
          <cell r="S44" t="str">
            <v>TOTAL</v>
          </cell>
          <cell r="T44" t="str">
            <v/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  <cell r="AA44"/>
          <cell r="AB44" t="str">
            <v/>
          </cell>
          <cell r="AC44" t="str">
            <v/>
          </cell>
          <cell r="AD44" t="str">
            <v/>
          </cell>
          <cell r="AE44" t="str">
            <v/>
          </cell>
          <cell r="AF44" t="str">
            <v/>
          </cell>
          <cell r="AG44" t="str">
            <v/>
          </cell>
          <cell r="AH44" t="str">
            <v/>
          </cell>
          <cell r="AI44"/>
          <cell r="AJ44" t="str">
            <v/>
          </cell>
          <cell r="AK44" t="str">
            <v/>
          </cell>
          <cell r="AL44" t="str">
            <v/>
          </cell>
          <cell r="AM44" t="str">
            <v/>
          </cell>
          <cell r="AN44" t="str">
            <v/>
          </cell>
          <cell r="AO44" t="str">
            <v/>
          </cell>
          <cell r="AP44" t="str">
            <v/>
          </cell>
          <cell r="AQ44">
            <v>0</v>
          </cell>
          <cell r="AR44"/>
        </row>
        <row r="45">
          <cell r="B45">
            <v>39965</v>
          </cell>
          <cell r="C45"/>
          <cell r="D45" t="str">
            <v>TOTAL</v>
          </cell>
          <cell r="E45" t="str">
            <v/>
          </cell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  <cell r="M45" t="str">
            <v/>
          </cell>
          <cell r="N45" t="str">
            <v/>
          </cell>
          <cell r="O45"/>
          <cell r="P45"/>
          <cell r="Q45"/>
          <cell r="R45">
            <v>39965</v>
          </cell>
          <cell r="S45" t="str">
            <v>TOTAL</v>
          </cell>
          <cell r="T45" t="str">
            <v/>
          </cell>
          <cell r="U45" t="str">
            <v/>
          </cell>
          <cell r="V45" t="str">
            <v/>
          </cell>
          <cell r="W45" t="str">
            <v/>
          </cell>
          <cell r="X45" t="str">
            <v/>
          </cell>
          <cell r="Y45" t="str">
            <v/>
          </cell>
          <cell r="Z45" t="str">
            <v/>
          </cell>
          <cell r="AA45"/>
          <cell r="AB45" t="str">
            <v/>
          </cell>
          <cell r="AC45" t="str">
            <v/>
          </cell>
          <cell r="AD45" t="str">
            <v/>
          </cell>
          <cell r="AE45" t="str">
            <v/>
          </cell>
          <cell r="AF45" t="str">
            <v/>
          </cell>
          <cell r="AG45" t="str">
            <v/>
          </cell>
          <cell r="AH45" t="str">
            <v/>
          </cell>
          <cell r="AI45"/>
          <cell r="AJ45" t="str">
            <v/>
          </cell>
          <cell r="AK45" t="str">
            <v/>
          </cell>
          <cell r="AL45" t="str">
            <v/>
          </cell>
          <cell r="AM45" t="str">
            <v/>
          </cell>
          <cell r="AN45" t="str">
            <v/>
          </cell>
          <cell r="AO45" t="str">
            <v/>
          </cell>
          <cell r="AP45" t="str">
            <v/>
          </cell>
          <cell r="AQ45">
            <v>0</v>
          </cell>
          <cell r="AR45"/>
        </row>
        <row r="46">
          <cell r="B46">
            <v>39995</v>
          </cell>
          <cell r="C46"/>
          <cell r="D46" t="str">
            <v>TOTAL</v>
          </cell>
          <cell r="E46" t="str">
            <v/>
          </cell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  <cell r="M46" t="str">
            <v/>
          </cell>
          <cell r="N46" t="str">
            <v/>
          </cell>
          <cell r="O46"/>
          <cell r="P46"/>
          <cell r="Q46"/>
          <cell r="R46">
            <v>39995</v>
          </cell>
          <cell r="S46" t="str">
            <v>TOTAL</v>
          </cell>
          <cell r="T46" t="str">
            <v/>
          </cell>
          <cell r="U46" t="str">
            <v/>
          </cell>
          <cell r="V46" t="str">
            <v/>
          </cell>
          <cell r="W46" t="str">
            <v/>
          </cell>
          <cell r="X46" t="str">
            <v/>
          </cell>
          <cell r="Y46" t="str">
            <v/>
          </cell>
          <cell r="Z46" t="str">
            <v/>
          </cell>
          <cell r="AA46"/>
          <cell r="AB46" t="str">
            <v/>
          </cell>
          <cell r="AC46" t="str">
            <v/>
          </cell>
          <cell r="AD46" t="str">
            <v/>
          </cell>
          <cell r="AE46" t="str">
            <v/>
          </cell>
          <cell r="AF46" t="str">
            <v/>
          </cell>
          <cell r="AG46" t="str">
            <v/>
          </cell>
          <cell r="AH46" t="str">
            <v/>
          </cell>
          <cell r="AI46"/>
          <cell r="AJ46" t="str">
            <v/>
          </cell>
          <cell r="AK46" t="str">
            <v/>
          </cell>
          <cell r="AL46" t="str">
            <v/>
          </cell>
          <cell r="AM46" t="str">
            <v/>
          </cell>
          <cell r="AN46" t="str">
            <v/>
          </cell>
          <cell r="AO46" t="str">
            <v/>
          </cell>
          <cell r="AP46" t="str">
            <v/>
          </cell>
          <cell r="AQ46">
            <v>0</v>
          </cell>
          <cell r="AR46"/>
        </row>
        <row r="47">
          <cell r="R47">
            <v>40026</v>
          </cell>
          <cell r="S47" t="str">
            <v>TOTAL</v>
          </cell>
          <cell r="T47" t="str">
            <v/>
          </cell>
          <cell r="U47" t="str">
            <v/>
          </cell>
          <cell r="V47" t="str">
            <v/>
          </cell>
          <cell r="W47" t="str">
            <v/>
          </cell>
          <cell r="X47" t="str">
            <v/>
          </cell>
          <cell r="Y47" t="str">
            <v/>
          </cell>
          <cell r="Z47" t="str">
            <v/>
          </cell>
          <cell r="AA47"/>
          <cell r="AB47" t="str">
            <v/>
          </cell>
          <cell r="AC47" t="str">
            <v/>
          </cell>
          <cell r="AD47" t="str">
            <v/>
          </cell>
          <cell r="AE47" t="str">
            <v/>
          </cell>
          <cell r="AF47" t="str">
            <v/>
          </cell>
          <cell r="AG47" t="str">
            <v/>
          </cell>
          <cell r="AH47" t="str">
            <v/>
          </cell>
          <cell r="AI47"/>
          <cell r="AJ47" t="str">
            <v/>
          </cell>
          <cell r="AK47" t="str">
            <v/>
          </cell>
          <cell r="AL47" t="str">
            <v/>
          </cell>
          <cell r="AM47" t="str">
            <v/>
          </cell>
          <cell r="AN47" t="str">
            <v/>
          </cell>
          <cell r="AO47" t="str">
            <v/>
          </cell>
          <cell r="AP47" t="str">
            <v/>
          </cell>
          <cell r="AQ47">
            <v>0</v>
          </cell>
          <cell r="AR47"/>
        </row>
        <row r="48">
          <cell r="R48">
            <v>40057</v>
          </cell>
          <cell r="S48" t="str">
            <v>TOTAL</v>
          </cell>
          <cell r="T48" t="str">
            <v/>
          </cell>
          <cell r="U48" t="str">
            <v/>
          </cell>
          <cell r="V48" t="str">
            <v/>
          </cell>
          <cell r="W48" t="str">
            <v/>
          </cell>
          <cell r="X48" t="str">
            <v/>
          </cell>
          <cell r="Y48" t="str">
            <v/>
          </cell>
          <cell r="Z48" t="str">
            <v/>
          </cell>
          <cell r="AA48"/>
          <cell r="AB48" t="str">
            <v/>
          </cell>
          <cell r="AC48" t="str">
            <v/>
          </cell>
          <cell r="AD48" t="str">
            <v/>
          </cell>
          <cell r="AE48" t="str">
            <v/>
          </cell>
          <cell r="AF48" t="str">
            <v/>
          </cell>
          <cell r="AG48" t="str">
            <v/>
          </cell>
          <cell r="AH48" t="str">
            <v/>
          </cell>
          <cell r="AI48"/>
          <cell r="AJ48" t="str">
            <v/>
          </cell>
          <cell r="AK48" t="str">
            <v/>
          </cell>
          <cell r="AL48" t="str">
            <v/>
          </cell>
          <cell r="AM48" t="str">
            <v/>
          </cell>
          <cell r="AN48" t="str">
            <v/>
          </cell>
          <cell r="AO48" t="str">
            <v/>
          </cell>
          <cell r="AP48" t="str">
            <v/>
          </cell>
          <cell r="AQ48">
            <v>0</v>
          </cell>
          <cell r="AR48"/>
        </row>
        <row r="49">
          <cell r="R49">
            <v>40087</v>
          </cell>
          <cell r="S49" t="str">
            <v>TOTAL</v>
          </cell>
          <cell r="T49" t="str">
            <v/>
          </cell>
          <cell r="U49" t="str">
            <v/>
          </cell>
          <cell r="V49" t="str">
            <v/>
          </cell>
          <cell r="W49" t="str">
            <v/>
          </cell>
          <cell r="X49" t="str">
            <v/>
          </cell>
          <cell r="Y49" t="str">
            <v/>
          </cell>
          <cell r="Z49" t="str">
            <v/>
          </cell>
          <cell r="AA49"/>
          <cell r="AB49" t="str">
            <v/>
          </cell>
          <cell r="AC49" t="str">
            <v/>
          </cell>
          <cell r="AD49" t="str">
            <v/>
          </cell>
          <cell r="AE49" t="str">
            <v/>
          </cell>
          <cell r="AF49" t="str">
            <v/>
          </cell>
          <cell r="AG49" t="str">
            <v/>
          </cell>
          <cell r="AH49" t="str">
            <v/>
          </cell>
          <cell r="AI49"/>
          <cell r="AJ49" t="str">
            <v/>
          </cell>
          <cell r="AK49" t="str">
            <v/>
          </cell>
          <cell r="AL49" t="str">
            <v/>
          </cell>
          <cell r="AM49" t="str">
            <v/>
          </cell>
          <cell r="AN49" t="str">
            <v/>
          </cell>
          <cell r="AO49" t="str">
            <v/>
          </cell>
          <cell r="AP49" t="str">
            <v/>
          </cell>
          <cell r="AQ49">
            <v>0</v>
          </cell>
          <cell r="AR49"/>
        </row>
        <row r="50">
          <cell r="R50">
            <v>40118</v>
          </cell>
          <cell r="S50"/>
          <cell r="T50"/>
          <cell r="U50"/>
          <cell r="V50"/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 t="str">
            <v/>
          </cell>
          <cell r="AL50" t="str">
            <v/>
          </cell>
          <cell r="AM50"/>
          <cell r="AN50"/>
          <cell r="AO50"/>
          <cell r="AP50"/>
          <cell r="AQ50">
            <v>0</v>
          </cell>
          <cell r="AR50"/>
        </row>
        <row r="51">
          <cell r="R51">
            <v>40148</v>
          </cell>
          <cell r="S51"/>
          <cell r="T51"/>
          <cell r="U51"/>
          <cell r="V51"/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 t="str">
            <v/>
          </cell>
          <cell r="AL51" t="str">
            <v/>
          </cell>
          <cell r="AM51"/>
          <cell r="AN51"/>
          <cell r="AO51"/>
          <cell r="AP51"/>
          <cell r="AQ51">
            <v>0</v>
          </cell>
          <cell r="AR51"/>
        </row>
        <row r="52">
          <cell r="R52"/>
          <cell r="S52"/>
          <cell r="T52"/>
          <cell r="U52"/>
          <cell r="V52"/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 t="str">
            <v/>
          </cell>
          <cell r="AM52"/>
          <cell r="AN52"/>
          <cell r="AO52"/>
          <cell r="AP52"/>
          <cell r="AQ52"/>
          <cell r="AR52"/>
        </row>
      </sheetData>
      <sheetData sheetId="34"/>
      <sheetData sheetId="35">
        <row r="13">
          <cell r="AD13" t="str">
            <v>Mes Reproceso</v>
          </cell>
          <cell r="AE13"/>
          <cell r="AF13"/>
          <cell r="AG13"/>
          <cell r="AH13"/>
          <cell r="AI13"/>
          <cell r="AJ13"/>
          <cell r="AK13"/>
          <cell r="AL13"/>
          <cell r="AM13"/>
          <cell r="AN13" t="str">
            <v>Mes Defectuoso</v>
          </cell>
          <cell r="AO13"/>
          <cell r="AP13"/>
          <cell r="AQ13"/>
          <cell r="AR13"/>
          <cell r="AS13"/>
          <cell r="AT13"/>
          <cell r="AU13"/>
          <cell r="AV13" t="str">
            <v>Acumulado Reproceso</v>
          </cell>
          <cell r="AW13"/>
          <cell r="AX13"/>
          <cell r="AY13"/>
          <cell r="AZ13"/>
          <cell r="BA13"/>
          <cell r="BB13"/>
          <cell r="BC13"/>
          <cell r="BD13"/>
          <cell r="BE13" t="str">
            <v>Acumulado Defectuoso</v>
          </cell>
          <cell r="BF13"/>
          <cell r="BG13"/>
          <cell r="BH13"/>
          <cell r="BI13"/>
          <cell r="BJ13"/>
          <cell r="BK13"/>
          <cell r="BL13"/>
          <cell r="BM13"/>
        </row>
        <row r="14">
          <cell r="AD14"/>
          <cell r="AE14"/>
          <cell r="AF14">
            <v>0</v>
          </cell>
          <cell r="AG14"/>
          <cell r="AH14"/>
          <cell r="AI14" t="str">
            <v>Var 1.</v>
          </cell>
          <cell r="AJ14"/>
          <cell r="AK14" t="str">
            <v>Var. 2</v>
          </cell>
          <cell r="AL14"/>
          <cell r="AM14"/>
          <cell r="AN14">
            <v>0</v>
          </cell>
          <cell r="AO14"/>
          <cell r="AP14"/>
          <cell r="AQ14" t="str">
            <v>Var 1.</v>
          </cell>
          <cell r="AR14"/>
          <cell r="AS14" t="str">
            <v>Var. 2</v>
          </cell>
          <cell r="AT14"/>
          <cell r="AU14"/>
          <cell r="AV14">
            <v>0</v>
          </cell>
          <cell r="AW14"/>
          <cell r="AX14"/>
          <cell r="AY14" t="str">
            <v>Var 1.</v>
          </cell>
          <cell r="AZ14"/>
          <cell r="BA14" t="str">
            <v>Var. 2</v>
          </cell>
          <cell r="BB14"/>
          <cell r="BC14" t="str">
            <v>Acumula</v>
          </cell>
          <cell r="BD14"/>
          <cell r="BE14">
            <v>0</v>
          </cell>
          <cell r="BF14"/>
          <cell r="BG14"/>
          <cell r="BH14" t="str">
            <v>Var 1.</v>
          </cell>
          <cell r="BI14"/>
          <cell r="BJ14" t="str">
            <v>Var. 2</v>
          </cell>
          <cell r="BK14"/>
          <cell r="BL14" t="str">
            <v>Acumula</v>
          </cell>
          <cell r="BM14"/>
        </row>
        <row r="15">
          <cell r="AD15" t="str">
            <v>Fecha</v>
          </cell>
          <cell r="AE15" t="str">
            <v>TIPO2</v>
          </cell>
          <cell r="AF15" t="str">
            <v>Anteriores</v>
          </cell>
          <cell r="AG15" t="str">
            <v>Real</v>
          </cell>
          <cell r="AH15" t="str">
            <v>Programado</v>
          </cell>
          <cell r="AI15" t="str">
            <v>Unidades</v>
          </cell>
          <cell r="AJ15" t="str">
            <v>%</v>
          </cell>
          <cell r="AK15" t="str">
            <v>Unidades</v>
          </cell>
          <cell r="AL15" t="str">
            <v>%</v>
          </cell>
          <cell r="AM15"/>
          <cell r="AN15" t="str">
            <v>Programado</v>
          </cell>
          <cell r="AO15" t="str">
            <v>Real</v>
          </cell>
          <cell r="AP15" t="str">
            <v>Programado</v>
          </cell>
          <cell r="AQ15" t="str">
            <v>Unidades</v>
          </cell>
          <cell r="AR15" t="str">
            <v>%</v>
          </cell>
          <cell r="AS15" t="str">
            <v>Unidades</v>
          </cell>
          <cell r="AT15" t="str">
            <v>%</v>
          </cell>
          <cell r="AU15"/>
          <cell r="AV15" t="str">
            <v>Anterior</v>
          </cell>
          <cell r="AW15" t="str">
            <v>Real</v>
          </cell>
          <cell r="AX15" t="str">
            <v>Programado</v>
          </cell>
          <cell r="AY15" t="str">
            <v>Unidades</v>
          </cell>
          <cell r="AZ15" t="str">
            <v>%</v>
          </cell>
          <cell r="BA15" t="str">
            <v>Unidades</v>
          </cell>
          <cell r="BB15" t="str">
            <v>%</v>
          </cell>
          <cell r="BC15" t="str">
            <v>PPTO</v>
          </cell>
          <cell r="BD15" t="str">
            <v>Avance</v>
          </cell>
          <cell r="BE15" t="str">
            <v>Anteriores</v>
          </cell>
          <cell r="BF15" t="str">
            <v>Real</v>
          </cell>
          <cell r="BG15" t="str">
            <v>Programado</v>
          </cell>
          <cell r="BH15" t="str">
            <v>Unidades</v>
          </cell>
          <cell r="BI15" t="str">
            <v>%</v>
          </cell>
          <cell r="BJ15" t="str">
            <v>Unidades</v>
          </cell>
          <cell r="BK15" t="str">
            <v>%</v>
          </cell>
          <cell r="BL15" t="str">
            <v>PPTO</v>
          </cell>
          <cell r="BM15" t="str">
            <v>Avance</v>
          </cell>
        </row>
        <row r="16">
          <cell r="B16">
            <v>39083</v>
          </cell>
          <cell r="C16">
            <v>39083</v>
          </cell>
          <cell r="D16" t="str">
            <v>TOTAL</v>
          </cell>
          <cell r="E16">
            <v>0</v>
          </cell>
          <cell r="F16" t="str">
            <v>g</v>
          </cell>
          <cell r="G16" t="str">
            <v>c</v>
          </cell>
          <cell r="H16" t="str">
            <v>c</v>
          </cell>
          <cell r="I16">
            <v>0.02</v>
          </cell>
          <cell r="J16">
            <v>0.01</v>
          </cell>
          <cell r="K16">
            <v>0</v>
          </cell>
          <cell r="L16" t="str">
            <v>g</v>
          </cell>
          <cell r="M16" t="str">
            <v>c</v>
          </cell>
          <cell r="N16" t="str">
            <v>c</v>
          </cell>
          <cell r="O16">
            <v>0.02</v>
          </cell>
          <cell r="P16">
            <v>0.01</v>
          </cell>
          <cell r="Q16">
            <v>0</v>
          </cell>
          <cell r="R16" t="str">
            <v>g</v>
          </cell>
          <cell r="S16" t="str">
            <v>c</v>
          </cell>
          <cell r="T16" t="str">
            <v>c</v>
          </cell>
          <cell r="U16">
            <v>0.02</v>
          </cell>
          <cell r="V16">
            <v>0.01</v>
          </cell>
          <cell r="W16">
            <v>0</v>
          </cell>
          <cell r="X16" t="str">
            <v>g</v>
          </cell>
          <cell r="Y16" t="str">
            <v>c</v>
          </cell>
          <cell r="Z16" t="str">
            <v>c</v>
          </cell>
          <cell r="AA16">
            <v>0.02</v>
          </cell>
          <cell r="AB16">
            <v>0.01</v>
          </cell>
          <cell r="AD16">
            <v>39083</v>
          </cell>
          <cell r="AE16" t="str">
            <v>TOTAL</v>
          </cell>
          <cell r="AF16"/>
          <cell r="AG16"/>
          <cell r="AH16">
            <v>0</v>
          </cell>
          <cell r="AI16" t="str">
            <v/>
          </cell>
          <cell r="AJ16"/>
          <cell r="AK16">
            <v>0</v>
          </cell>
          <cell r="AL16" t="e">
            <v>#DIV/0!</v>
          </cell>
          <cell r="AM16"/>
          <cell r="AN16"/>
          <cell r="AO16"/>
          <cell r="AP16">
            <v>0</v>
          </cell>
          <cell r="AQ16" t="str">
            <v/>
          </cell>
          <cell r="AR16"/>
          <cell r="AS16">
            <v>0</v>
          </cell>
          <cell r="AT16"/>
          <cell r="AU16"/>
          <cell r="AV16"/>
          <cell r="AW16"/>
          <cell r="AX16">
            <v>0</v>
          </cell>
          <cell r="AY16" t="str">
            <v/>
          </cell>
          <cell r="AZ16"/>
          <cell r="BA16">
            <v>0</v>
          </cell>
          <cell r="BB16" t="e">
            <v>#DIV/0!</v>
          </cell>
          <cell r="BC16">
            <v>0</v>
          </cell>
          <cell r="BD16" t="e">
            <v>#DIV/0!</v>
          </cell>
          <cell r="BE16"/>
          <cell r="BF16"/>
          <cell r="BG16">
            <v>0</v>
          </cell>
          <cell r="BH16" t="str">
            <v/>
          </cell>
          <cell r="BI16"/>
          <cell r="BJ16">
            <v>0</v>
          </cell>
          <cell r="BK16"/>
          <cell r="BL16">
            <v>0</v>
          </cell>
          <cell r="BM16"/>
        </row>
        <row r="17">
          <cell r="B17">
            <v>39114</v>
          </cell>
          <cell r="C17">
            <v>39114</v>
          </cell>
          <cell r="D17" t="str">
            <v>TOTAL</v>
          </cell>
          <cell r="E17">
            <v>0</v>
          </cell>
          <cell r="F17" t="str">
            <v>g</v>
          </cell>
          <cell r="G17" t="str">
            <v>c</v>
          </cell>
          <cell r="H17" t="str">
            <v>c</v>
          </cell>
          <cell r="I17">
            <v>0.02</v>
          </cell>
          <cell r="J17">
            <v>0.01</v>
          </cell>
          <cell r="K17">
            <v>0</v>
          </cell>
          <cell r="L17" t="str">
            <v>g</v>
          </cell>
          <cell r="M17" t="str">
            <v>c</v>
          </cell>
          <cell r="N17" t="str">
            <v>c</v>
          </cell>
          <cell r="O17">
            <v>0.02</v>
          </cell>
          <cell r="P17">
            <v>0.01</v>
          </cell>
          <cell r="Q17">
            <v>0</v>
          </cell>
          <cell r="R17" t="str">
            <v>g</v>
          </cell>
          <cell r="S17" t="str">
            <v>c</v>
          </cell>
          <cell r="T17" t="str">
            <v>c</v>
          </cell>
          <cell r="U17">
            <v>0.02</v>
          </cell>
          <cell r="V17">
            <v>0.01</v>
          </cell>
          <cell r="W17">
            <v>0</v>
          </cell>
          <cell r="X17" t="str">
            <v>g</v>
          </cell>
          <cell r="Y17" t="str">
            <v>c</v>
          </cell>
          <cell r="Z17" t="str">
            <v>c</v>
          </cell>
          <cell r="AA17">
            <v>0.02</v>
          </cell>
          <cell r="AB17">
            <v>0.01</v>
          </cell>
          <cell r="AD17">
            <v>39114</v>
          </cell>
          <cell r="AE17" t="str">
            <v>TOTAL</v>
          </cell>
          <cell r="AF17"/>
          <cell r="AG17"/>
          <cell r="AH17">
            <v>0</v>
          </cell>
          <cell r="AI17" t="str">
            <v/>
          </cell>
          <cell r="AJ17"/>
          <cell r="AK17">
            <v>0</v>
          </cell>
          <cell r="AL17" t="e">
            <v>#DIV/0!</v>
          </cell>
          <cell r="AM17"/>
          <cell r="AN17"/>
          <cell r="AO17"/>
          <cell r="AP17">
            <v>0</v>
          </cell>
          <cell r="AQ17" t="str">
            <v/>
          </cell>
          <cell r="AR17"/>
          <cell r="AS17">
            <v>0</v>
          </cell>
          <cell r="AT17"/>
          <cell r="AU17"/>
          <cell r="AV17"/>
          <cell r="AW17"/>
          <cell r="AX17">
            <v>0</v>
          </cell>
          <cell r="AY17" t="str">
            <v/>
          </cell>
          <cell r="AZ17"/>
          <cell r="BA17">
            <v>0</v>
          </cell>
          <cell r="BB17" t="e">
            <v>#DIV/0!</v>
          </cell>
          <cell r="BC17">
            <v>0</v>
          </cell>
          <cell r="BD17" t="e">
            <v>#DIV/0!</v>
          </cell>
          <cell r="BE17"/>
          <cell r="BF17"/>
          <cell r="BG17">
            <v>0</v>
          </cell>
          <cell r="BH17" t="str">
            <v/>
          </cell>
          <cell r="BI17"/>
          <cell r="BJ17">
            <v>0</v>
          </cell>
          <cell r="BK17"/>
          <cell r="BL17">
            <v>0</v>
          </cell>
          <cell r="BM17"/>
        </row>
        <row r="18">
          <cell r="B18">
            <v>39142</v>
          </cell>
          <cell r="C18">
            <v>39142</v>
          </cell>
          <cell r="D18" t="str">
            <v>TOTAL</v>
          </cell>
          <cell r="E18">
            <v>0</v>
          </cell>
          <cell r="F18" t="str">
            <v>g</v>
          </cell>
          <cell r="G18" t="str">
            <v>c</v>
          </cell>
          <cell r="H18" t="str">
            <v>c</v>
          </cell>
          <cell r="I18">
            <v>0.02</v>
          </cell>
          <cell r="J18">
            <v>0.01</v>
          </cell>
          <cell r="K18">
            <v>0</v>
          </cell>
          <cell r="L18" t="str">
            <v>g</v>
          </cell>
          <cell r="M18" t="str">
            <v>c</v>
          </cell>
          <cell r="N18" t="str">
            <v>c</v>
          </cell>
          <cell r="O18">
            <v>0.02</v>
          </cell>
          <cell r="P18">
            <v>0.01</v>
          </cell>
          <cell r="Q18">
            <v>0</v>
          </cell>
          <cell r="R18" t="str">
            <v>g</v>
          </cell>
          <cell r="S18" t="str">
            <v>c</v>
          </cell>
          <cell r="T18" t="str">
            <v>c</v>
          </cell>
          <cell r="U18">
            <v>0.02</v>
          </cell>
          <cell r="V18">
            <v>0.01</v>
          </cell>
          <cell r="W18">
            <v>0</v>
          </cell>
          <cell r="X18" t="str">
            <v>g</v>
          </cell>
          <cell r="Y18" t="str">
            <v>c</v>
          </cell>
          <cell r="Z18" t="str">
            <v>c</v>
          </cell>
          <cell r="AA18">
            <v>0.02</v>
          </cell>
          <cell r="AB18">
            <v>0.01</v>
          </cell>
          <cell r="AD18">
            <v>39142</v>
          </cell>
          <cell r="AE18" t="str">
            <v>TOTAL</v>
          </cell>
          <cell r="AF18"/>
          <cell r="AG18"/>
          <cell r="AH18">
            <v>0</v>
          </cell>
          <cell r="AI18" t="str">
            <v/>
          </cell>
          <cell r="AJ18"/>
          <cell r="AK18">
            <v>0</v>
          </cell>
          <cell r="AL18" t="e">
            <v>#DIV/0!</v>
          </cell>
          <cell r="AM18"/>
          <cell r="AN18"/>
          <cell r="AO18"/>
          <cell r="AP18">
            <v>0</v>
          </cell>
          <cell r="AQ18" t="str">
            <v/>
          </cell>
          <cell r="AR18"/>
          <cell r="AS18">
            <v>0</v>
          </cell>
          <cell r="AT18"/>
          <cell r="AU18"/>
          <cell r="AV18"/>
          <cell r="AW18"/>
          <cell r="AX18">
            <v>0</v>
          </cell>
          <cell r="AY18" t="str">
            <v/>
          </cell>
          <cell r="AZ18"/>
          <cell r="BA18">
            <v>0</v>
          </cell>
          <cell r="BB18" t="e">
            <v>#DIV/0!</v>
          </cell>
          <cell r="BC18">
            <v>0</v>
          </cell>
          <cell r="BD18" t="e">
            <v>#DIV/0!</v>
          </cell>
          <cell r="BE18"/>
          <cell r="BF18"/>
          <cell r="BG18">
            <v>0</v>
          </cell>
          <cell r="BH18" t="str">
            <v/>
          </cell>
          <cell r="BI18"/>
          <cell r="BJ18">
            <v>0</v>
          </cell>
          <cell r="BK18"/>
          <cell r="BL18">
            <v>0</v>
          </cell>
          <cell r="BM18"/>
        </row>
        <row r="19">
          <cell r="B19">
            <v>39173</v>
          </cell>
          <cell r="C19">
            <v>39173</v>
          </cell>
          <cell r="D19" t="str">
            <v>TOTAL</v>
          </cell>
          <cell r="E19">
            <v>0</v>
          </cell>
          <cell r="F19" t="str">
            <v>g</v>
          </cell>
          <cell r="G19" t="str">
            <v>c</v>
          </cell>
          <cell r="H19" t="str">
            <v>c</v>
          </cell>
          <cell r="I19">
            <v>0.02</v>
          </cell>
          <cell r="J19">
            <v>0.01</v>
          </cell>
          <cell r="K19">
            <v>0</v>
          </cell>
          <cell r="L19" t="str">
            <v>g</v>
          </cell>
          <cell r="M19" t="str">
            <v>c</v>
          </cell>
          <cell r="N19" t="str">
            <v>c</v>
          </cell>
          <cell r="O19">
            <v>0.02</v>
          </cell>
          <cell r="P19">
            <v>0.01</v>
          </cell>
          <cell r="Q19">
            <v>0</v>
          </cell>
          <cell r="R19" t="str">
            <v>g</v>
          </cell>
          <cell r="S19" t="str">
            <v>c</v>
          </cell>
          <cell r="T19" t="str">
            <v>c</v>
          </cell>
          <cell r="U19">
            <v>0.02</v>
          </cell>
          <cell r="V19">
            <v>0.01</v>
          </cell>
          <cell r="W19">
            <v>0</v>
          </cell>
          <cell r="X19" t="str">
            <v>g</v>
          </cell>
          <cell r="Y19" t="str">
            <v>c</v>
          </cell>
          <cell r="Z19" t="str">
            <v>c</v>
          </cell>
          <cell r="AA19">
            <v>0.02</v>
          </cell>
          <cell r="AB19">
            <v>0.01</v>
          </cell>
          <cell r="AD19">
            <v>39173</v>
          </cell>
          <cell r="AE19" t="str">
            <v>TOTAL</v>
          </cell>
          <cell r="AF19"/>
          <cell r="AG19"/>
          <cell r="AH19">
            <v>0</v>
          </cell>
          <cell r="AI19" t="str">
            <v/>
          </cell>
          <cell r="AJ19"/>
          <cell r="AK19">
            <v>0</v>
          </cell>
          <cell r="AL19" t="e">
            <v>#DIV/0!</v>
          </cell>
          <cell r="AM19"/>
          <cell r="AN19"/>
          <cell r="AO19"/>
          <cell r="AP19">
            <v>0</v>
          </cell>
          <cell r="AQ19" t="str">
            <v/>
          </cell>
          <cell r="AR19"/>
          <cell r="AS19">
            <v>0</v>
          </cell>
          <cell r="AT19"/>
          <cell r="AU19"/>
          <cell r="AV19"/>
          <cell r="AW19"/>
          <cell r="AX19">
            <v>0</v>
          </cell>
          <cell r="AY19" t="str">
            <v/>
          </cell>
          <cell r="AZ19"/>
          <cell r="BA19">
            <v>0</v>
          </cell>
          <cell r="BB19" t="e">
            <v>#DIV/0!</v>
          </cell>
          <cell r="BC19">
            <v>0</v>
          </cell>
          <cell r="BD19" t="e">
            <v>#DIV/0!</v>
          </cell>
          <cell r="BE19"/>
          <cell r="BF19"/>
          <cell r="BG19">
            <v>0</v>
          </cell>
          <cell r="BH19" t="str">
            <v/>
          </cell>
          <cell r="BI19"/>
          <cell r="BJ19">
            <v>0</v>
          </cell>
          <cell r="BK19"/>
          <cell r="BL19">
            <v>0</v>
          </cell>
          <cell r="BM19"/>
        </row>
        <row r="20">
          <cell r="B20">
            <v>39203</v>
          </cell>
          <cell r="C20">
            <v>39203</v>
          </cell>
          <cell r="D20" t="str">
            <v>TOTAL</v>
          </cell>
          <cell r="E20">
            <v>0</v>
          </cell>
          <cell r="F20" t="str">
            <v>g</v>
          </cell>
          <cell r="G20" t="str">
            <v>c</v>
          </cell>
          <cell r="H20" t="str">
            <v>c</v>
          </cell>
          <cell r="I20">
            <v>0.02</v>
          </cell>
          <cell r="J20">
            <v>0.01</v>
          </cell>
          <cell r="K20">
            <v>0</v>
          </cell>
          <cell r="L20" t="str">
            <v>g</v>
          </cell>
          <cell r="M20" t="str">
            <v>c</v>
          </cell>
          <cell r="N20" t="str">
            <v>c</v>
          </cell>
          <cell r="O20">
            <v>0.02</v>
          </cell>
          <cell r="P20">
            <v>0.01</v>
          </cell>
          <cell r="Q20">
            <v>0</v>
          </cell>
          <cell r="R20" t="str">
            <v>g</v>
          </cell>
          <cell r="S20" t="str">
            <v>c</v>
          </cell>
          <cell r="T20" t="str">
            <v>c</v>
          </cell>
          <cell r="U20">
            <v>0.02</v>
          </cell>
          <cell r="V20">
            <v>0.01</v>
          </cell>
          <cell r="W20">
            <v>0</v>
          </cell>
          <cell r="X20" t="str">
            <v>g</v>
          </cell>
          <cell r="Y20" t="str">
            <v>c</v>
          </cell>
          <cell r="Z20" t="str">
            <v>c</v>
          </cell>
          <cell r="AA20">
            <v>0.02</v>
          </cell>
          <cell r="AB20">
            <v>0.01</v>
          </cell>
          <cell r="AD20">
            <v>39203</v>
          </cell>
          <cell r="AE20" t="str">
            <v>TOTAL</v>
          </cell>
          <cell r="AF20"/>
          <cell r="AG20"/>
          <cell r="AH20">
            <v>0</v>
          </cell>
          <cell r="AI20" t="str">
            <v/>
          </cell>
          <cell r="AJ20"/>
          <cell r="AK20">
            <v>0</v>
          </cell>
          <cell r="AL20" t="e">
            <v>#DIV/0!</v>
          </cell>
          <cell r="AM20"/>
          <cell r="AN20"/>
          <cell r="AO20"/>
          <cell r="AP20">
            <v>0</v>
          </cell>
          <cell r="AQ20" t="str">
            <v/>
          </cell>
          <cell r="AR20"/>
          <cell r="AS20">
            <v>0</v>
          </cell>
          <cell r="AT20"/>
          <cell r="AU20"/>
          <cell r="AV20"/>
          <cell r="AW20"/>
          <cell r="AX20">
            <v>0</v>
          </cell>
          <cell r="AY20" t="str">
            <v/>
          </cell>
          <cell r="AZ20"/>
          <cell r="BA20">
            <v>0</v>
          </cell>
          <cell r="BB20" t="e">
            <v>#DIV/0!</v>
          </cell>
          <cell r="BC20">
            <v>0</v>
          </cell>
          <cell r="BD20" t="e">
            <v>#DIV/0!</v>
          </cell>
          <cell r="BE20"/>
          <cell r="BF20"/>
          <cell r="BG20">
            <v>0</v>
          </cell>
          <cell r="BH20" t="str">
            <v/>
          </cell>
          <cell r="BI20"/>
          <cell r="BJ20">
            <v>0</v>
          </cell>
          <cell r="BK20"/>
          <cell r="BL20">
            <v>0</v>
          </cell>
          <cell r="BM20"/>
        </row>
        <row r="21">
          <cell r="B21">
            <v>39234</v>
          </cell>
          <cell r="C21">
            <v>39234</v>
          </cell>
          <cell r="D21" t="str">
            <v>TOTAL</v>
          </cell>
          <cell r="E21">
            <v>0</v>
          </cell>
          <cell r="F21" t="str">
            <v>g</v>
          </cell>
          <cell r="G21" t="str">
            <v>c</v>
          </cell>
          <cell r="H21" t="str">
            <v>c</v>
          </cell>
          <cell r="I21">
            <v>0.02</v>
          </cell>
          <cell r="J21">
            <v>0.01</v>
          </cell>
          <cell r="K21">
            <v>0</v>
          </cell>
          <cell r="L21" t="str">
            <v>g</v>
          </cell>
          <cell r="M21" t="str">
            <v>c</v>
          </cell>
          <cell r="N21" t="str">
            <v>c</v>
          </cell>
          <cell r="O21">
            <v>0.02</v>
          </cell>
          <cell r="P21">
            <v>0.01</v>
          </cell>
          <cell r="Q21">
            <v>0</v>
          </cell>
          <cell r="R21" t="str">
            <v>g</v>
          </cell>
          <cell r="S21" t="str">
            <v>c</v>
          </cell>
          <cell r="T21" t="str">
            <v>c</v>
          </cell>
          <cell r="U21">
            <v>0.02</v>
          </cell>
          <cell r="V21">
            <v>0.01</v>
          </cell>
          <cell r="W21">
            <v>0</v>
          </cell>
          <cell r="X21" t="str">
            <v>g</v>
          </cell>
          <cell r="Y21" t="str">
            <v>c</v>
          </cell>
          <cell r="Z21" t="str">
            <v>c</v>
          </cell>
          <cell r="AA21">
            <v>0.02</v>
          </cell>
          <cell r="AB21">
            <v>0.01</v>
          </cell>
          <cell r="AD21">
            <v>39234</v>
          </cell>
          <cell r="AE21" t="str">
            <v>TOTAL</v>
          </cell>
          <cell r="AF21"/>
          <cell r="AG21"/>
          <cell r="AH21">
            <v>0</v>
          </cell>
          <cell r="AI21" t="str">
            <v/>
          </cell>
          <cell r="AJ21"/>
          <cell r="AK21">
            <v>0</v>
          </cell>
          <cell r="AL21" t="e">
            <v>#DIV/0!</v>
          </cell>
          <cell r="AM21"/>
          <cell r="AN21"/>
          <cell r="AO21"/>
          <cell r="AP21">
            <v>0</v>
          </cell>
          <cell r="AQ21" t="str">
            <v/>
          </cell>
          <cell r="AR21"/>
          <cell r="AS21">
            <v>0</v>
          </cell>
          <cell r="AT21"/>
          <cell r="AU21"/>
          <cell r="AV21"/>
          <cell r="AW21"/>
          <cell r="AX21">
            <v>0</v>
          </cell>
          <cell r="AY21" t="str">
            <v/>
          </cell>
          <cell r="AZ21"/>
          <cell r="BA21">
            <v>0</v>
          </cell>
          <cell r="BB21" t="e">
            <v>#DIV/0!</v>
          </cell>
          <cell r="BC21">
            <v>0</v>
          </cell>
          <cell r="BD21" t="e">
            <v>#DIV/0!</v>
          </cell>
          <cell r="BE21"/>
          <cell r="BF21"/>
          <cell r="BG21">
            <v>0</v>
          </cell>
          <cell r="BH21" t="str">
            <v/>
          </cell>
          <cell r="BI21"/>
          <cell r="BJ21">
            <v>0</v>
          </cell>
          <cell r="BK21"/>
          <cell r="BL21">
            <v>0</v>
          </cell>
          <cell r="BM21"/>
        </row>
        <row r="22">
          <cell r="B22">
            <v>39264</v>
          </cell>
          <cell r="C22">
            <v>39264</v>
          </cell>
          <cell r="D22" t="str">
            <v>TOTAL</v>
          </cell>
          <cell r="E22">
            <v>0</v>
          </cell>
          <cell r="F22" t="str">
            <v>g</v>
          </cell>
          <cell r="G22" t="str">
            <v>c</v>
          </cell>
          <cell r="H22" t="str">
            <v>c</v>
          </cell>
          <cell r="I22">
            <v>0.02</v>
          </cell>
          <cell r="J22">
            <v>0.01</v>
          </cell>
          <cell r="K22">
            <v>0</v>
          </cell>
          <cell r="L22" t="str">
            <v>g</v>
          </cell>
          <cell r="M22" t="str">
            <v>c</v>
          </cell>
          <cell r="N22" t="str">
            <v>c</v>
          </cell>
          <cell r="O22">
            <v>0.02</v>
          </cell>
          <cell r="P22">
            <v>0.01</v>
          </cell>
          <cell r="Q22">
            <v>0</v>
          </cell>
          <cell r="R22" t="str">
            <v>g</v>
          </cell>
          <cell r="S22" t="str">
            <v>c</v>
          </cell>
          <cell r="T22" t="str">
            <v>c</v>
          </cell>
          <cell r="U22">
            <v>0.02</v>
          </cell>
          <cell r="V22">
            <v>0.01</v>
          </cell>
          <cell r="W22">
            <v>0</v>
          </cell>
          <cell r="X22" t="str">
            <v>g</v>
          </cell>
          <cell r="Y22" t="str">
            <v>c</v>
          </cell>
          <cell r="Z22" t="str">
            <v>c</v>
          </cell>
          <cell r="AA22">
            <v>0.02</v>
          </cell>
          <cell r="AB22">
            <v>0.01</v>
          </cell>
          <cell r="AD22">
            <v>39264</v>
          </cell>
          <cell r="AE22" t="str">
            <v>TOTAL</v>
          </cell>
          <cell r="AF22"/>
          <cell r="AG22"/>
          <cell r="AH22">
            <v>0</v>
          </cell>
          <cell r="AI22" t="str">
            <v/>
          </cell>
          <cell r="AJ22"/>
          <cell r="AK22">
            <v>0</v>
          </cell>
          <cell r="AL22" t="e">
            <v>#DIV/0!</v>
          </cell>
          <cell r="AM22"/>
          <cell r="AN22"/>
          <cell r="AO22"/>
          <cell r="AP22">
            <v>0</v>
          </cell>
          <cell r="AQ22" t="str">
            <v/>
          </cell>
          <cell r="AR22"/>
          <cell r="AS22">
            <v>0</v>
          </cell>
          <cell r="AT22"/>
          <cell r="AU22"/>
          <cell r="AV22"/>
          <cell r="AW22"/>
          <cell r="AX22">
            <v>0</v>
          </cell>
          <cell r="AY22" t="str">
            <v/>
          </cell>
          <cell r="AZ22"/>
          <cell r="BA22">
            <v>0</v>
          </cell>
          <cell r="BB22" t="e">
            <v>#DIV/0!</v>
          </cell>
          <cell r="BC22">
            <v>0</v>
          </cell>
          <cell r="BD22" t="e">
            <v>#DIV/0!</v>
          </cell>
          <cell r="BE22"/>
          <cell r="BF22"/>
          <cell r="BG22">
            <v>0</v>
          </cell>
          <cell r="BH22" t="str">
            <v/>
          </cell>
          <cell r="BI22"/>
          <cell r="BJ22">
            <v>0</v>
          </cell>
          <cell r="BK22"/>
          <cell r="BL22">
            <v>0</v>
          </cell>
          <cell r="BM22"/>
        </row>
        <row r="23">
          <cell r="B23">
            <v>39295</v>
          </cell>
          <cell r="C23">
            <v>39295</v>
          </cell>
          <cell r="D23" t="str">
            <v>TOTAL</v>
          </cell>
          <cell r="E23">
            <v>0</v>
          </cell>
          <cell r="F23" t="str">
            <v>g</v>
          </cell>
          <cell r="G23" t="str">
            <v>c</v>
          </cell>
          <cell r="H23" t="str">
            <v>c</v>
          </cell>
          <cell r="I23">
            <v>0.02</v>
          </cell>
          <cell r="J23">
            <v>0.01</v>
          </cell>
          <cell r="K23">
            <v>0</v>
          </cell>
          <cell r="L23" t="str">
            <v>g</v>
          </cell>
          <cell r="M23" t="str">
            <v>c</v>
          </cell>
          <cell r="N23" t="str">
            <v>c</v>
          </cell>
          <cell r="O23">
            <v>0.02</v>
          </cell>
          <cell r="P23">
            <v>0.01</v>
          </cell>
          <cell r="Q23">
            <v>0</v>
          </cell>
          <cell r="R23" t="str">
            <v>g</v>
          </cell>
          <cell r="S23" t="str">
            <v>c</v>
          </cell>
          <cell r="T23" t="str">
            <v>c</v>
          </cell>
          <cell r="U23">
            <v>0.02</v>
          </cell>
          <cell r="V23">
            <v>0.01</v>
          </cell>
          <cell r="W23">
            <v>0</v>
          </cell>
          <cell r="X23" t="str">
            <v>g</v>
          </cell>
          <cell r="Y23" t="str">
            <v>c</v>
          </cell>
          <cell r="Z23" t="str">
            <v>c</v>
          </cell>
          <cell r="AA23">
            <v>0.02</v>
          </cell>
          <cell r="AB23">
            <v>0.01</v>
          </cell>
          <cell r="AD23">
            <v>39295</v>
          </cell>
          <cell r="AE23" t="str">
            <v>TOTAL</v>
          </cell>
          <cell r="AF23"/>
          <cell r="AG23"/>
          <cell r="AH23">
            <v>0</v>
          </cell>
          <cell r="AI23" t="str">
            <v/>
          </cell>
          <cell r="AJ23"/>
          <cell r="AK23">
            <v>0</v>
          </cell>
          <cell r="AL23" t="e">
            <v>#DIV/0!</v>
          </cell>
          <cell r="AM23"/>
          <cell r="AN23"/>
          <cell r="AO23"/>
          <cell r="AP23">
            <v>0</v>
          </cell>
          <cell r="AQ23" t="str">
            <v/>
          </cell>
          <cell r="AR23"/>
          <cell r="AS23">
            <v>0</v>
          </cell>
          <cell r="AT23"/>
          <cell r="AU23"/>
          <cell r="AV23"/>
          <cell r="AW23"/>
          <cell r="AX23">
            <v>0</v>
          </cell>
          <cell r="AY23" t="str">
            <v/>
          </cell>
          <cell r="AZ23"/>
          <cell r="BA23">
            <v>0</v>
          </cell>
          <cell r="BB23" t="e">
            <v>#DIV/0!</v>
          </cell>
          <cell r="BC23">
            <v>0</v>
          </cell>
          <cell r="BD23" t="e">
            <v>#DIV/0!</v>
          </cell>
          <cell r="BE23"/>
          <cell r="BF23"/>
          <cell r="BG23">
            <v>0</v>
          </cell>
          <cell r="BH23" t="str">
            <v/>
          </cell>
          <cell r="BI23"/>
          <cell r="BJ23">
            <v>0</v>
          </cell>
          <cell r="BK23"/>
          <cell r="BL23">
            <v>0</v>
          </cell>
          <cell r="BM23"/>
        </row>
        <row r="24">
          <cell r="B24">
            <v>39326</v>
          </cell>
          <cell r="C24">
            <v>39326</v>
          </cell>
          <cell r="D24" t="str">
            <v>TOTAL</v>
          </cell>
          <cell r="E24">
            <v>0</v>
          </cell>
          <cell r="F24" t="str">
            <v>g</v>
          </cell>
          <cell r="G24" t="str">
            <v>c</v>
          </cell>
          <cell r="H24" t="str">
            <v>c</v>
          </cell>
          <cell r="I24">
            <v>0.02</v>
          </cell>
          <cell r="J24">
            <v>0.01</v>
          </cell>
          <cell r="K24">
            <v>0</v>
          </cell>
          <cell r="L24" t="str">
            <v>g</v>
          </cell>
          <cell r="M24" t="str">
            <v>c</v>
          </cell>
          <cell r="N24" t="str">
            <v>c</v>
          </cell>
          <cell r="O24">
            <v>0.02</v>
          </cell>
          <cell r="P24">
            <v>0.01</v>
          </cell>
          <cell r="Q24">
            <v>0</v>
          </cell>
          <cell r="R24" t="str">
            <v>g</v>
          </cell>
          <cell r="S24" t="str">
            <v>c</v>
          </cell>
          <cell r="T24" t="str">
            <v>c</v>
          </cell>
          <cell r="U24">
            <v>0.02</v>
          </cell>
          <cell r="V24">
            <v>0.01</v>
          </cell>
          <cell r="W24">
            <v>0</v>
          </cell>
          <cell r="X24" t="str">
            <v>g</v>
          </cell>
          <cell r="Y24" t="str">
            <v>c</v>
          </cell>
          <cell r="Z24" t="str">
            <v>c</v>
          </cell>
          <cell r="AA24">
            <v>0.02</v>
          </cell>
          <cell r="AB24">
            <v>0.01</v>
          </cell>
          <cell r="AD24">
            <v>39326</v>
          </cell>
          <cell r="AE24" t="str">
            <v>TOTAL</v>
          </cell>
          <cell r="AF24"/>
          <cell r="AG24"/>
          <cell r="AH24">
            <v>0</v>
          </cell>
          <cell r="AI24" t="str">
            <v/>
          </cell>
          <cell r="AJ24"/>
          <cell r="AK24">
            <v>0</v>
          </cell>
          <cell r="AL24" t="e">
            <v>#DIV/0!</v>
          </cell>
          <cell r="AM24"/>
          <cell r="AN24"/>
          <cell r="AO24"/>
          <cell r="AP24">
            <v>0</v>
          </cell>
          <cell r="AQ24" t="str">
            <v/>
          </cell>
          <cell r="AR24"/>
          <cell r="AS24">
            <v>0</v>
          </cell>
          <cell r="AT24"/>
          <cell r="AU24"/>
          <cell r="AV24"/>
          <cell r="AW24"/>
          <cell r="AX24">
            <v>0</v>
          </cell>
          <cell r="AY24" t="str">
            <v/>
          </cell>
          <cell r="AZ24"/>
          <cell r="BA24">
            <v>0</v>
          </cell>
          <cell r="BB24" t="e">
            <v>#DIV/0!</v>
          </cell>
          <cell r="BC24">
            <v>0</v>
          </cell>
          <cell r="BD24" t="e">
            <v>#DIV/0!</v>
          </cell>
          <cell r="BE24"/>
          <cell r="BF24"/>
          <cell r="BG24">
            <v>0</v>
          </cell>
          <cell r="BH24" t="str">
            <v/>
          </cell>
          <cell r="BI24"/>
          <cell r="BJ24">
            <v>0</v>
          </cell>
          <cell r="BK24"/>
          <cell r="BL24">
            <v>0</v>
          </cell>
          <cell r="BM24"/>
        </row>
        <row r="25">
          <cell r="B25">
            <v>39356</v>
          </cell>
          <cell r="C25">
            <v>39356</v>
          </cell>
          <cell r="D25" t="str">
            <v>TOTAL</v>
          </cell>
          <cell r="E25">
            <v>0</v>
          </cell>
          <cell r="F25" t="str">
            <v>g</v>
          </cell>
          <cell r="G25" t="str">
            <v>c</v>
          </cell>
          <cell r="H25" t="str">
            <v>c</v>
          </cell>
          <cell r="I25">
            <v>0.02</v>
          </cell>
          <cell r="J25">
            <v>0.01</v>
          </cell>
          <cell r="K25">
            <v>0</v>
          </cell>
          <cell r="L25" t="str">
            <v>g</v>
          </cell>
          <cell r="M25" t="str">
            <v>c</v>
          </cell>
          <cell r="N25" t="str">
            <v>c</v>
          </cell>
          <cell r="O25">
            <v>0.02</v>
          </cell>
          <cell r="P25">
            <v>0.01</v>
          </cell>
          <cell r="Q25">
            <v>0</v>
          </cell>
          <cell r="R25" t="str">
            <v>g</v>
          </cell>
          <cell r="S25" t="str">
            <v>c</v>
          </cell>
          <cell r="T25" t="str">
            <v>c</v>
          </cell>
          <cell r="U25">
            <v>0.02</v>
          </cell>
          <cell r="V25">
            <v>0.01</v>
          </cell>
          <cell r="W25">
            <v>0</v>
          </cell>
          <cell r="X25" t="str">
            <v>g</v>
          </cell>
          <cell r="Y25" t="str">
            <v>c</v>
          </cell>
          <cell r="Z25" t="str">
            <v>c</v>
          </cell>
          <cell r="AA25">
            <v>0.02</v>
          </cell>
          <cell r="AB25">
            <v>0.01</v>
          </cell>
          <cell r="AD25">
            <v>39356</v>
          </cell>
          <cell r="AE25" t="str">
            <v>TOTAL</v>
          </cell>
          <cell r="AF25"/>
          <cell r="AG25"/>
          <cell r="AH25">
            <v>0</v>
          </cell>
          <cell r="AI25" t="str">
            <v/>
          </cell>
          <cell r="AJ25"/>
          <cell r="AK25">
            <v>0</v>
          </cell>
          <cell r="AL25" t="e">
            <v>#DIV/0!</v>
          </cell>
          <cell r="AM25"/>
          <cell r="AN25"/>
          <cell r="AO25"/>
          <cell r="AP25">
            <v>0</v>
          </cell>
          <cell r="AQ25" t="str">
            <v/>
          </cell>
          <cell r="AR25"/>
          <cell r="AS25">
            <v>0</v>
          </cell>
          <cell r="AT25"/>
          <cell r="AU25"/>
          <cell r="AV25"/>
          <cell r="AW25"/>
          <cell r="AX25">
            <v>0</v>
          </cell>
          <cell r="AY25" t="str">
            <v/>
          </cell>
          <cell r="AZ25"/>
          <cell r="BA25">
            <v>0</v>
          </cell>
          <cell r="BB25" t="e">
            <v>#DIV/0!</v>
          </cell>
          <cell r="BC25">
            <v>0</v>
          </cell>
          <cell r="BD25" t="e">
            <v>#DIV/0!</v>
          </cell>
          <cell r="BE25"/>
          <cell r="BF25"/>
          <cell r="BG25">
            <v>0</v>
          </cell>
          <cell r="BH25" t="str">
            <v/>
          </cell>
          <cell r="BI25"/>
          <cell r="BJ25">
            <v>0</v>
          </cell>
          <cell r="BK25"/>
          <cell r="BL25">
            <v>0</v>
          </cell>
          <cell r="BM25"/>
        </row>
        <row r="26">
          <cell r="B26">
            <v>39387</v>
          </cell>
          <cell r="C26">
            <v>39387</v>
          </cell>
          <cell r="D26" t="str">
            <v>TOTAL</v>
          </cell>
          <cell r="E26">
            <v>0</v>
          </cell>
          <cell r="F26" t="str">
            <v>g</v>
          </cell>
          <cell r="G26" t="str">
            <v>c</v>
          </cell>
          <cell r="H26" t="str">
            <v>c</v>
          </cell>
          <cell r="I26">
            <v>0.02</v>
          </cell>
          <cell r="J26">
            <v>0.01</v>
          </cell>
          <cell r="K26">
            <v>0</v>
          </cell>
          <cell r="L26" t="str">
            <v>g</v>
          </cell>
          <cell r="M26" t="str">
            <v>c</v>
          </cell>
          <cell r="N26" t="str">
            <v>c</v>
          </cell>
          <cell r="O26">
            <v>0.02</v>
          </cell>
          <cell r="P26">
            <v>0.01</v>
          </cell>
          <cell r="Q26">
            <v>0</v>
          </cell>
          <cell r="R26" t="str">
            <v>g</v>
          </cell>
          <cell r="S26" t="str">
            <v>c</v>
          </cell>
          <cell r="T26" t="str">
            <v>c</v>
          </cell>
          <cell r="U26">
            <v>0.02</v>
          </cell>
          <cell r="V26">
            <v>0.01</v>
          </cell>
          <cell r="W26">
            <v>0</v>
          </cell>
          <cell r="X26" t="str">
            <v>g</v>
          </cell>
          <cell r="Y26" t="str">
            <v>c</v>
          </cell>
          <cell r="Z26" t="str">
            <v>c</v>
          </cell>
          <cell r="AA26">
            <v>0.02</v>
          </cell>
          <cell r="AB26">
            <v>0.01</v>
          </cell>
          <cell r="AD26">
            <v>39387</v>
          </cell>
          <cell r="AE26" t="str">
            <v>TOTAL</v>
          </cell>
          <cell r="AF26"/>
          <cell r="AG26"/>
          <cell r="AH26">
            <v>0</v>
          </cell>
          <cell r="AI26" t="str">
            <v/>
          </cell>
          <cell r="AJ26"/>
          <cell r="AK26">
            <v>0</v>
          </cell>
          <cell r="AL26" t="e">
            <v>#DIV/0!</v>
          </cell>
          <cell r="AM26"/>
          <cell r="AN26"/>
          <cell r="AO26"/>
          <cell r="AP26">
            <v>0</v>
          </cell>
          <cell r="AQ26" t="str">
            <v/>
          </cell>
          <cell r="AR26"/>
          <cell r="AS26">
            <v>0</v>
          </cell>
          <cell r="AT26"/>
          <cell r="AU26"/>
          <cell r="AV26"/>
          <cell r="AW26"/>
          <cell r="AX26">
            <v>0</v>
          </cell>
          <cell r="AY26" t="str">
            <v/>
          </cell>
          <cell r="AZ26"/>
          <cell r="BA26">
            <v>0</v>
          </cell>
          <cell r="BB26" t="e">
            <v>#DIV/0!</v>
          </cell>
          <cell r="BC26">
            <v>0</v>
          </cell>
          <cell r="BD26" t="e">
            <v>#DIV/0!</v>
          </cell>
          <cell r="BE26"/>
          <cell r="BF26"/>
          <cell r="BG26">
            <v>0</v>
          </cell>
          <cell r="BH26" t="str">
            <v/>
          </cell>
          <cell r="BI26"/>
          <cell r="BJ26">
            <v>0</v>
          </cell>
          <cell r="BK26"/>
          <cell r="BL26">
            <v>0</v>
          </cell>
          <cell r="BM26"/>
        </row>
        <row r="27">
          <cell r="B27">
            <v>39417</v>
          </cell>
          <cell r="C27">
            <v>39417</v>
          </cell>
          <cell r="D27" t="str">
            <v>TOTAL</v>
          </cell>
          <cell r="E27">
            <v>0</v>
          </cell>
          <cell r="F27" t="str">
            <v>g</v>
          </cell>
          <cell r="G27" t="str">
            <v>c</v>
          </cell>
          <cell r="H27" t="str">
            <v>c</v>
          </cell>
          <cell r="I27">
            <v>0.02</v>
          </cell>
          <cell r="J27">
            <v>0.01</v>
          </cell>
          <cell r="K27">
            <v>0</v>
          </cell>
          <cell r="L27" t="str">
            <v>g</v>
          </cell>
          <cell r="M27" t="str">
            <v>c</v>
          </cell>
          <cell r="N27" t="str">
            <v>c</v>
          </cell>
          <cell r="O27">
            <v>0.02</v>
          </cell>
          <cell r="P27">
            <v>0.01</v>
          </cell>
          <cell r="Q27">
            <v>0</v>
          </cell>
          <cell r="R27" t="str">
            <v>g</v>
          </cell>
          <cell r="S27" t="str">
            <v>c</v>
          </cell>
          <cell r="T27" t="str">
            <v>c</v>
          </cell>
          <cell r="U27">
            <v>0.02</v>
          </cell>
          <cell r="V27">
            <v>0.01</v>
          </cell>
          <cell r="W27">
            <v>0</v>
          </cell>
          <cell r="X27" t="str">
            <v>g</v>
          </cell>
          <cell r="Y27" t="str">
            <v>c</v>
          </cell>
          <cell r="Z27" t="str">
            <v>c</v>
          </cell>
          <cell r="AA27">
            <v>0.02</v>
          </cell>
          <cell r="AB27">
            <v>0.01</v>
          </cell>
          <cell r="AD27">
            <v>39417</v>
          </cell>
          <cell r="AE27" t="str">
            <v>TOTAL</v>
          </cell>
          <cell r="AF27"/>
          <cell r="AG27"/>
          <cell r="AH27">
            <v>0</v>
          </cell>
          <cell r="AI27" t="str">
            <v/>
          </cell>
          <cell r="AJ27"/>
          <cell r="AK27">
            <v>0</v>
          </cell>
          <cell r="AL27" t="e">
            <v>#DIV/0!</v>
          </cell>
          <cell r="AM27"/>
          <cell r="AN27"/>
          <cell r="AO27"/>
          <cell r="AP27">
            <v>0</v>
          </cell>
          <cell r="AQ27" t="str">
            <v/>
          </cell>
          <cell r="AR27"/>
          <cell r="AS27">
            <v>0</v>
          </cell>
          <cell r="AT27"/>
          <cell r="AU27"/>
          <cell r="AV27"/>
          <cell r="AW27"/>
          <cell r="AX27">
            <v>0</v>
          </cell>
          <cell r="AY27" t="str">
            <v/>
          </cell>
          <cell r="AZ27"/>
          <cell r="BA27">
            <v>0</v>
          </cell>
          <cell r="BB27" t="e">
            <v>#DIV/0!</v>
          </cell>
          <cell r="BC27">
            <v>0</v>
          </cell>
          <cell r="BD27" t="e">
            <v>#DIV/0!</v>
          </cell>
          <cell r="BE27"/>
          <cell r="BF27"/>
          <cell r="BG27">
            <v>0</v>
          </cell>
          <cell r="BH27" t="str">
            <v/>
          </cell>
          <cell r="BI27"/>
          <cell r="BJ27">
            <v>0</v>
          </cell>
          <cell r="BK27"/>
          <cell r="BL27">
            <v>0</v>
          </cell>
          <cell r="BM27"/>
        </row>
        <row r="28">
          <cell r="B28">
            <v>39448</v>
          </cell>
          <cell r="C28">
            <v>39448</v>
          </cell>
          <cell r="D28" t="str">
            <v>TOTAL</v>
          </cell>
          <cell r="E28">
            <v>9.5837272223489919E-3</v>
          </cell>
          <cell r="F28" t="str">
            <v>g</v>
          </cell>
          <cell r="G28" t="str">
            <v>c</v>
          </cell>
          <cell r="H28" t="str">
            <v>c</v>
          </cell>
          <cell r="I28">
            <v>0.02</v>
          </cell>
          <cell r="J28">
            <v>0.01</v>
          </cell>
          <cell r="K28">
            <v>0</v>
          </cell>
          <cell r="L28" t="str">
            <v>g</v>
          </cell>
          <cell r="M28" t="str">
            <v>c</v>
          </cell>
          <cell r="N28" t="str">
            <v>c</v>
          </cell>
          <cell r="O28">
            <v>0.02</v>
          </cell>
          <cell r="P28">
            <v>0.01</v>
          </cell>
          <cell r="Q28">
            <v>9.5837272223489919E-3</v>
          </cell>
          <cell r="R28" t="str">
            <v>g</v>
          </cell>
          <cell r="S28" t="str">
            <v>c</v>
          </cell>
          <cell r="T28" t="str">
            <v>c</v>
          </cell>
          <cell r="U28">
            <v>0.02</v>
          </cell>
          <cell r="V28">
            <v>0.01</v>
          </cell>
          <cell r="W28">
            <v>0</v>
          </cell>
          <cell r="X28" t="str">
            <v>g</v>
          </cell>
          <cell r="Y28" t="str">
            <v>c</v>
          </cell>
          <cell r="Z28" t="str">
            <v>c</v>
          </cell>
          <cell r="AA28">
            <v>0.02</v>
          </cell>
          <cell r="AB28">
            <v>0.01</v>
          </cell>
          <cell r="AD28">
            <v>39448</v>
          </cell>
          <cell r="AE28" t="str">
            <v>TOTAL</v>
          </cell>
          <cell r="AF28"/>
          <cell r="AG28">
            <v>9.5837272223489919E-3</v>
          </cell>
          <cell r="AH28">
            <v>0</v>
          </cell>
          <cell r="AI28">
            <v>9.5837272223489919E-3</v>
          </cell>
          <cell r="AJ28" t="str">
            <v/>
          </cell>
          <cell r="AK28">
            <v>9.5837272223489919E-3</v>
          </cell>
          <cell r="AL28" t="e">
            <v>#DIV/0!</v>
          </cell>
          <cell r="AM28"/>
          <cell r="AN28"/>
          <cell r="AO28">
            <v>0</v>
          </cell>
          <cell r="AP28">
            <v>0</v>
          </cell>
          <cell r="AQ28">
            <v>0</v>
          </cell>
          <cell r="AR28" t="str">
            <v/>
          </cell>
          <cell r="AS28">
            <v>0</v>
          </cell>
          <cell r="AT28"/>
          <cell r="AU28"/>
          <cell r="AV28"/>
          <cell r="AW28">
            <v>9.5837272223489919E-3</v>
          </cell>
          <cell r="AX28">
            <v>0</v>
          </cell>
          <cell r="AY28">
            <v>9.5837272223489919E-3</v>
          </cell>
          <cell r="AZ28" t="str">
            <v/>
          </cell>
          <cell r="BA28">
            <v>9.5837272223489919E-3</v>
          </cell>
          <cell r="BB28" t="e">
            <v>#DIV/0!</v>
          </cell>
          <cell r="BC28">
            <v>0</v>
          </cell>
          <cell r="BD28" t="e">
            <v>#DIV/0!</v>
          </cell>
          <cell r="BE28"/>
          <cell r="BF28">
            <v>0</v>
          </cell>
          <cell r="BG28">
            <v>0</v>
          </cell>
          <cell r="BH28">
            <v>0</v>
          </cell>
          <cell r="BI28" t="str">
            <v/>
          </cell>
          <cell r="BJ28">
            <v>0</v>
          </cell>
          <cell r="BK28"/>
          <cell r="BL28">
            <v>0</v>
          </cell>
          <cell r="BM28"/>
        </row>
        <row r="29">
          <cell r="B29">
            <v>39479</v>
          </cell>
          <cell r="C29">
            <v>39479</v>
          </cell>
          <cell r="D29" t="str">
            <v>TOTAL</v>
          </cell>
          <cell r="E29">
            <v>1.2047496048421296E-2</v>
          </cell>
          <cell r="F29" t="str">
            <v>c</v>
          </cell>
          <cell r="G29" t="str">
            <v>g</v>
          </cell>
          <cell r="H29" t="str">
            <v>c</v>
          </cell>
          <cell r="I29">
            <v>0.02</v>
          </cell>
          <cell r="J29">
            <v>0.01</v>
          </cell>
          <cell r="K29">
            <v>0</v>
          </cell>
          <cell r="L29" t="str">
            <v>g</v>
          </cell>
          <cell r="M29" t="str">
            <v>c</v>
          </cell>
          <cell r="N29" t="str">
            <v>c</v>
          </cell>
          <cell r="O29">
            <v>0.02</v>
          </cell>
          <cell r="P29">
            <v>0.01</v>
          </cell>
          <cell r="Q29">
            <v>1.071251942913664E-2</v>
          </cell>
          <cell r="R29" t="str">
            <v>c</v>
          </cell>
          <cell r="S29" t="str">
            <v>g</v>
          </cell>
          <cell r="T29" t="str">
            <v>c</v>
          </cell>
          <cell r="U29">
            <v>0.02</v>
          </cell>
          <cell r="V29">
            <v>0.01</v>
          </cell>
          <cell r="W29">
            <v>0</v>
          </cell>
          <cell r="X29" t="str">
            <v>g</v>
          </cell>
          <cell r="Y29" t="str">
            <v>c</v>
          </cell>
          <cell r="Z29" t="str">
            <v>c</v>
          </cell>
          <cell r="AA29">
            <v>0.02</v>
          </cell>
          <cell r="AB29">
            <v>0.01</v>
          </cell>
          <cell r="AD29">
            <v>39479</v>
          </cell>
          <cell r="AE29" t="str">
            <v>TOTAL</v>
          </cell>
          <cell r="AF29"/>
          <cell r="AG29">
            <v>1.2047496048421296E-2</v>
          </cell>
          <cell r="AH29">
            <v>0</v>
          </cell>
          <cell r="AI29">
            <v>1.2047496048421296E-2</v>
          </cell>
          <cell r="AJ29" t="str">
            <v/>
          </cell>
          <cell r="AK29">
            <v>1.2047496048421296E-2</v>
          </cell>
          <cell r="AL29" t="e">
            <v>#DIV/0!</v>
          </cell>
          <cell r="AM29"/>
          <cell r="AN29"/>
          <cell r="AO29">
            <v>0</v>
          </cell>
          <cell r="AP29">
            <v>0</v>
          </cell>
          <cell r="AQ29">
            <v>0</v>
          </cell>
          <cell r="AR29" t="str">
            <v/>
          </cell>
          <cell r="AS29">
            <v>0</v>
          </cell>
          <cell r="AT29"/>
          <cell r="AU29"/>
          <cell r="AV29"/>
          <cell r="AW29">
            <v>1.071251942913664E-2</v>
          </cell>
          <cell r="AX29">
            <v>0</v>
          </cell>
          <cell r="AY29">
            <v>1.071251942913664E-2</v>
          </cell>
          <cell r="AZ29" t="str">
            <v/>
          </cell>
          <cell r="BA29">
            <v>1.071251942913664E-2</v>
          </cell>
          <cell r="BB29" t="e">
            <v>#DIV/0!</v>
          </cell>
          <cell r="BC29">
            <v>0</v>
          </cell>
          <cell r="BD29" t="e">
            <v>#DIV/0!</v>
          </cell>
          <cell r="BE29"/>
          <cell r="BF29">
            <v>0</v>
          </cell>
          <cell r="BG29">
            <v>0</v>
          </cell>
          <cell r="BH29">
            <v>0</v>
          </cell>
          <cell r="BI29" t="str">
            <v/>
          </cell>
          <cell r="BJ29">
            <v>0</v>
          </cell>
          <cell r="BK29"/>
          <cell r="BL29">
            <v>0</v>
          </cell>
          <cell r="BM29"/>
        </row>
        <row r="30">
          <cell r="B30">
            <v>39508</v>
          </cell>
          <cell r="C30">
            <v>39508</v>
          </cell>
          <cell r="D30" t="str">
            <v>TOTAL</v>
          </cell>
          <cell r="E30">
            <v>1.4450448711763004E-2</v>
          </cell>
          <cell r="F30" t="str">
            <v>c</v>
          </cell>
          <cell r="G30" t="str">
            <v>g</v>
          </cell>
          <cell r="H30" t="str">
            <v>c</v>
          </cell>
          <cell r="I30">
            <v>0.02</v>
          </cell>
          <cell r="J30">
            <v>0.01</v>
          </cell>
          <cell r="K30">
            <v>8.129885168387533E-3</v>
          </cell>
          <cell r="L30" t="str">
            <v>g</v>
          </cell>
          <cell r="M30" t="str">
            <v>c</v>
          </cell>
          <cell r="N30" t="str">
            <v>c</v>
          </cell>
          <cell r="O30">
            <v>0.02</v>
          </cell>
          <cell r="P30">
            <v>0.01</v>
          </cell>
          <cell r="Q30">
            <v>1.1714204442605571E-2</v>
          </cell>
          <cell r="R30" t="str">
            <v>c</v>
          </cell>
          <cell r="S30" t="str">
            <v>g</v>
          </cell>
          <cell r="T30" t="str">
            <v>c</v>
          </cell>
          <cell r="U30">
            <v>0.02</v>
          </cell>
          <cell r="V30">
            <v>0.01</v>
          </cell>
          <cell r="W30">
            <v>2.1786351529569964E-3</v>
          </cell>
          <cell r="X30" t="str">
            <v>g</v>
          </cell>
          <cell r="Y30" t="str">
            <v>c</v>
          </cell>
          <cell r="Z30" t="str">
            <v>c</v>
          </cell>
          <cell r="AA30">
            <v>0.02</v>
          </cell>
          <cell r="AB30">
            <v>0.01</v>
          </cell>
          <cell r="AD30">
            <v>39508</v>
          </cell>
          <cell r="AE30" t="str">
            <v>TOTAL</v>
          </cell>
          <cell r="AF30"/>
          <cell r="AG30">
            <v>1.4450448711763004E-2</v>
          </cell>
          <cell r="AH30">
            <v>0</v>
          </cell>
          <cell r="AI30">
            <v>1.4450448711763004E-2</v>
          </cell>
          <cell r="AJ30" t="str">
            <v/>
          </cell>
          <cell r="AK30">
            <v>1.4450448711763004E-2</v>
          </cell>
          <cell r="AL30" t="e">
            <v>#DIV/0!</v>
          </cell>
          <cell r="AM30"/>
          <cell r="AN30"/>
          <cell r="AO30">
            <v>8.129885168387533E-3</v>
          </cell>
          <cell r="AP30">
            <v>0</v>
          </cell>
          <cell r="AQ30">
            <v>8.129885168387533E-3</v>
          </cell>
          <cell r="AR30" t="str">
            <v/>
          </cell>
          <cell r="AS30">
            <v>8.129885168387533E-3</v>
          </cell>
          <cell r="AT30"/>
          <cell r="AU30"/>
          <cell r="AV30"/>
          <cell r="AW30">
            <v>1.1714204442605571E-2</v>
          </cell>
          <cell r="AX30">
            <v>0</v>
          </cell>
          <cell r="AY30">
            <v>1.1714204442605571E-2</v>
          </cell>
          <cell r="AZ30" t="str">
            <v/>
          </cell>
          <cell r="BA30">
            <v>1.1714204442605571E-2</v>
          </cell>
          <cell r="BB30" t="e">
            <v>#DIV/0!</v>
          </cell>
          <cell r="BC30">
            <v>0</v>
          </cell>
          <cell r="BD30" t="e">
            <v>#DIV/0!</v>
          </cell>
          <cell r="BE30"/>
          <cell r="BF30">
            <v>2.1786351529569964E-3</v>
          </cell>
          <cell r="BG30">
            <v>0</v>
          </cell>
          <cell r="BH30">
            <v>2.1786351529569964E-3</v>
          </cell>
          <cell r="BI30" t="str">
            <v/>
          </cell>
          <cell r="BJ30">
            <v>2.1786351529569964E-3</v>
          </cell>
          <cell r="BK30"/>
          <cell r="BL30">
            <v>0</v>
          </cell>
          <cell r="BM30"/>
        </row>
        <row r="31">
          <cell r="B31">
            <v>39539</v>
          </cell>
          <cell r="C31">
            <v>39539</v>
          </cell>
          <cell r="D31" t="str">
            <v>TOTAL</v>
          </cell>
          <cell r="E31">
            <v>1.2453038884756946E-2</v>
          </cell>
          <cell r="F31" t="str">
            <v>c</v>
          </cell>
          <cell r="G31" t="str">
            <v>g</v>
          </cell>
          <cell r="H31" t="str">
            <v>c</v>
          </cell>
          <cell r="I31">
            <v>0.02</v>
          </cell>
          <cell r="J31">
            <v>0.01</v>
          </cell>
          <cell r="K31">
            <v>6.7890993001125163E-3</v>
          </cell>
          <cell r="L31" t="str">
            <v>g</v>
          </cell>
          <cell r="M31" t="str">
            <v>c</v>
          </cell>
          <cell r="N31" t="str">
            <v>c</v>
          </cell>
          <cell r="O31">
            <v>0.02</v>
          </cell>
          <cell r="P31">
            <v>0.01</v>
          </cell>
          <cell r="Q31">
            <v>1.1901255787679666E-2</v>
          </cell>
          <cell r="R31" t="str">
            <v>c</v>
          </cell>
          <cell r="S31" t="str">
            <v>g</v>
          </cell>
          <cell r="T31" t="str">
            <v>c</v>
          </cell>
          <cell r="U31">
            <v>0.02</v>
          </cell>
          <cell r="V31">
            <v>0.01</v>
          </cell>
          <cell r="W31">
            <v>3.3458702883821536E-3</v>
          </cell>
          <cell r="X31" t="str">
            <v>g</v>
          </cell>
          <cell r="Y31" t="str">
            <v>c</v>
          </cell>
          <cell r="Z31" t="str">
            <v>c</v>
          </cell>
          <cell r="AA31">
            <v>0.02</v>
          </cell>
          <cell r="AB31">
            <v>0.01</v>
          </cell>
          <cell r="AD31">
            <v>39539</v>
          </cell>
          <cell r="AE31" t="str">
            <v>TOTAL</v>
          </cell>
          <cell r="AF31"/>
          <cell r="AG31">
            <v>1.2453038884756946E-2</v>
          </cell>
          <cell r="AH31">
            <v>0</v>
          </cell>
          <cell r="AI31">
            <v>1.2453038884756946E-2</v>
          </cell>
          <cell r="AJ31" t="str">
            <v/>
          </cell>
          <cell r="AK31">
            <v>1.2453038884756946E-2</v>
          </cell>
          <cell r="AL31" t="e">
            <v>#DIV/0!</v>
          </cell>
          <cell r="AM31"/>
          <cell r="AN31"/>
          <cell r="AO31">
            <v>6.7890993001125163E-3</v>
          </cell>
          <cell r="AP31">
            <v>0</v>
          </cell>
          <cell r="AQ31">
            <v>6.7890993001125163E-3</v>
          </cell>
          <cell r="AR31" t="str">
            <v/>
          </cell>
          <cell r="AS31">
            <v>6.7890993001125163E-3</v>
          </cell>
          <cell r="AT31"/>
          <cell r="AU31"/>
          <cell r="AV31"/>
          <cell r="AW31">
            <v>1.1901255787679666E-2</v>
          </cell>
          <cell r="AX31">
            <v>0</v>
          </cell>
          <cell r="AY31">
            <v>1.1901255787679666E-2</v>
          </cell>
          <cell r="AZ31" t="str">
            <v/>
          </cell>
          <cell r="BA31">
            <v>1.1901255787679666E-2</v>
          </cell>
          <cell r="BB31" t="e">
            <v>#DIV/0!</v>
          </cell>
          <cell r="BC31">
            <v>0</v>
          </cell>
          <cell r="BD31" t="e">
            <v>#DIV/0!</v>
          </cell>
          <cell r="BE31"/>
          <cell r="BF31">
            <v>3.3458702883821536E-3</v>
          </cell>
          <cell r="BG31">
            <v>0</v>
          </cell>
          <cell r="BH31">
            <v>3.3458702883821536E-3</v>
          </cell>
          <cell r="BI31" t="str">
            <v/>
          </cell>
          <cell r="BJ31">
            <v>3.3458702883821536E-3</v>
          </cell>
          <cell r="BK31"/>
          <cell r="BL31">
            <v>0</v>
          </cell>
          <cell r="BM31"/>
        </row>
        <row r="32">
          <cell r="B32">
            <v>39569</v>
          </cell>
          <cell r="C32">
            <v>39569</v>
          </cell>
          <cell r="D32" t="str">
            <v>TOTAL</v>
          </cell>
          <cell r="E32">
            <v>9.4260966232803736E-3</v>
          </cell>
          <cell r="F32" t="str">
            <v>g</v>
          </cell>
          <cell r="G32" t="str">
            <v>c</v>
          </cell>
          <cell r="H32" t="str">
            <v>c</v>
          </cell>
          <cell r="I32">
            <v>0.02</v>
          </cell>
          <cell r="J32">
            <v>0.01</v>
          </cell>
          <cell r="K32">
            <v>5.9333347460320822E-4</v>
          </cell>
          <cell r="L32" t="str">
            <v>g</v>
          </cell>
          <cell r="M32" t="str">
            <v>c</v>
          </cell>
          <cell r="N32" t="str">
            <v>c</v>
          </cell>
          <cell r="O32">
            <v>0.02</v>
          </cell>
          <cell r="P32">
            <v>0.01</v>
          </cell>
          <cell r="Q32">
            <v>1.1474276764989072E-2</v>
          </cell>
          <cell r="R32" t="str">
            <v>c</v>
          </cell>
          <cell r="S32" t="str">
            <v>g</v>
          </cell>
          <cell r="T32" t="str">
            <v>c</v>
          </cell>
          <cell r="U32">
            <v>0.02</v>
          </cell>
          <cell r="V32">
            <v>0.01</v>
          </cell>
          <cell r="W32">
            <v>2.8351001918902764E-3</v>
          </cell>
          <cell r="X32" t="str">
            <v>g</v>
          </cell>
          <cell r="Y32" t="str">
            <v>c</v>
          </cell>
          <cell r="Z32" t="str">
            <v>c</v>
          </cell>
          <cell r="AA32">
            <v>0.02</v>
          </cell>
          <cell r="AB32">
            <v>0.01</v>
          </cell>
          <cell r="AD32">
            <v>39569</v>
          </cell>
          <cell r="AE32" t="str">
            <v>TOTAL</v>
          </cell>
          <cell r="AF32"/>
          <cell r="AG32">
            <v>9.4260966232803736E-3</v>
          </cell>
          <cell r="AH32">
            <v>0</v>
          </cell>
          <cell r="AI32">
            <v>9.4260966232803736E-3</v>
          </cell>
          <cell r="AJ32" t="str">
            <v/>
          </cell>
          <cell r="AK32">
            <v>9.4260966232803736E-3</v>
          </cell>
          <cell r="AL32" t="e">
            <v>#DIV/0!</v>
          </cell>
          <cell r="AM32"/>
          <cell r="AN32"/>
          <cell r="AO32">
            <v>5.9333347460320822E-4</v>
          </cell>
          <cell r="AP32">
            <v>0</v>
          </cell>
          <cell r="AQ32">
            <v>5.9333347460320822E-4</v>
          </cell>
          <cell r="AR32" t="str">
            <v/>
          </cell>
          <cell r="AS32">
            <v>5.9333347460320822E-4</v>
          </cell>
          <cell r="AT32"/>
          <cell r="AU32"/>
          <cell r="AV32"/>
          <cell r="AW32">
            <v>1.1474276764989072E-2</v>
          </cell>
          <cell r="AX32">
            <v>0</v>
          </cell>
          <cell r="AY32">
            <v>1.1474276764989072E-2</v>
          </cell>
          <cell r="AZ32" t="str">
            <v/>
          </cell>
          <cell r="BA32">
            <v>1.1474276764989072E-2</v>
          </cell>
          <cell r="BB32" t="e">
            <v>#DIV/0!</v>
          </cell>
          <cell r="BC32">
            <v>0</v>
          </cell>
          <cell r="BD32" t="e">
            <v>#DIV/0!</v>
          </cell>
          <cell r="BE32"/>
          <cell r="BF32">
            <v>2.8351001918902764E-3</v>
          </cell>
          <cell r="BG32">
            <v>0</v>
          </cell>
          <cell r="BH32">
            <v>2.8351001918902764E-3</v>
          </cell>
          <cell r="BI32" t="str">
            <v/>
          </cell>
          <cell r="BJ32">
            <v>2.8351001918902764E-3</v>
          </cell>
          <cell r="BK32"/>
          <cell r="BL32">
            <v>0</v>
          </cell>
          <cell r="BM32"/>
        </row>
        <row r="33">
          <cell r="B33">
            <v>39600</v>
          </cell>
          <cell r="C33">
            <v>39600</v>
          </cell>
          <cell r="D33" t="str">
            <v>TOTAL</v>
          </cell>
          <cell r="E33">
            <v>1.8478311082367072E-3</v>
          </cell>
          <cell r="F33" t="str">
            <v>g</v>
          </cell>
          <cell r="G33" t="str">
            <v>c</v>
          </cell>
          <cell r="H33" t="str">
            <v>c</v>
          </cell>
          <cell r="I33">
            <v>0.02</v>
          </cell>
          <cell r="J33">
            <v>0.01</v>
          </cell>
          <cell r="K33">
            <v>6.7000994863257056E-4</v>
          </cell>
          <cell r="L33" t="str">
            <v>g</v>
          </cell>
          <cell r="M33" t="str">
            <v>c</v>
          </cell>
          <cell r="N33" t="str">
            <v>c</v>
          </cell>
          <cell r="O33">
            <v>0.02</v>
          </cell>
          <cell r="P33">
            <v>0.01</v>
          </cell>
          <cell r="Q33">
            <v>1.0054735637430048E-2</v>
          </cell>
          <cell r="R33" t="str">
            <v>c</v>
          </cell>
          <cell r="S33" t="str">
            <v>g</v>
          </cell>
          <cell r="T33" t="str">
            <v>c</v>
          </cell>
          <cell r="U33">
            <v>0.02</v>
          </cell>
          <cell r="V33">
            <v>0.01</v>
          </cell>
          <cell r="W33">
            <v>2.4838173043664454E-3</v>
          </cell>
          <cell r="X33" t="str">
            <v>g</v>
          </cell>
          <cell r="Y33" t="str">
            <v>c</v>
          </cell>
          <cell r="Z33" t="str">
            <v>c</v>
          </cell>
          <cell r="AA33">
            <v>0.02</v>
          </cell>
          <cell r="AB33">
            <v>0.01</v>
          </cell>
          <cell r="AD33">
            <v>39600</v>
          </cell>
          <cell r="AE33" t="str">
            <v>TOTAL</v>
          </cell>
          <cell r="AF33"/>
          <cell r="AG33">
            <v>1.8478311082367072E-3</v>
          </cell>
          <cell r="AH33">
            <v>0</v>
          </cell>
          <cell r="AI33">
            <v>1.8478311082367072E-3</v>
          </cell>
          <cell r="AJ33" t="str">
            <v/>
          </cell>
          <cell r="AK33">
            <v>1.8478311082367072E-3</v>
          </cell>
          <cell r="AL33" t="e">
            <v>#DIV/0!</v>
          </cell>
          <cell r="AM33"/>
          <cell r="AN33"/>
          <cell r="AO33">
            <v>6.7000994863257056E-4</v>
          </cell>
          <cell r="AP33">
            <v>0</v>
          </cell>
          <cell r="AQ33">
            <v>6.7000994863257056E-4</v>
          </cell>
          <cell r="AR33" t="str">
            <v/>
          </cell>
          <cell r="AS33">
            <v>6.7000994863257056E-4</v>
          </cell>
          <cell r="AT33" t="e">
            <v>#DIV/0!</v>
          </cell>
          <cell r="AU33"/>
          <cell r="AV33"/>
          <cell r="AW33">
            <v>1.0054735637430048E-2</v>
          </cell>
          <cell r="AX33">
            <v>0</v>
          </cell>
          <cell r="AY33">
            <v>1.0054735637430048E-2</v>
          </cell>
          <cell r="AZ33" t="str">
            <v/>
          </cell>
          <cell r="BA33">
            <v>1.0054735637430048E-2</v>
          </cell>
          <cell r="BB33" t="e">
            <v>#DIV/0!</v>
          </cell>
          <cell r="BC33">
            <v>0</v>
          </cell>
          <cell r="BD33" t="e">
            <v>#DIV/0!</v>
          </cell>
          <cell r="BE33"/>
          <cell r="BF33">
            <v>2.4838173043664454E-3</v>
          </cell>
          <cell r="BG33">
            <v>0</v>
          </cell>
          <cell r="BH33">
            <v>2.4838173043664454E-3</v>
          </cell>
          <cell r="BI33" t="str">
            <v/>
          </cell>
          <cell r="BJ33">
            <v>2.4838173043664454E-3</v>
          </cell>
          <cell r="BK33"/>
          <cell r="BL33">
            <v>0</v>
          </cell>
          <cell r="BM33"/>
        </row>
        <row r="34">
          <cell r="B34">
            <v>39630</v>
          </cell>
          <cell r="C34">
            <v>39630</v>
          </cell>
          <cell r="D34" t="str">
            <v>TOTAL</v>
          </cell>
          <cell r="E34">
            <v>5.0195763477562496E-3</v>
          </cell>
          <cell r="F34" t="str">
            <v>g</v>
          </cell>
          <cell r="G34" t="str">
            <v>c</v>
          </cell>
          <cell r="H34" t="str">
            <v>c</v>
          </cell>
          <cell r="I34">
            <v>0.02</v>
          </cell>
          <cell r="J34">
            <v>0.01</v>
          </cell>
          <cell r="K34">
            <v>9.0475903251100789E-3</v>
          </cell>
          <cell r="L34" t="str">
            <v>g</v>
          </cell>
          <cell r="M34" t="str">
            <v>c</v>
          </cell>
          <cell r="N34" t="str">
            <v>c</v>
          </cell>
          <cell r="O34">
            <v>0.02</v>
          </cell>
          <cell r="P34">
            <v>0.01</v>
          </cell>
          <cell r="Q34">
            <v>9.3244573352203562E-3</v>
          </cell>
          <cell r="R34" t="str">
            <v>g</v>
          </cell>
          <cell r="S34" t="str">
            <v>c</v>
          </cell>
          <cell r="T34" t="str">
            <v>c</v>
          </cell>
          <cell r="U34">
            <v>0.02</v>
          </cell>
          <cell r="V34">
            <v>0.01</v>
          </cell>
          <cell r="W34">
            <v>3.4078493753219624E-3</v>
          </cell>
          <cell r="X34" t="str">
            <v>g</v>
          </cell>
          <cell r="Y34" t="str">
            <v>c</v>
          </cell>
          <cell r="Z34" t="str">
            <v>c</v>
          </cell>
          <cell r="AA34">
            <v>0.02</v>
          </cell>
          <cell r="AB34">
            <v>0.01</v>
          </cell>
          <cell r="AD34">
            <v>39630</v>
          </cell>
          <cell r="AE34" t="str">
            <v>TOTAL</v>
          </cell>
          <cell r="AF34"/>
          <cell r="AG34">
            <v>5.0195763477562496E-3</v>
          </cell>
          <cell r="AH34">
            <v>0</v>
          </cell>
          <cell r="AI34">
            <v>5.0195763477562496E-3</v>
          </cell>
          <cell r="AJ34" t="str">
            <v/>
          </cell>
          <cell r="AK34">
            <v>5.0195763477562496E-3</v>
          </cell>
          <cell r="AL34" t="e">
            <v>#DIV/0!</v>
          </cell>
          <cell r="AM34"/>
          <cell r="AN34"/>
          <cell r="AO34">
            <v>9.0475903251100789E-3</v>
          </cell>
          <cell r="AP34">
            <v>0</v>
          </cell>
          <cell r="AQ34">
            <v>9.0475903251100789E-3</v>
          </cell>
          <cell r="AR34" t="str">
            <v/>
          </cell>
          <cell r="AS34">
            <v>9.0475903251100789E-3</v>
          </cell>
          <cell r="AT34" t="e">
            <v>#DIV/0!</v>
          </cell>
          <cell r="AU34"/>
          <cell r="AV34"/>
          <cell r="AW34">
            <v>9.3244573352203562E-3</v>
          </cell>
          <cell r="AX34">
            <v>0</v>
          </cell>
          <cell r="AY34">
            <v>9.3244573352203562E-3</v>
          </cell>
          <cell r="AZ34" t="str">
            <v/>
          </cell>
          <cell r="BA34">
            <v>9.3244573352203562E-3</v>
          </cell>
          <cell r="BB34" t="e">
            <v>#DIV/0!</v>
          </cell>
          <cell r="BC34">
            <v>0</v>
          </cell>
          <cell r="BD34" t="e">
            <v>#DIV/0!</v>
          </cell>
          <cell r="BE34"/>
          <cell r="BF34">
            <v>3.4078493753219624E-3</v>
          </cell>
          <cell r="BG34">
            <v>0</v>
          </cell>
          <cell r="BH34">
            <v>3.4078493753219624E-3</v>
          </cell>
          <cell r="BI34" t="str">
            <v/>
          </cell>
          <cell r="BJ34">
            <v>3.4078493753219624E-3</v>
          </cell>
          <cell r="BK34"/>
          <cell r="BL34">
            <v>0</v>
          </cell>
          <cell r="BM34"/>
        </row>
        <row r="35">
          <cell r="B35">
            <v>39661</v>
          </cell>
          <cell r="C35">
            <v>39661</v>
          </cell>
          <cell r="D35" t="str">
            <v>TOTAL</v>
          </cell>
          <cell r="E35">
            <v>0</v>
          </cell>
          <cell r="F35" t="str">
            <v>g</v>
          </cell>
          <cell r="G35" t="str">
            <v>c</v>
          </cell>
          <cell r="H35" t="str">
            <v>c</v>
          </cell>
          <cell r="I35">
            <v>0.02</v>
          </cell>
          <cell r="J35">
            <v>0.01</v>
          </cell>
          <cell r="K35">
            <v>5.7117616596094678E-3</v>
          </cell>
          <cell r="L35" t="str">
            <v>g</v>
          </cell>
          <cell r="M35" t="str">
            <v>c</v>
          </cell>
          <cell r="N35" t="str">
            <v>c</v>
          </cell>
          <cell r="O35">
            <v>0.02</v>
          </cell>
          <cell r="P35">
            <v>0.01</v>
          </cell>
          <cell r="Q35">
            <v>7.9433201192738393E-3</v>
          </cell>
          <cell r="R35" t="str">
            <v>g</v>
          </cell>
          <cell r="S35" t="str">
            <v>c</v>
          </cell>
          <cell r="T35" t="str">
            <v>c</v>
          </cell>
          <cell r="U35">
            <v>0.02</v>
          </cell>
          <cell r="V35">
            <v>0.01</v>
          </cell>
          <cell r="W35">
            <v>3.7688921987034437E-3</v>
          </cell>
          <cell r="X35" t="str">
            <v>g</v>
          </cell>
          <cell r="Y35" t="str">
            <v>c</v>
          </cell>
          <cell r="Z35" t="str">
            <v>c</v>
          </cell>
          <cell r="AA35">
            <v>0.02</v>
          </cell>
          <cell r="AB35">
            <v>0.01</v>
          </cell>
          <cell r="AD35">
            <v>39661</v>
          </cell>
          <cell r="AE35" t="str">
            <v>TOTAL</v>
          </cell>
          <cell r="AF35"/>
          <cell r="AG35">
            <v>0</v>
          </cell>
          <cell r="AH35">
            <v>0</v>
          </cell>
          <cell r="AI35">
            <v>0</v>
          </cell>
          <cell r="AJ35" t="str">
            <v/>
          </cell>
          <cell r="AK35">
            <v>0</v>
          </cell>
          <cell r="AL35" t="e">
            <v>#DIV/0!</v>
          </cell>
          <cell r="AM35"/>
          <cell r="AN35"/>
          <cell r="AO35">
            <v>5.7117616596094678E-3</v>
          </cell>
          <cell r="AP35">
            <v>0</v>
          </cell>
          <cell r="AQ35">
            <v>5.7117616596094678E-3</v>
          </cell>
          <cell r="AR35" t="str">
            <v/>
          </cell>
          <cell r="AS35">
            <v>5.7117616596094678E-3</v>
          </cell>
          <cell r="AT35" t="e">
            <v>#DIV/0!</v>
          </cell>
          <cell r="AU35"/>
          <cell r="AV35"/>
          <cell r="AW35">
            <v>7.9433201192738393E-3</v>
          </cell>
          <cell r="AX35">
            <v>0</v>
          </cell>
          <cell r="AY35">
            <v>7.9433201192738393E-3</v>
          </cell>
          <cell r="AZ35" t="str">
            <v/>
          </cell>
          <cell r="BA35">
            <v>7.9433201192738393E-3</v>
          </cell>
          <cell r="BB35" t="e">
            <v>#DIV/0!</v>
          </cell>
          <cell r="BC35">
            <v>0</v>
          </cell>
          <cell r="BD35" t="e">
            <v>#DIV/0!</v>
          </cell>
          <cell r="BE35"/>
          <cell r="BF35">
            <v>3.7688921987034437E-3</v>
          </cell>
          <cell r="BG35">
            <v>0</v>
          </cell>
          <cell r="BH35">
            <v>3.7688921987034437E-3</v>
          </cell>
          <cell r="BI35" t="str">
            <v/>
          </cell>
          <cell r="BJ35">
            <v>3.7688921987034437E-3</v>
          </cell>
          <cell r="BK35"/>
          <cell r="BL35">
            <v>0</v>
          </cell>
          <cell r="BM35"/>
        </row>
        <row r="36">
          <cell r="B36">
            <v>39692</v>
          </cell>
          <cell r="C36">
            <v>39692</v>
          </cell>
          <cell r="D36" t="str">
            <v>TOTAL</v>
          </cell>
          <cell r="E36">
            <v>0</v>
          </cell>
          <cell r="F36" t="str">
            <v>g</v>
          </cell>
          <cell r="G36" t="str">
            <v>c</v>
          </cell>
          <cell r="H36" t="str">
            <v>c</v>
          </cell>
          <cell r="I36">
            <v>0.02</v>
          </cell>
          <cell r="J36">
            <v>0.01</v>
          </cell>
          <cell r="K36">
            <v>8.6924542810337332E-3</v>
          </cell>
          <cell r="L36" t="str">
            <v>g</v>
          </cell>
          <cell r="M36" t="str">
            <v>c</v>
          </cell>
          <cell r="N36" t="str">
            <v>c</v>
          </cell>
          <cell r="O36">
            <v>0.02</v>
          </cell>
          <cell r="P36">
            <v>0.01</v>
          </cell>
          <cell r="Q36">
            <v>6.9168423599350222E-3</v>
          </cell>
          <cell r="R36" t="str">
            <v>g</v>
          </cell>
          <cell r="S36" t="str">
            <v>c</v>
          </cell>
          <cell r="T36" t="str">
            <v>c</v>
          </cell>
          <cell r="U36">
            <v>0.02</v>
          </cell>
          <cell r="V36">
            <v>0.01</v>
          </cell>
          <cell r="W36">
            <v>4.384077798060897E-3</v>
          </cell>
          <cell r="X36" t="str">
            <v>g</v>
          </cell>
          <cell r="Y36" t="str">
            <v>c</v>
          </cell>
          <cell r="Z36" t="str">
            <v>c</v>
          </cell>
          <cell r="AA36">
            <v>0.02</v>
          </cell>
          <cell r="AB36">
            <v>0.01</v>
          </cell>
          <cell r="AD36">
            <v>39692</v>
          </cell>
          <cell r="AE36" t="str">
            <v>TOTAL</v>
          </cell>
          <cell r="AF36"/>
          <cell r="AG36">
            <v>0</v>
          </cell>
          <cell r="AH36">
            <v>0</v>
          </cell>
          <cell r="AI36">
            <v>0</v>
          </cell>
          <cell r="AJ36" t="str">
            <v/>
          </cell>
          <cell r="AK36">
            <v>0</v>
          </cell>
          <cell r="AL36" t="e">
            <v>#DIV/0!</v>
          </cell>
          <cell r="AM36"/>
          <cell r="AN36"/>
          <cell r="AO36">
            <v>8.6924542810337332E-3</v>
          </cell>
          <cell r="AP36">
            <v>0</v>
          </cell>
          <cell r="AQ36">
            <v>8.6924542810337332E-3</v>
          </cell>
          <cell r="AR36" t="str">
            <v/>
          </cell>
          <cell r="AS36">
            <v>8.6924542810337332E-3</v>
          </cell>
          <cell r="AT36" t="e">
            <v>#DIV/0!</v>
          </cell>
          <cell r="AU36"/>
          <cell r="AV36"/>
          <cell r="AW36">
            <v>6.9168423599350222E-3</v>
          </cell>
          <cell r="AX36">
            <v>0</v>
          </cell>
          <cell r="AY36">
            <v>6.9168423599350222E-3</v>
          </cell>
          <cell r="AZ36" t="str">
            <v/>
          </cell>
          <cell r="BA36">
            <v>6.9168423599350222E-3</v>
          </cell>
          <cell r="BB36" t="e">
            <v>#DIV/0!</v>
          </cell>
          <cell r="BC36">
            <v>0</v>
          </cell>
          <cell r="BD36" t="e">
            <v>#DIV/0!</v>
          </cell>
          <cell r="BE36"/>
          <cell r="BF36">
            <v>4.384077798060897E-3</v>
          </cell>
          <cell r="BG36">
            <v>0</v>
          </cell>
          <cell r="BH36">
            <v>4.384077798060897E-3</v>
          </cell>
          <cell r="BI36" t="str">
            <v/>
          </cell>
          <cell r="BJ36">
            <v>4.384077798060897E-3</v>
          </cell>
          <cell r="BK36"/>
          <cell r="BL36">
            <v>0</v>
          </cell>
          <cell r="BM36"/>
        </row>
        <row r="37">
          <cell r="B37">
            <v>39722</v>
          </cell>
          <cell r="C37">
            <v>39722</v>
          </cell>
          <cell r="D37" t="str">
            <v>TOTAL</v>
          </cell>
          <cell r="E37">
            <v>0</v>
          </cell>
          <cell r="F37" t="str">
            <v>g</v>
          </cell>
          <cell r="G37" t="str">
            <v>c</v>
          </cell>
          <cell r="H37" t="str">
            <v>c</v>
          </cell>
          <cell r="I37">
            <v>0.02</v>
          </cell>
          <cell r="J37">
            <v>0.01</v>
          </cell>
          <cell r="K37">
            <v>4.367845091299E-3</v>
          </cell>
          <cell r="L37" t="str">
            <v>g</v>
          </cell>
          <cell r="M37" t="str">
            <v>c</v>
          </cell>
          <cell r="N37" t="str">
            <v>c</v>
          </cell>
          <cell r="O37">
            <v>0.02</v>
          </cell>
          <cell r="P37">
            <v>0.01</v>
          </cell>
          <cell r="Q37">
            <v>6.08345080992351E-3</v>
          </cell>
          <cell r="R37" t="str">
            <v>g</v>
          </cell>
          <cell r="S37" t="str">
            <v>c</v>
          </cell>
          <cell r="T37" t="str">
            <v>c</v>
          </cell>
          <cell r="U37">
            <v>0.02</v>
          </cell>
          <cell r="V37">
            <v>0.01</v>
          </cell>
          <cell r="W37">
            <v>4.382179138171436E-3</v>
          </cell>
          <cell r="X37" t="str">
            <v>g</v>
          </cell>
          <cell r="Y37" t="str">
            <v>c</v>
          </cell>
          <cell r="Z37" t="str">
            <v>c</v>
          </cell>
          <cell r="AA37">
            <v>0.02</v>
          </cell>
          <cell r="AB37">
            <v>0.01</v>
          </cell>
          <cell r="AD37">
            <v>39722</v>
          </cell>
          <cell r="AE37" t="str">
            <v>TOTAL</v>
          </cell>
          <cell r="AF37"/>
          <cell r="AG37">
            <v>0</v>
          </cell>
          <cell r="AH37">
            <v>0</v>
          </cell>
          <cell r="AI37">
            <v>0</v>
          </cell>
          <cell r="AJ37" t="str">
            <v/>
          </cell>
          <cell r="AK37">
            <v>0</v>
          </cell>
          <cell r="AL37" t="e">
            <v>#DIV/0!</v>
          </cell>
          <cell r="AM37"/>
          <cell r="AN37"/>
          <cell r="AO37">
            <v>4.367845091299E-3</v>
          </cell>
          <cell r="AP37">
            <v>0</v>
          </cell>
          <cell r="AQ37">
            <v>4.367845091299E-3</v>
          </cell>
          <cell r="AR37" t="str">
            <v/>
          </cell>
          <cell r="AS37">
            <v>4.367845091299E-3</v>
          </cell>
          <cell r="AT37" t="e">
            <v>#DIV/0!</v>
          </cell>
          <cell r="AU37"/>
          <cell r="AV37"/>
          <cell r="AW37">
            <v>6.08345080992351E-3</v>
          </cell>
          <cell r="AX37">
            <v>0</v>
          </cell>
          <cell r="AY37">
            <v>6.08345080992351E-3</v>
          </cell>
          <cell r="AZ37" t="str">
            <v/>
          </cell>
          <cell r="BA37">
            <v>6.08345080992351E-3</v>
          </cell>
          <cell r="BB37" t="e">
            <v>#DIV/0!</v>
          </cell>
          <cell r="BC37">
            <v>0</v>
          </cell>
          <cell r="BD37" t="e">
            <v>#DIV/0!</v>
          </cell>
          <cell r="BE37"/>
          <cell r="BF37">
            <v>4.382179138171436E-3</v>
          </cell>
          <cell r="BG37">
            <v>0</v>
          </cell>
          <cell r="BH37">
            <v>4.382179138171436E-3</v>
          </cell>
          <cell r="BI37" t="str">
            <v/>
          </cell>
          <cell r="BJ37">
            <v>4.382179138171436E-3</v>
          </cell>
          <cell r="BK37"/>
          <cell r="BL37">
            <v>0</v>
          </cell>
          <cell r="BM37"/>
        </row>
        <row r="38">
          <cell r="B38">
            <v>39753</v>
          </cell>
          <cell r="C38">
            <v>39753</v>
          </cell>
          <cell r="D38" t="str">
            <v>TOTAL</v>
          </cell>
          <cell r="E38">
            <v>0</v>
          </cell>
          <cell r="F38" t="str">
            <v>g</v>
          </cell>
          <cell r="G38" t="str">
            <v>c</v>
          </cell>
          <cell r="H38" t="str">
            <v>c</v>
          </cell>
          <cell r="I38">
            <v>0.02</v>
          </cell>
          <cell r="J38">
            <v>0.01</v>
          </cell>
          <cell r="K38">
            <v>4.0181353273598484E-3</v>
          </cell>
          <cell r="L38" t="str">
            <v>g</v>
          </cell>
          <cell r="M38" t="str">
            <v>c</v>
          </cell>
          <cell r="N38" t="str">
            <v>c</v>
          </cell>
          <cell r="O38">
            <v>0.02</v>
          </cell>
          <cell r="P38">
            <v>0.01</v>
          </cell>
          <cell r="Q38">
            <v>5.589254387878894E-3</v>
          </cell>
          <cell r="R38" t="str">
            <v>g</v>
          </cell>
          <cell r="S38" t="str">
            <v>c</v>
          </cell>
          <cell r="T38" t="str">
            <v>c</v>
          </cell>
          <cell r="U38">
            <v>0.02</v>
          </cell>
          <cell r="V38">
            <v>0.01</v>
          </cell>
          <cell r="W38">
            <v>4.3534017851834866E-3</v>
          </cell>
          <cell r="X38" t="str">
            <v>g</v>
          </cell>
          <cell r="Y38" t="str">
            <v>c</v>
          </cell>
          <cell r="Z38" t="str">
            <v>c</v>
          </cell>
          <cell r="AA38">
            <v>0.02</v>
          </cell>
          <cell r="AB38">
            <v>0.01</v>
          </cell>
          <cell r="AD38">
            <v>39753</v>
          </cell>
          <cell r="AE38" t="str">
            <v>TOTAL</v>
          </cell>
          <cell r="AF38"/>
          <cell r="AG38">
            <v>0</v>
          </cell>
          <cell r="AH38">
            <v>0</v>
          </cell>
          <cell r="AI38">
            <v>0</v>
          </cell>
          <cell r="AJ38" t="str">
            <v/>
          </cell>
          <cell r="AK38">
            <v>0</v>
          </cell>
          <cell r="AL38" t="e">
            <v>#DIV/0!</v>
          </cell>
          <cell r="AM38"/>
          <cell r="AN38"/>
          <cell r="AO38">
            <v>4.0181353273598484E-3</v>
          </cell>
          <cell r="AP38">
            <v>0</v>
          </cell>
          <cell r="AQ38">
            <v>4.0181353273598484E-3</v>
          </cell>
          <cell r="AR38" t="str">
            <v/>
          </cell>
          <cell r="AS38">
            <v>4.0181353273598484E-3</v>
          </cell>
          <cell r="AT38" t="e">
            <v>#DIV/0!</v>
          </cell>
          <cell r="AU38"/>
          <cell r="AV38"/>
          <cell r="AW38">
            <v>5.589254387878894E-3</v>
          </cell>
          <cell r="AX38">
            <v>0</v>
          </cell>
          <cell r="AY38">
            <v>5.589254387878894E-3</v>
          </cell>
          <cell r="AZ38" t="str">
            <v/>
          </cell>
          <cell r="BA38">
            <v>5.589254387878894E-3</v>
          </cell>
          <cell r="BB38" t="e">
            <v>#DIV/0!</v>
          </cell>
          <cell r="BC38">
            <v>0</v>
          </cell>
          <cell r="BD38" t="e">
            <v>#DIV/0!</v>
          </cell>
          <cell r="BE38"/>
          <cell r="BF38">
            <v>4.3534017851834866E-3</v>
          </cell>
          <cell r="BG38">
            <v>0</v>
          </cell>
          <cell r="BH38">
            <v>4.3534017851834866E-3</v>
          </cell>
          <cell r="BI38" t="str">
            <v/>
          </cell>
          <cell r="BJ38">
            <v>4.3534017851834866E-3</v>
          </cell>
          <cell r="BK38"/>
          <cell r="BL38">
            <v>0</v>
          </cell>
          <cell r="BM38"/>
        </row>
        <row r="39">
          <cell r="B39">
            <v>39783</v>
          </cell>
          <cell r="C39">
            <v>39783</v>
          </cell>
          <cell r="D39" t="str">
            <v>TOTAL</v>
          </cell>
          <cell r="E39">
            <v>0</v>
          </cell>
          <cell r="F39" t="str">
            <v>g</v>
          </cell>
          <cell r="G39" t="str">
            <v>c</v>
          </cell>
          <cell r="H39" t="str">
            <v>c</v>
          </cell>
          <cell r="I39">
            <v>0.02</v>
          </cell>
          <cell r="J39">
            <v>0.01</v>
          </cell>
          <cell r="K39">
            <v>7.297201558625576E-3</v>
          </cell>
          <cell r="L39" t="str">
            <v>g</v>
          </cell>
          <cell r="M39" t="str">
            <v>c</v>
          </cell>
          <cell r="N39" t="str">
            <v>c</v>
          </cell>
          <cell r="O39">
            <v>0.02</v>
          </cell>
          <cell r="P39">
            <v>0.01</v>
          </cell>
          <cell r="Q39">
            <v>5.3267677565856783E-3</v>
          </cell>
          <cell r="R39" t="str">
            <v>g</v>
          </cell>
          <cell r="S39" t="str">
            <v>c</v>
          </cell>
          <cell r="T39" t="str">
            <v>c</v>
          </cell>
          <cell r="U39">
            <v>0.02</v>
          </cell>
          <cell r="V39">
            <v>0.01</v>
          </cell>
          <cell r="W39">
            <v>4.4880990007536894E-3</v>
          </cell>
          <cell r="X39" t="str">
            <v>g</v>
          </cell>
          <cell r="Y39" t="str">
            <v>c</v>
          </cell>
          <cell r="Z39" t="str">
            <v>c</v>
          </cell>
          <cell r="AA39">
            <v>0.02</v>
          </cell>
          <cell r="AB39">
            <v>0.01</v>
          </cell>
          <cell r="AD39">
            <v>39783</v>
          </cell>
          <cell r="AE39" t="str">
            <v>TOTAL</v>
          </cell>
          <cell r="AF39"/>
          <cell r="AG39">
            <v>0</v>
          </cell>
          <cell r="AH39">
            <v>0</v>
          </cell>
          <cell r="AI39">
            <v>0</v>
          </cell>
          <cell r="AJ39" t="str">
            <v/>
          </cell>
          <cell r="AK39">
            <v>0</v>
          </cell>
          <cell r="AL39" t="e">
            <v>#DIV/0!</v>
          </cell>
          <cell r="AM39"/>
          <cell r="AN39"/>
          <cell r="AO39">
            <v>7.297201558625576E-3</v>
          </cell>
          <cell r="AP39">
            <v>0</v>
          </cell>
          <cell r="AQ39">
            <v>7.297201558625576E-3</v>
          </cell>
          <cell r="AR39" t="str">
            <v/>
          </cell>
          <cell r="AS39">
            <v>7.297201558625576E-3</v>
          </cell>
          <cell r="AT39" t="e">
            <v>#DIV/0!</v>
          </cell>
          <cell r="AU39"/>
          <cell r="AV39"/>
          <cell r="AW39">
            <v>5.3267677565856783E-3</v>
          </cell>
          <cell r="AX39">
            <v>0</v>
          </cell>
          <cell r="AY39">
            <v>5.3267677565856783E-3</v>
          </cell>
          <cell r="AZ39" t="str">
            <v/>
          </cell>
          <cell r="BA39">
            <v>5.3267677565856783E-3</v>
          </cell>
          <cell r="BB39" t="e">
            <v>#DIV/0!</v>
          </cell>
          <cell r="BC39">
            <v>0</v>
          </cell>
          <cell r="BD39" t="e">
            <v>#DIV/0!</v>
          </cell>
          <cell r="BE39"/>
          <cell r="BF39">
            <v>4.4880990007536894E-3</v>
          </cell>
          <cell r="BG39">
            <v>0</v>
          </cell>
          <cell r="BH39">
            <v>4.4880990007536894E-3</v>
          </cell>
          <cell r="BI39" t="str">
            <v/>
          </cell>
          <cell r="BJ39">
            <v>4.4880990007536894E-3</v>
          </cell>
          <cell r="BK39"/>
          <cell r="BL39">
            <v>0</v>
          </cell>
          <cell r="BM39"/>
        </row>
        <row r="40">
          <cell r="B40">
            <v>39814</v>
          </cell>
          <cell r="C40"/>
          <cell r="D40" t="str">
            <v>TOTAL</v>
          </cell>
          <cell r="E40" t="str">
            <v/>
          </cell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  <cell r="L40" t="str">
            <v/>
          </cell>
          <cell r="M40" t="str">
            <v/>
          </cell>
          <cell r="N40" t="str">
            <v/>
          </cell>
          <cell r="O40" t="str">
            <v/>
          </cell>
          <cell r="P40" t="str">
            <v/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 t="str">
            <v/>
          </cell>
          <cell r="AA40" t="str">
            <v/>
          </cell>
          <cell r="AB40" t="str">
            <v/>
          </cell>
          <cell r="AD40">
            <v>39814</v>
          </cell>
          <cell r="AE40" t="str">
            <v>TOTAL</v>
          </cell>
          <cell r="AF40">
            <v>9.5837272223489919E-3</v>
          </cell>
          <cell r="AG40" t="str">
            <v/>
          </cell>
          <cell r="AH40" t="str">
            <v/>
          </cell>
          <cell r="AI40" t="str">
            <v/>
          </cell>
          <cell r="AJ40" t="str">
            <v/>
          </cell>
          <cell r="AK40" t="str">
            <v/>
          </cell>
          <cell r="AL40" t="str">
            <v/>
          </cell>
          <cell r="AM40"/>
          <cell r="AN40">
            <v>0</v>
          </cell>
          <cell r="AO40" t="str">
            <v/>
          </cell>
          <cell r="AP40" t="str">
            <v/>
          </cell>
          <cell r="AQ40" t="str">
            <v/>
          </cell>
          <cell r="AR40" t="str">
            <v/>
          </cell>
          <cell r="AS40" t="str">
            <v/>
          </cell>
          <cell r="AT40" t="str">
            <v/>
          </cell>
          <cell r="AU40"/>
          <cell r="AV40">
            <v>9.5837272223489919E-3</v>
          </cell>
          <cell r="AW40" t="str">
            <v/>
          </cell>
          <cell r="AX40" t="str">
            <v/>
          </cell>
          <cell r="AY40" t="str">
            <v/>
          </cell>
          <cell r="AZ40" t="str">
            <v/>
          </cell>
          <cell r="BA40" t="str">
            <v/>
          </cell>
          <cell r="BB40" t="str">
            <v/>
          </cell>
          <cell r="BC40">
            <v>0</v>
          </cell>
          <cell r="BD40" t="str">
            <v/>
          </cell>
          <cell r="BE40">
            <v>0</v>
          </cell>
          <cell r="BF40" t="str">
            <v/>
          </cell>
          <cell r="BG40" t="str">
            <v/>
          </cell>
          <cell r="BH40" t="str">
            <v/>
          </cell>
          <cell r="BI40" t="str">
            <v/>
          </cell>
          <cell r="BJ40" t="str">
            <v/>
          </cell>
          <cell r="BK40" t="str">
            <v/>
          </cell>
          <cell r="BL40">
            <v>0</v>
          </cell>
          <cell r="BM40" t="str">
            <v/>
          </cell>
        </row>
        <row r="41">
          <cell r="B41">
            <v>39845</v>
          </cell>
          <cell r="C41"/>
          <cell r="D41" t="str">
            <v>TOTAL</v>
          </cell>
          <cell r="E41" t="str">
            <v/>
          </cell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  <cell r="J41" t="str">
            <v/>
          </cell>
          <cell r="K41" t="str">
            <v/>
          </cell>
          <cell r="L41" t="str">
            <v/>
          </cell>
          <cell r="M41" t="str">
            <v/>
          </cell>
          <cell r="N41" t="str">
            <v/>
          </cell>
          <cell r="O41" t="str">
            <v/>
          </cell>
          <cell r="P41" t="str">
            <v/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/>
          <cell r="V41"/>
          <cell r="W41" t="str">
            <v/>
          </cell>
          <cell r="X41" t="str">
            <v/>
          </cell>
          <cell r="Y41" t="str">
            <v/>
          </cell>
          <cell r="Z41" t="str">
            <v/>
          </cell>
          <cell r="AA41"/>
          <cell r="AB41"/>
          <cell r="AD41">
            <v>39845</v>
          </cell>
          <cell r="AE41" t="str">
            <v>TOTAL</v>
          </cell>
          <cell r="AF41">
            <v>1.2047496048421296E-2</v>
          </cell>
          <cell r="AG41" t="str">
            <v/>
          </cell>
          <cell r="AH41" t="str">
            <v/>
          </cell>
          <cell r="AI41" t="str">
            <v/>
          </cell>
          <cell r="AJ41" t="str">
            <v/>
          </cell>
          <cell r="AK41" t="str">
            <v/>
          </cell>
          <cell r="AL41" t="str">
            <v/>
          </cell>
          <cell r="AM41"/>
          <cell r="AN41">
            <v>0</v>
          </cell>
          <cell r="AO41" t="str">
            <v/>
          </cell>
          <cell r="AP41" t="str">
            <v/>
          </cell>
          <cell r="AQ41" t="str">
            <v/>
          </cell>
          <cell r="AR41" t="str">
            <v/>
          </cell>
          <cell r="AS41" t="str">
            <v/>
          </cell>
          <cell r="AT41" t="str">
            <v/>
          </cell>
          <cell r="AU41"/>
          <cell r="AV41">
            <v>1.071251942913664E-2</v>
          </cell>
          <cell r="AW41" t="str">
            <v/>
          </cell>
          <cell r="AX41" t="str">
            <v/>
          </cell>
          <cell r="AY41" t="str">
            <v/>
          </cell>
          <cell r="AZ41" t="str">
            <v/>
          </cell>
          <cell r="BA41" t="str">
            <v/>
          </cell>
          <cell r="BB41" t="str">
            <v/>
          </cell>
          <cell r="BC41">
            <v>0</v>
          </cell>
          <cell r="BD41"/>
          <cell r="BE41">
            <v>0</v>
          </cell>
          <cell r="BF41" t="str">
            <v/>
          </cell>
          <cell r="BG41" t="str">
            <v/>
          </cell>
          <cell r="BH41" t="str">
            <v/>
          </cell>
          <cell r="BI41" t="str">
            <v/>
          </cell>
          <cell r="BJ41" t="str">
            <v/>
          </cell>
          <cell r="BK41" t="str">
            <v/>
          </cell>
          <cell r="BL41">
            <v>0</v>
          </cell>
          <cell r="BM41"/>
        </row>
        <row r="42">
          <cell r="B42">
            <v>39873</v>
          </cell>
          <cell r="C42"/>
          <cell r="D42" t="str">
            <v>TOTAL</v>
          </cell>
          <cell r="E42" t="str">
            <v/>
          </cell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  <cell r="J42" t="str">
            <v/>
          </cell>
          <cell r="K42" t="str">
            <v/>
          </cell>
          <cell r="L42" t="str">
            <v/>
          </cell>
          <cell r="M42" t="str">
            <v/>
          </cell>
          <cell r="N42" t="str">
            <v/>
          </cell>
          <cell r="O42" t="str">
            <v/>
          </cell>
          <cell r="P42" t="str">
            <v/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/>
          <cell r="V42"/>
          <cell r="W42" t="str">
            <v/>
          </cell>
          <cell r="X42" t="str">
            <v/>
          </cell>
          <cell r="Y42" t="str">
            <v/>
          </cell>
          <cell r="Z42" t="str">
            <v/>
          </cell>
          <cell r="AA42"/>
          <cell r="AB42"/>
          <cell r="AD42">
            <v>39873</v>
          </cell>
          <cell r="AE42" t="str">
            <v>TOTAL</v>
          </cell>
          <cell r="AF42">
            <v>1.4450448711763004E-2</v>
          </cell>
          <cell r="AG42" t="str">
            <v/>
          </cell>
          <cell r="AH42" t="str">
            <v/>
          </cell>
          <cell r="AI42" t="str">
            <v/>
          </cell>
          <cell r="AJ42" t="str">
            <v/>
          </cell>
          <cell r="AK42" t="str">
            <v/>
          </cell>
          <cell r="AL42" t="str">
            <v/>
          </cell>
          <cell r="AM42"/>
          <cell r="AN42">
            <v>8.129885168387533E-3</v>
          </cell>
          <cell r="AO42" t="str">
            <v/>
          </cell>
          <cell r="AP42" t="str">
            <v/>
          </cell>
          <cell r="AQ42" t="str">
            <v/>
          </cell>
          <cell r="AR42" t="str">
            <v/>
          </cell>
          <cell r="AS42" t="str">
            <v/>
          </cell>
          <cell r="AT42" t="str">
            <v/>
          </cell>
          <cell r="AU42"/>
          <cell r="AV42">
            <v>1.1714204442605571E-2</v>
          </cell>
          <cell r="AW42" t="str">
            <v/>
          </cell>
          <cell r="AX42" t="str">
            <v/>
          </cell>
          <cell r="AY42" t="str">
            <v/>
          </cell>
          <cell r="AZ42" t="str">
            <v/>
          </cell>
          <cell r="BA42" t="str">
            <v/>
          </cell>
          <cell r="BB42" t="str">
            <v/>
          </cell>
          <cell r="BC42">
            <v>0</v>
          </cell>
          <cell r="BD42"/>
          <cell r="BE42">
            <v>2.1786351529569964E-3</v>
          </cell>
          <cell r="BF42" t="str">
            <v/>
          </cell>
          <cell r="BG42" t="str">
            <v/>
          </cell>
          <cell r="BH42" t="str">
            <v/>
          </cell>
          <cell r="BI42" t="str">
            <v/>
          </cell>
          <cell r="BJ42" t="str">
            <v/>
          </cell>
          <cell r="BK42" t="str">
            <v/>
          </cell>
          <cell r="BL42">
            <v>0</v>
          </cell>
          <cell r="BM42"/>
        </row>
        <row r="43">
          <cell r="B43">
            <v>39904</v>
          </cell>
          <cell r="C43"/>
          <cell r="D43" t="str">
            <v>TOTAL</v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 t="str">
            <v/>
          </cell>
          <cell r="L43" t="str">
            <v/>
          </cell>
          <cell r="M43" t="str">
            <v/>
          </cell>
          <cell r="N43" t="str">
            <v/>
          </cell>
          <cell r="O43" t="str">
            <v/>
          </cell>
          <cell r="P43" t="str">
            <v/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/>
          <cell r="V43"/>
          <cell r="W43" t="str">
            <v/>
          </cell>
          <cell r="X43" t="str">
            <v/>
          </cell>
          <cell r="Y43" t="str">
            <v/>
          </cell>
          <cell r="Z43" t="str">
            <v/>
          </cell>
          <cell r="AA43"/>
          <cell r="AB43"/>
          <cell r="AD43">
            <v>39904</v>
          </cell>
          <cell r="AE43" t="str">
            <v>TOTAL</v>
          </cell>
          <cell r="AF43">
            <v>1.2453038884756946E-2</v>
          </cell>
          <cell r="AG43" t="str">
            <v/>
          </cell>
          <cell r="AH43" t="str">
            <v/>
          </cell>
          <cell r="AI43" t="str">
            <v/>
          </cell>
          <cell r="AJ43" t="str">
            <v/>
          </cell>
          <cell r="AK43" t="str">
            <v/>
          </cell>
          <cell r="AL43" t="str">
            <v/>
          </cell>
          <cell r="AM43"/>
          <cell r="AN43">
            <v>6.7890993001125163E-3</v>
          </cell>
          <cell r="AO43" t="str">
            <v/>
          </cell>
          <cell r="AP43" t="str">
            <v/>
          </cell>
          <cell r="AQ43" t="str">
            <v/>
          </cell>
          <cell r="AR43" t="str">
            <v/>
          </cell>
          <cell r="AS43" t="str">
            <v/>
          </cell>
          <cell r="AT43" t="str">
            <v/>
          </cell>
          <cell r="AU43"/>
          <cell r="AV43">
            <v>1.1901255787679666E-2</v>
          </cell>
          <cell r="AW43" t="str">
            <v/>
          </cell>
          <cell r="AX43" t="str">
            <v/>
          </cell>
          <cell r="AY43" t="str">
            <v/>
          </cell>
          <cell r="AZ43" t="str">
            <v/>
          </cell>
          <cell r="BA43" t="str">
            <v/>
          </cell>
          <cell r="BB43" t="str">
            <v/>
          </cell>
          <cell r="BC43">
            <v>0</v>
          </cell>
          <cell r="BD43"/>
          <cell r="BE43">
            <v>3.3458702883821536E-3</v>
          </cell>
          <cell r="BF43" t="str">
            <v/>
          </cell>
          <cell r="BG43" t="str">
            <v/>
          </cell>
          <cell r="BH43" t="str">
            <v/>
          </cell>
          <cell r="BI43" t="str">
            <v/>
          </cell>
          <cell r="BJ43" t="str">
            <v/>
          </cell>
          <cell r="BK43" t="str">
            <v/>
          </cell>
          <cell r="BL43">
            <v>0</v>
          </cell>
          <cell r="BM43"/>
        </row>
        <row r="44">
          <cell r="B44">
            <v>39934</v>
          </cell>
          <cell r="C44"/>
          <cell r="D44" t="str">
            <v>TOTAL</v>
          </cell>
          <cell r="E44" t="str">
            <v/>
          </cell>
          <cell r="F44" t="str">
            <v/>
          </cell>
          <cell r="G44" t="str">
            <v/>
          </cell>
          <cell r="H44" t="str">
            <v/>
          </cell>
          <cell r="I44" t="str">
            <v/>
          </cell>
          <cell r="J44" t="str">
            <v/>
          </cell>
          <cell r="K44" t="str">
            <v/>
          </cell>
          <cell r="L44" t="str">
            <v/>
          </cell>
          <cell r="M44" t="str">
            <v/>
          </cell>
          <cell r="N44" t="str">
            <v/>
          </cell>
          <cell r="O44" t="str">
            <v/>
          </cell>
          <cell r="P44" t="str">
            <v/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/>
          <cell r="V44"/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  <cell r="AA44"/>
          <cell r="AB44"/>
          <cell r="AD44">
            <v>39934</v>
          </cell>
          <cell r="AE44" t="str">
            <v>TOTAL</v>
          </cell>
          <cell r="AF44">
            <v>9.4260966232803736E-3</v>
          </cell>
          <cell r="AG44" t="str">
            <v/>
          </cell>
          <cell r="AH44" t="str">
            <v/>
          </cell>
          <cell r="AI44" t="str">
            <v/>
          </cell>
          <cell r="AJ44" t="str">
            <v/>
          </cell>
          <cell r="AK44" t="str">
            <v/>
          </cell>
          <cell r="AL44" t="str">
            <v/>
          </cell>
          <cell r="AM44"/>
          <cell r="AN44">
            <v>5.9333347460320822E-4</v>
          </cell>
          <cell r="AO44" t="str">
            <v/>
          </cell>
          <cell r="AP44" t="str">
            <v/>
          </cell>
          <cell r="AQ44" t="str">
            <v/>
          </cell>
          <cell r="AR44" t="str">
            <v/>
          </cell>
          <cell r="AS44" t="str">
            <v/>
          </cell>
          <cell r="AT44" t="str">
            <v/>
          </cell>
          <cell r="AU44"/>
          <cell r="AV44">
            <v>1.1474276764989072E-2</v>
          </cell>
          <cell r="AW44" t="str">
            <v/>
          </cell>
          <cell r="AX44" t="str">
            <v/>
          </cell>
          <cell r="AY44" t="str">
            <v/>
          </cell>
          <cell r="AZ44" t="str">
            <v/>
          </cell>
          <cell r="BA44" t="str">
            <v/>
          </cell>
          <cell r="BB44" t="str">
            <v/>
          </cell>
          <cell r="BC44">
            <v>0</v>
          </cell>
          <cell r="BD44"/>
          <cell r="BE44">
            <v>2.8351001918902764E-3</v>
          </cell>
          <cell r="BF44" t="str">
            <v/>
          </cell>
          <cell r="BG44" t="str">
            <v/>
          </cell>
          <cell r="BH44" t="str">
            <v/>
          </cell>
          <cell r="BI44" t="str">
            <v/>
          </cell>
          <cell r="BJ44" t="str">
            <v/>
          </cell>
          <cell r="BK44" t="str">
            <v/>
          </cell>
          <cell r="BL44">
            <v>0</v>
          </cell>
          <cell r="BM44"/>
        </row>
        <row r="45">
          <cell r="B45">
            <v>39965</v>
          </cell>
          <cell r="C45"/>
          <cell r="D45" t="str">
            <v>TOTAL</v>
          </cell>
          <cell r="E45" t="str">
            <v/>
          </cell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  <cell r="M45" t="str">
            <v/>
          </cell>
          <cell r="N45" t="str">
            <v/>
          </cell>
          <cell r="O45" t="str">
            <v/>
          </cell>
          <cell r="P45" t="str">
            <v/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/>
          <cell r="V45"/>
          <cell r="W45" t="str">
            <v/>
          </cell>
          <cell r="X45" t="str">
            <v/>
          </cell>
          <cell r="Y45" t="str">
            <v/>
          </cell>
          <cell r="Z45" t="str">
            <v/>
          </cell>
          <cell r="AA45"/>
          <cell r="AB45"/>
          <cell r="AD45">
            <v>39965</v>
          </cell>
          <cell r="AE45" t="str">
            <v>TOTAL</v>
          </cell>
          <cell r="AF45">
            <v>1.8478311082367072E-3</v>
          </cell>
          <cell r="AG45" t="str">
            <v/>
          </cell>
          <cell r="AH45" t="str">
            <v/>
          </cell>
          <cell r="AI45" t="str">
            <v/>
          </cell>
          <cell r="AJ45" t="str">
            <v/>
          </cell>
          <cell r="AK45" t="str">
            <v/>
          </cell>
          <cell r="AL45" t="str">
            <v/>
          </cell>
          <cell r="AM45"/>
          <cell r="AN45">
            <v>6.7000994863257056E-4</v>
          </cell>
          <cell r="AO45" t="str">
            <v/>
          </cell>
          <cell r="AP45" t="str">
            <v/>
          </cell>
          <cell r="AQ45" t="str">
            <v/>
          </cell>
          <cell r="AR45" t="str">
            <v/>
          </cell>
          <cell r="AS45" t="str">
            <v/>
          </cell>
          <cell r="AT45" t="str">
            <v/>
          </cell>
          <cell r="AU45"/>
          <cell r="AV45">
            <v>1.0054735637430048E-2</v>
          </cell>
          <cell r="AW45" t="str">
            <v/>
          </cell>
          <cell r="AX45" t="str">
            <v/>
          </cell>
          <cell r="AY45" t="str">
            <v/>
          </cell>
          <cell r="AZ45" t="str">
            <v/>
          </cell>
          <cell r="BA45" t="str">
            <v/>
          </cell>
          <cell r="BB45" t="str">
            <v/>
          </cell>
          <cell r="BC45">
            <v>0</v>
          </cell>
          <cell r="BD45"/>
          <cell r="BE45">
            <v>2.4838173043664454E-3</v>
          </cell>
          <cell r="BF45" t="str">
            <v/>
          </cell>
          <cell r="BG45" t="str">
            <v/>
          </cell>
          <cell r="BH45" t="str">
            <v/>
          </cell>
          <cell r="BI45" t="str">
            <v/>
          </cell>
          <cell r="BJ45" t="str">
            <v/>
          </cell>
          <cell r="BK45" t="str">
            <v/>
          </cell>
          <cell r="BL45">
            <v>0</v>
          </cell>
          <cell r="BM45"/>
        </row>
        <row r="46">
          <cell r="B46">
            <v>39995</v>
          </cell>
          <cell r="C46"/>
          <cell r="D46" t="str">
            <v>TOTAL</v>
          </cell>
          <cell r="E46" t="str">
            <v/>
          </cell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  <cell r="M46" t="str">
            <v/>
          </cell>
          <cell r="N46" t="str">
            <v/>
          </cell>
          <cell r="O46" t="str">
            <v/>
          </cell>
          <cell r="P46" t="str">
            <v/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/>
          <cell r="V46"/>
          <cell r="W46" t="str">
            <v/>
          </cell>
          <cell r="X46" t="str">
            <v/>
          </cell>
          <cell r="Y46" t="str">
            <v/>
          </cell>
          <cell r="Z46" t="str">
            <v/>
          </cell>
          <cell r="AA46"/>
          <cell r="AB46"/>
          <cell r="AD46">
            <v>39995</v>
          </cell>
          <cell r="AE46" t="str">
            <v>TOTAL</v>
          </cell>
          <cell r="AF46">
            <v>5.0195763477562496E-3</v>
          </cell>
          <cell r="AG46" t="str">
            <v/>
          </cell>
          <cell r="AH46" t="str">
            <v/>
          </cell>
          <cell r="AI46" t="str">
            <v/>
          </cell>
          <cell r="AJ46" t="str">
            <v/>
          </cell>
          <cell r="AK46" t="str">
            <v/>
          </cell>
          <cell r="AL46" t="str">
            <v/>
          </cell>
          <cell r="AM46"/>
          <cell r="AN46">
            <v>9.0475903251100789E-3</v>
          </cell>
          <cell r="AO46" t="str">
            <v/>
          </cell>
          <cell r="AP46" t="str">
            <v/>
          </cell>
          <cell r="AQ46" t="str">
            <v/>
          </cell>
          <cell r="AR46" t="str">
            <v/>
          </cell>
          <cell r="AS46" t="str">
            <v/>
          </cell>
          <cell r="AT46" t="str">
            <v/>
          </cell>
          <cell r="AU46"/>
          <cell r="AV46">
            <v>9.3244573352203562E-3</v>
          </cell>
          <cell r="AW46" t="str">
            <v/>
          </cell>
          <cell r="AX46" t="str">
            <v/>
          </cell>
          <cell r="AY46" t="str">
            <v/>
          </cell>
          <cell r="AZ46" t="str">
            <v/>
          </cell>
          <cell r="BA46" t="str">
            <v/>
          </cell>
          <cell r="BB46" t="str">
            <v/>
          </cell>
          <cell r="BC46">
            <v>0</v>
          </cell>
          <cell r="BD46"/>
          <cell r="BE46">
            <v>3.4078493753219624E-3</v>
          </cell>
          <cell r="BF46" t="str">
            <v/>
          </cell>
          <cell r="BG46" t="str">
            <v/>
          </cell>
          <cell r="BH46" t="str">
            <v/>
          </cell>
          <cell r="BI46" t="str">
            <v/>
          </cell>
          <cell r="BJ46" t="str">
            <v/>
          </cell>
          <cell r="BK46" t="str">
            <v/>
          </cell>
          <cell r="BL46">
            <v>0</v>
          </cell>
          <cell r="BM46"/>
        </row>
        <row r="47">
          <cell r="B47">
            <v>40026</v>
          </cell>
          <cell r="C47"/>
          <cell r="D47" t="str">
            <v>TOTAL</v>
          </cell>
          <cell r="E47" t="str">
            <v/>
          </cell>
          <cell r="F47" t="str">
            <v/>
          </cell>
          <cell r="G47" t="str">
            <v/>
          </cell>
          <cell r="H47" t="str">
            <v/>
          </cell>
          <cell r="I47" t="str">
            <v/>
          </cell>
          <cell r="J47" t="str">
            <v/>
          </cell>
          <cell r="K47" t="str">
            <v/>
          </cell>
          <cell r="L47" t="str">
            <v/>
          </cell>
          <cell r="M47" t="str">
            <v/>
          </cell>
          <cell r="N47" t="str">
            <v/>
          </cell>
          <cell r="O47" t="str">
            <v/>
          </cell>
          <cell r="P47" t="str">
            <v/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/>
          <cell r="V47"/>
          <cell r="W47" t="str">
            <v/>
          </cell>
          <cell r="X47" t="str">
            <v/>
          </cell>
          <cell r="Y47" t="str">
            <v/>
          </cell>
          <cell r="Z47" t="str">
            <v/>
          </cell>
          <cell r="AA47"/>
          <cell r="AB47"/>
          <cell r="AD47">
            <v>40026</v>
          </cell>
          <cell r="AE47" t="str">
            <v>TOTAL</v>
          </cell>
          <cell r="AF47">
            <v>0</v>
          </cell>
          <cell r="AG47" t="str">
            <v/>
          </cell>
          <cell r="AH47" t="str">
            <v/>
          </cell>
          <cell r="AI47" t="str">
            <v/>
          </cell>
          <cell r="AJ47" t="str">
            <v/>
          </cell>
          <cell r="AK47" t="str">
            <v/>
          </cell>
          <cell r="AL47" t="str">
            <v/>
          </cell>
          <cell r="AM47"/>
          <cell r="AN47">
            <v>5.7117616596094678E-3</v>
          </cell>
          <cell r="AO47" t="str">
            <v/>
          </cell>
          <cell r="AP47" t="str">
            <v/>
          </cell>
          <cell r="AQ47" t="str">
            <v/>
          </cell>
          <cell r="AR47" t="str">
            <v/>
          </cell>
          <cell r="AS47" t="str">
            <v/>
          </cell>
          <cell r="AT47" t="str">
            <v/>
          </cell>
          <cell r="AU47"/>
          <cell r="AV47">
            <v>7.9433201192738393E-3</v>
          </cell>
          <cell r="AW47" t="str">
            <v/>
          </cell>
          <cell r="AX47" t="str">
            <v/>
          </cell>
          <cell r="AY47" t="str">
            <v/>
          </cell>
          <cell r="AZ47" t="str">
            <v/>
          </cell>
          <cell r="BA47" t="str">
            <v/>
          </cell>
          <cell r="BB47" t="str">
            <v/>
          </cell>
          <cell r="BC47">
            <v>0</v>
          </cell>
          <cell r="BD47"/>
          <cell r="BE47">
            <v>3.7688921987034437E-3</v>
          </cell>
          <cell r="BF47" t="str">
            <v/>
          </cell>
          <cell r="BG47" t="str">
            <v/>
          </cell>
          <cell r="BH47" t="str">
            <v/>
          </cell>
          <cell r="BI47" t="str">
            <v/>
          </cell>
          <cell r="BJ47" t="str">
            <v/>
          </cell>
          <cell r="BK47" t="str">
            <v/>
          </cell>
          <cell r="BL47">
            <v>0</v>
          </cell>
          <cell r="BM47"/>
        </row>
        <row r="48">
          <cell r="B48">
            <v>40057</v>
          </cell>
          <cell r="C48"/>
          <cell r="D48" t="str">
            <v>TOTAL</v>
          </cell>
          <cell r="E48" t="str">
            <v/>
          </cell>
          <cell r="F48" t="str">
            <v/>
          </cell>
          <cell r="G48" t="str">
            <v/>
          </cell>
          <cell r="H48" t="str">
            <v/>
          </cell>
          <cell r="I48" t="str">
            <v/>
          </cell>
          <cell r="J48" t="str">
            <v/>
          </cell>
          <cell r="K48" t="str">
            <v/>
          </cell>
          <cell r="L48" t="str">
            <v/>
          </cell>
          <cell r="M48" t="str">
            <v/>
          </cell>
          <cell r="N48" t="str">
            <v/>
          </cell>
          <cell r="O48" t="str">
            <v/>
          </cell>
          <cell r="P48" t="str">
            <v/>
          </cell>
          <cell r="Q48" t="str">
            <v/>
          </cell>
          <cell r="R48" t="str">
            <v/>
          </cell>
          <cell r="S48" t="str">
            <v/>
          </cell>
          <cell r="T48" t="str">
            <v/>
          </cell>
          <cell r="U48"/>
          <cell r="V48"/>
          <cell r="W48" t="str">
            <v/>
          </cell>
          <cell r="X48" t="str">
            <v/>
          </cell>
          <cell r="Y48" t="str">
            <v/>
          </cell>
          <cell r="Z48" t="str">
            <v/>
          </cell>
          <cell r="AA48"/>
          <cell r="AB48"/>
          <cell r="AD48">
            <v>40057</v>
          </cell>
          <cell r="AE48" t="str">
            <v>TOTAL</v>
          </cell>
          <cell r="AF48">
            <v>0</v>
          </cell>
          <cell r="AG48" t="str">
            <v/>
          </cell>
          <cell r="AH48" t="str">
            <v/>
          </cell>
          <cell r="AI48" t="str">
            <v/>
          </cell>
          <cell r="AJ48" t="str">
            <v/>
          </cell>
          <cell r="AK48" t="str">
            <v/>
          </cell>
          <cell r="AL48" t="str">
            <v/>
          </cell>
          <cell r="AM48"/>
          <cell r="AN48">
            <v>8.6924542810337332E-3</v>
          </cell>
          <cell r="AO48" t="str">
            <v/>
          </cell>
          <cell r="AP48" t="str">
            <v/>
          </cell>
          <cell r="AQ48" t="str">
            <v/>
          </cell>
          <cell r="AR48" t="str">
            <v/>
          </cell>
          <cell r="AS48" t="str">
            <v/>
          </cell>
          <cell r="AT48" t="str">
            <v/>
          </cell>
          <cell r="AU48"/>
          <cell r="AV48">
            <v>6.9168423599350222E-3</v>
          </cell>
          <cell r="AW48" t="str">
            <v/>
          </cell>
          <cell r="AX48" t="str">
            <v/>
          </cell>
          <cell r="AY48" t="str">
            <v/>
          </cell>
          <cell r="AZ48" t="str">
            <v/>
          </cell>
          <cell r="BA48" t="str">
            <v/>
          </cell>
          <cell r="BB48" t="str">
            <v/>
          </cell>
          <cell r="BC48">
            <v>0</v>
          </cell>
          <cell r="BD48"/>
          <cell r="BE48">
            <v>4.384077798060897E-3</v>
          </cell>
          <cell r="BF48" t="str">
            <v/>
          </cell>
          <cell r="BG48" t="str">
            <v/>
          </cell>
          <cell r="BH48" t="str">
            <v/>
          </cell>
          <cell r="BI48" t="str">
            <v/>
          </cell>
          <cell r="BJ48" t="str">
            <v/>
          </cell>
          <cell r="BK48" t="str">
            <v/>
          </cell>
          <cell r="BL48">
            <v>0</v>
          </cell>
          <cell r="BM48"/>
        </row>
        <row r="49">
          <cell r="B49">
            <v>40087</v>
          </cell>
          <cell r="C49"/>
          <cell r="D49" t="str">
            <v>TOTAL</v>
          </cell>
          <cell r="E49" t="str">
            <v/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  <cell r="L49" t="str">
            <v/>
          </cell>
          <cell r="M49" t="str">
            <v/>
          </cell>
          <cell r="N49" t="str">
            <v/>
          </cell>
          <cell r="O49" t="str">
            <v/>
          </cell>
          <cell r="P49" t="str">
            <v/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  <cell r="U49"/>
          <cell r="V49"/>
          <cell r="W49" t="str">
            <v/>
          </cell>
          <cell r="X49" t="str">
            <v/>
          </cell>
          <cell r="Y49" t="str">
            <v/>
          </cell>
          <cell r="Z49" t="str">
            <v/>
          </cell>
          <cell r="AA49"/>
          <cell r="AB49"/>
          <cell r="AD49">
            <v>40087</v>
          </cell>
          <cell r="AE49" t="str">
            <v>TOTAL</v>
          </cell>
          <cell r="AF49">
            <v>0</v>
          </cell>
          <cell r="AG49" t="str">
            <v/>
          </cell>
          <cell r="AH49" t="str">
            <v/>
          </cell>
          <cell r="AI49" t="str">
            <v/>
          </cell>
          <cell r="AJ49" t="str">
            <v/>
          </cell>
          <cell r="AK49" t="str">
            <v/>
          </cell>
          <cell r="AL49" t="str">
            <v/>
          </cell>
          <cell r="AM49"/>
          <cell r="AN49">
            <v>4.367845091299E-3</v>
          </cell>
          <cell r="AO49" t="str">
            <v/>
          </cell>
          <cell r="AP49" t="str">
            <v/>
          </cell>
          <cell r="AQ49" t="str">
            <v/>
          </cell>
          <cell r="AR49" t="str">
            <v/>
          </cell>
          <cell r="AS49" t="str">
            <v/>
          </cell>
          <cell r="AT49" t="str">
            <v/>
          </cell>
          <cell r="AU49"/>
          <cell r="AV49">
            <v>6.08345080992351E-3</v>
          </cell>
          <cell r="AW49" t="str">
            <v/>
          </cell>
          <cell r="AX49" t="str">
            <v/>
          </cell>
          <cell r="AY49" t="str">
            <v/>
          </cell>
          <cell r="AZ49" t="str">
            <v/>
          </cell>
          <cell r="BA49" t="str">
            <v/>
          </cell>
          <cell r="BB49" t="str">
            <v/>
          </cell>
          <cell r="BC49">
            <v>0</v>
          </cell>
          <cell r="BD49"/>
          <cell r="BE49">
            <v>4.382179138171436E-3</v>
          </cell>
          <cell r="BF49" t="str">
            <v/>
          </cell>
          <cell r="BG49" t="str">
            <v/>
          </cell>
          <cell r="BH49" t="str">
            <v/>
          </cell>
          <cell r="BI49" t="str">
            <v/>
          </cell>
          <cell r="BJ49" t="str">
            <v/>
          </cell>
          <cell r="BK49" t="str">
            <v/>
          </cell>
          <cell r="BL49">
            <v>0</v>
          </cell>
          <cell r="BM49"/>
        </row>
      </sheetData>
      <sheetData sheetId="36"/>
      <sheetData sheetId="37">
        <row r="13">
          <cell r="B13"/>
          <cell r="C13"/>
          <cell r="D13"/>
          <cell r="E13" t="str">
            <v>Mensual</v>
          </cell>
          <cell r="F13"/>
          <cell r="G13"/>
          <cell r="H13"/>
          <cell r="I13"/>
          <cell r="J13"/>
          <cell r="K13" t="str">
            <v>Acumulado</v>
          </cell>
          <cell r="L13"/>
          <cell r="M13"/>
          <cell r="N13"/>
          <cell r="O13"/>
          <cell r="P13"/>
          <cell r="Q13"/>
          <cell r="R13" t="str">
            <v>Mes</v>
          </cell>
          <cell r="S13"/>
          <cell r="T13"/>
          <cell r="U13"/>
          <cell r="V13"/>
        </row>
        <row r="14">
          <cell r="B14"/>
          <cell r="C14"/>
          <cell r="D14"/>
          <cell r="E14" t="str">
            <v>kg/hr-h</v>
          </cell>
          <cell r="F14" t="str">
            <v>Productividad de la mano de obra</v>
          </cell>
          <cell r="G14"/>
          <cell r="H14"/>
          <cell r="I14"/>
          <cell r="J14"/>
          <cell r="K14" t="str">
            <v>kg/hr-h</v>
          </cell>
          <cell r="L14" t="str">
            <v>Productividad de la mano de obra</v>
          </cell>
          <cell r="M14"/>
          <cell r="N14"/>
          <cell r="O14"/>
          <cell r="P14"/>
          <cell r="Q14"/>
          <cell r="R14"/>
          <cell r="S14"/>
          <cell r="T14" t="str">
            <v>Productividad de la mano de obra</v>
          </cell>
          <cell r="U14"/>
          <cell r="V14"/>
        </row>
        <row r="15">
          <cell r="B15"/>
          <cell r="C15" t="str">
            <v>Fecha</v>
          </cell>
          <cell r="D15" t="str">
            <v>TIPO2</v>
          </cell>
          <cell r="E15"/>
          <cell r="F15" t="str">
            <v>Performance</v>
          </cell>
          <cell r="G15"/>
          <cell r="H15"/>
          <cell r="I15" t="str">
            <v>Sup</v>
          </cell>
          <cell r="J15" t="str">
            <v>Inf</v>
          </cell>
          <cell r="K15"/>
          <cell r="L15" t="str">
            <v>Performance</v>
          </cell>
          <cell r="M15"/>
          <cell r="N15"/>
          <cell r="O15" t="str">
            <v>Sup</v>
          </cell>
          <cell r="P15" t="str">
            <v>Inf</v>
          </cell>
          <cell r="Q15"/>
          <cell r="R15" t="str">
            <v>Fecha</v>
          </cell>
          <cell r="S15" t="str">
            <v>TIPO2</v>
          </cell>
          <cell r="T15" t="str">
            <v>Anteriores</v>
          </cell>
          <cell r="U15" t="str">
            <v>Real</v>
          </cell>
          <cell r="V15" t="str">
            <v>Programado</v>
          </cell>
        </row>
        <row r="16">
          <cell r="B16">
            <v>39083</v>
          </cell>
          <cell r="C16">
            <v>39083</v>
          </cell>
          <cell r="D16" t="str">
            <v>TOTAL</v>
          </cell>
          <cell r="E16">
            <v>143.04275423560355</v>
          </cell>
          <cell r="F16" t="str">
            <v>g</v>
          </cell>
          <cell r="G16" t="str">
            <v>c</v>
          </cell>
          <cell r="H16" t="str">
            <v>c</v>
          </cell>
          <cell r="I16">
            <v>60</v>
          </cell>
          <cell r="J16">
            <v>55</v>
          </cell>
          <cell r="K16">
            <v>143.04275423560355</v>
          </cell>
          <cell r="L16" t="str">
            <v>g</v>
          </cell>
          <cell r="M16" t="str">
            <v>c</v>
          </cell>
          <cell r="N16" t="str">
            <v>c</v>
          </cell>
          <cell r="O16">
            <v>60</v>
          </cell>
          <cell r="P16">
            <v>55</v>
          </cell>
          <cell r="Q16"/>
          <cell r="R16">
            <v>39083</v>
          </cell>
          <cell r="S16" t="str">
            <v>TOTAL</v>
          </cell>
          <cell r="T16"/>
          <cell r="U16">
            <v>143.04275423560355</v>
          </cell>
          <cell r="V16">
            <v>0</v>
          </cell>
          <cell r="W16">
            <v>143.04275423560355</v>
          </cell>
          <cell r="X16"/>
          <cell r="Y16">
            <v>143.04275423560355</v>
          </cell>
          <cell r="Z16" t="e">
            <v>#DIV/0!</v>
          </cell>
          <cell r="AA16"/>
          <cell r="AB16"/>
          <cell r="AC16">
            <v>4461555</v>
          </cell>
          <cell r="AD16">
            <v>20000</v>
          </cell>
          <cell r="AE16">
            <v>4461555</v>
          </cell>
          <cell r="AF16">
            <v>-1</v>
          </cell>
          <cell r="AG16">
            <v>4441555</v>
          </cell>
          <cell r="AH16">
            <v>-0.99551725799637125</v>
          </cell>
          <cell r="AI16"/>
          <cell r="AJ16"/>
          <cell r="AK16">
            <v>143.04275423560355</v>
          </cell>
          <cell r="AL16">
            <v>0</v>
          </cell>
          <cell r="AM16">
            <v>143.04275423560355</v>
          </cell>
          <cell r="AN16"/>
          <cell r="AO16">
            <v>143.04275423560355</v>
          </cell>
          <cell r="AP16" t="e">
            <v>#DIV/0!</v>
          </cell>
          <cell r="AQ16">
            <v>0</v>
          </cell>
          <cell r="AR16" t="e">
            <v>#DIV/0!</v>
          </cell>
        </row>
        <row r="17">
          <cell r="B17">
            <v>39114</v>
          </cell>
          <cell r="C17">
            <v>39114</v>
          </cell>
          <cell r="D17" t="str">
            <v>TOTAL</v>
          </cell>
          <cell r="E17">
            <v>133.41633832897594</v>
          </cell>
          <cell r="F17" t="str">
            <v>g</v>
          </cell>
          <cell r="G17" t="str">
            <v>c</v>
          </cell>
          <cell r="H17" t="str">
            <v>c</v>
          </cell>
          <cell r="I17">
            <v>60</v>
          </cell>
          <cell r="J17">
            <v>55</v>
          </cell>
          <cell r="K17">
            <v>138.46821429749212</v>
          </cell>
          <cell r="L17" t="str">
            <v>g</v>
          </cell>
          <cell r="M17" t="str">
            <v>c</v>
          </cell>
          <cell r="N17" t="str">
            <v>c</v>
          </cell>
          <cell r="O17">
            <v>60</v>
          </cell>
          <cell r="P17">
            <v>55</v>
          </cell>
          <cell r="Q17"/>
          <cell r="R17">
            <v>39114</v>
          </cell>
          <cell r="S17" t="str">
            <v>TOTAL</v>
          </cell>
          <cell r="T17"/>
          <cell r="U17">
            <v>133.41633832897594</v>
          </cell>
          <cell r="V17">
            <v>0</v>
          </cell>
          <cell r="W17">
            <v>133.41633832897594</v>
          </cell>
          <cell r="X17"/>
          <cell r="Y17">
            <v>133.41633832897594</v>
          </cell>
          <cell r="Z17" t="e">
            <v>#DIV/0!</v>
          </cell>
          <cell r="AA17"/>
          <cell r="AB17"/>
          <cell r="AC17">
            <v>3768115</v>
          </cell>
          <cell r="AD17">
            <v>20000</v>
          </cell>
          <cell r="AE17">
            <v>3768115</v>
          </cell>
          <cell r="AF17">
            <v>-1</v>
          </cell>
          <cell r="AG17">
            <v>3748115</v>
          </cell>
          <cell r="AH17">
            <v>-0.9946923063653843</v>
          </cell>
          <cell r="AI17"/>
          <cell r="AJ17"/>
          <cell r="AK17">
            <v>138.46821429749212</v>
          </cell>
          <cell r="AL17">
            <v>0</v>
          </cell>
          <cell r="AM17">
            <v>138.46821429749212</v>
          </cell>
          <cell r="AN17"/>
          <cell r="AO17">
            <v>138.46821429749212</v>
          </cell>
          <cell r="AP17" t="e">
            <v>#DIV/0!</v>
          </cell>
          <cell r="AQ17">
            <v>0</v>
          </cell>
          <cell r="AR17" t="e">
            <v>#DIV/0!</v>
          </cell>
        </row>
        <row r="18">
          <cell r="B18">
            <v>39142</v>
          </cell>
          <cell r="C18">
            <v>39142</v>
          </cell>
          <cell r="D18" t="str">
            <v>TOTAL</v>
          </cell>
          <cell r="E18">
            <v>96.372531734837892</v>
          </cell>
          <cell r="F18" t="str">
            <v>g</v>
          </cell>
          <cell r="G18" t="str">
            <v>c</v>
          </cell>
          <cell r="H18" t="str">
            <v>c</v>
          </cell>
          <cell r="I18">
            <v>60</v>
          </cell>
          <cell r="J18">
            <v>55</v>
          </cell>
          <cell r="K18">
            <v>123.87501324613095</v>
          </cell>
          <cell r="L18" t="str">
            <v>g</v>
          </cell>
          <cell r="M18" t="str">
            <v>c</v>
          </cell>
          <cell r="N18" t="str">
            <v>c</v>
          </cell>
          <cell r="O18">
            <v>60</v>
          </cell>
          <cell r="P18">
            <v>55</v>
          </cell>
          <cell r="Q18"/>
          <cell r="R18">
            <v>39142</v>
          </cell>
          <cell r="S18" t="str">
            <v>TOTAL</v>
          </cell>
          <cell r="T18"/>
          <cell r="U18">
            <v>96.372531734837892</v>
          </cell>
          <cell r="V18">
            <v>0</v>
          </cell>
          <cell r="W18">
            <v>96.372531734837892</v>
          </cell>
          <cell r="X18"/>
          <cell r="Y18">
            <v>96.372531734837892</v>
          </cell>
          <cell r="Z18" t="e">
            <v>#DIV/0!</v>
          </cell>
          <cell r="AA18"/>
          <cell r="AB18"/>
          <cell r="AC18">
            <v>3039235</v>
          </cell>
          <cell r="AD18">
            <v>20000</v>
          </cell>
          <cell r="AE18">
            <v>3039235</v>
          </cell>
          <cell r="AF18">
            <v>-1</v>
          </cell>
          <cell r="AG18">
            <v>3019235</v>
          </cell>
          <cell r="AH18">
            <v>-0.99341939665738255</v>
          </cell>
          <cell r="AI18"/>
          <cell r="AJ18"/>
          <cell r="AK18">
            <v>123.87501324613095</v>
          </cell>
          <cell r="AL18">
            <v>0</v>
          </cell>
          <cell r="AM18">
            <v>123.87501324613095</v>
          </cell>
          <cell r="AN18"/>
          <cell r="AO18">
            <v>123.87501324613095</v>
          </cell>
          <cell r="AP18" t="e">
            <v>#DIV/0!</v>
          </cell>
          <cell r="AQ18">
            <v>0</v>
          </cell>
          <cell r="AR18" t="e">
            <v>#DIV/0!</v>
          </cell>
        </row>
        <row r="19">
          <cell r="B19">
            <v>39173</v>
          </cell>
          <cell r="C19">
            <v>39173</v>
          </cell>
          <cell r="D19" t="str">
            <v>TOTAL</v>
          </cell>
          <cell r="E19">
            <v>113.0603671839911</v>
          </cell>
          <cell r="F19" t="str">
            <v>g</v>
          </cell>
          <cell r="G19" t="str">
            <v>c</v>
          </cell>
          <cell r="H19" t="str">
            <v>c</v>
          </cell>
          <cell r="I19">
            <v>60</v>
          </cell>
          <cell r="J19">
            <v>55</v>
          </cell>
          <cell r="K19">
            <v>121.27684825071711</v>
          </cell>
          <cell r="L19" t="str">
            <v>g</v>
          </cell>
          <cell r="M19" t="str">
            <v>c</v>
          </cell>
          <cell r="N19" t="str">
            <v>c</v>
          </cell>
          <cell r="O19">
            <v>60</v>
          </cell>
          <cell r="P19">
            <v>55</v>
          </cell>
          <cell r="Q19"/>
          <cell r="R19">
            <v>39173</v>
          </cell>
          <cell r="S19" t="str">
            <v>TOTAL</v>
          </cell>
          <cell r="T19"/>
          <cell r="U19">
            <v>113.0603671839911</v>
          </cell>
          <cell r="V19">
            <v>0</v>
          </cell>
          <cell r="W19">
            <v>113.0603671839911</v>
          </cell>
          <cell r="X19"/>
          <cell r="Y19">
            <v>113.0603671839911</v>
          </cell>
          <cell r="Z19" t="e">
            <v>#DIV/0!</v>
          </cell>
          <cell r="AA19"/>
          <cell r="AB19"/>
          <cell r="AC19">
            <v>3252290</v>
          </cell>
          <cell r="AD19">
            <v>20000</v>
          </cell>
          <cell r="AE19">
            <v>3252290</v>
          </cell>
          <cell r="AF19">
            <v>-1</v>
          </cell>
          <cell r="AG19">
            <v>3232290</v>
          </cell>
          <cell r="AH19">
            <v>-0.99385048688770061</v>
          </cell>
          <cell r="AI19"/>
          <cell r="AJ19"/>
          <cell r="AK19">
            <v>121.27684825071711</v>
          </cell>
          <cell r="AL19">
            <v>0</v>
          </cell>
          <cell r="AM19">
            <v>121.27684825071711</v>
          </cell>
          <cell r="AN19"/>
          <cell r="AO19">
            <v>121.27684825071711</v>
          </cell>
          <cell r="AP19" t="e">
            <v>#DIV/0!</v>
          </cell>
          <cell r="AQ19">
            <v>0</v>
          </cell>
          <cell r="AR19" t="e">
            <v>#DIV/0!</v>
          </cell>
        </row>
        <row r="20">
          <cell r="B20">
            <v>39203</v>
          </cell>
          <cell r="C20">
            <v>39203</v>
          </cell>
          <cell r="D20" t="str">
            <v>TOTAL</v>
          </cell>
          <cell r="E20">
            <v>103.86577131515403</v>
          </cell>
          <cell r="F20" t="str">
            <v>g</v>
          </cell>
          <cell r="G20" t="str">
            <v>c</v>
          </cell>
          <cell r="H20" t="str">
            <v>c</v>
          </cell>
          <cell r="I20">
            <v>60</v>
          </cell>
          <cell r="J20">
            <v>55</v>
          </cell>
          <cell r="K20">
            <v>117.47097834372295</v>
          </cell>
          <cell r="L20" t="str">
            <v>g</v>
          </cell>
          <cell r="M20" t="str">
            <v>c</v>
          </cell>
          <cell r="N20" t="str">
            <v>c</v>
          </cell>
          <cell r="O20">
            <v>60</v>
          </cell>
          <cell r="P20">
            <v>55</v>
          </cell>
          <cell r="Q20"/>
          <cell r="R20">
            <v>39203</v>
          </cell>
          <cell r="S20" t="str">
            <v>TOTAL</v>
          </cell>
          <cell r="T20"/>
          <cell r="U20">
            <v>103.86577131515403</v>
          </cell>
          <cell r="V20">
            <v>0</v>
          </cell>
          <cell r="W20">
            <v>103.86577131515403</v>
          </cell>
          <cell r="X20"/>
          <cell r="Y20">
            <v>103.86577131515403</v>
          </cell>
          <cell r="Z20" t="e">
            <v>#DIV/0!</v>
          </cell>
          <cell r="AA20"/>
          <cell r="AB20"/>
          <cell r="AC20">
            <v>3478930</v>
          </cell>
          <cell r="AD20">
            <v>20000</v>
          </cell>
          <cell r="AE20">
            <v>3478930</v>
          </cell>
          <cell r="AF20">
            <v>-1</v>
          </cell>
          <cell r="AG20">
            <v>3458930</v>
          </cell>
          <cell r="AH20">
            <v>-0.99425110594349408</v>
          </cell>
          <cell r="AI20"/>
          <cell r="AJ20"/>
          <cell r="AK20">
            <v>117.47097834372295</v>
          </cell>
          <cell r="AL20">
            <v>0</v>
          </cell>
          <cell r="AM20">
            <v>117.47097834372295</v>
          </cell>
          <cell r="AN20"/>
          <cell r="AO20">
            <v>117.47097834372295</v>
          </cell>
          <cell r="AP20" t="e">
            <v>#DIV/0!</v>
          </cell>
          <cell r="AQ20">
            <v>0</v>
          </cell>
          <cell r="AR20" t="e">
            <v>#DIV/0!</v>
          </cell>
        </row>
        <row r="21">
          <cell r="B21">
            <v>39234</v>
          </cell>
          <cell r="C21">
            <v>39234</v>
          </cell>
          <cell r="D21" t="str">
            <v>TOTAL</v>
          </cell>
          <cell r="E21">
            <v>112.78815962584054</v>
          </cell>
          <cell r="F21" t="str">
            <v>g</v>
          </cell>
          <cell r="G21" t="str">
            <v>c</v>
          </cell>
          <cell r="H21" t="str">
            <v>c</v>
          </cell>
          <cell r="I21">
            <v>60</v>
          </cell>
          <cell r="J21">
            <v>55</v>
          </cell>
          <cell r="K21">
            <v>116.66262778236204</v>
          </cell>
          <cell r="L21" t="str">
            <v>g</v>
          </cell>
          <cell r="M21" t="str">
            <v>c</v>
          </cell>
          <cell r="N21" t="str">
            <v>c</v>
          </cell>
          <cell r="O21">
            <v>60</v>
          </cell>
          <cell r="P21">
            <v>55</v>
          </cell>
          <cell r="Q21"/>
          <cell r="R21">
            <v>39234</v>
          </cell>
          <cell r="S21" t="str">
            <v>TOTAL</v>
          </cell>
          <cell r="T21"/>
          <cell r="U21">
            <v>112.78815962584054</v>
          </cell>
          <cell r="V21">
            <v>0</v>
          </cell>
          <cell r="W21">
            <v>112.78815962584054</v>
          </cell>
          <cell r="X21"/>
          <cell r="Y21">
            <v>112.78815962584054</v>
          </cell>
          <cell r="Z21" t="e">
            <v>#DIV/0!</v>
          </cell>
          <cell r="AA21"/>
          <cell r="AB21"/>
          <cell r="AC21">
            <v>3605754</v>
          </cell>
          <cell r="AD21">
            <v>20000</v>
          </cell>
          <cell r="AE21">
            <v>3605754</v>
          </cell>
          <cell r="AF21">
            <v>-1</v>
          </cell>
          <cell r="AG21">
            <v>3585754</v>
          </cell>
          <cell r="AH21">
            <v>-0.9944533099041144</v>
          </cell>
          <cell r="AI21"/>
          <cell r="AJ21"/>
          <cell r="AK21">
            <v>116.66262778236204</v>
          </cell>
          <cell r="AL21">
            <v>0</v>
          </cell>
          <cell r="AM21">
            <v>116.66262778236204</v>
          </cell>
          <cell r="AN21"/>
          <cell r="AO21">
            <v>116.66262778236204</v>
          </cell>
          <cell r="AP21" t="e">
            <v>#DIV/0!</v>
          </cell>
          <cell r="AQ21">
            <v>0</v>
          </cell>
          <cell r="AR21" t="e">
            <v>#DIV/0!</v>
          </cell>
        </row>
        <row r="22">
          <cell r="B22">
            <v>39264</v>
          </cell>
          <cell r="C22">
            <v>39264</v>
          </cell>
          <cell r="D22" t="str">
            <v>TOTAL</v>
          </cell>
          <cell r="E22">
            <v>130.95342189152802</v>
          </cell>
          <cell r="F22" t="str">
            <v>g</v>
          </cell>
          <cell r="G22" t="str">
            <v>c</v>
          </cell>
          <cell r="H22" t="str">
            <v>c</v>
          </cell>
          <cell r="I22">
            <v>60</v>
          </cell>
          <cell r="J22">
            <v>55</v>
          </cell>
          <cell r="K22">
            <v>118.99350925178803</v>
          </cell>
          <cell r="L22" t="str">
            <v>g</v>
          </cell>
          <cell r="M22" t="str">
            <v>c</v>
          </cell>
          <cell r="N22" t="str">
            <v>c</v>
          </cell>
          <cell r="O22">
            <v>60</v>
          </cell>
          <cell r="P22">
            <v>55</v>
          </cell>
          <cell r="Q22"/>
          <cell r="R22">
            <v>39264</v>
          </cell>
          <cell r="S22" t="str">
            <v>TOTAL</v>
          </cell>
          <cell r="T22"/>
          <cell r="U22">
            <v>130.95342189152802</v>
          </cell>
          <cell r="V22">
            <v>0</v>
          </cell>
          <cell r="W22">
            <v>130.95342189152802</v>
          </cell>
          <cell r="X22"/>
          <cell r="Y22">
            <v>130.95342189152802</v>
          </cell>
          <cell r="Z22" t="e">
            <v>#DIV/0!</v>
          </cell>
          <cell r="AA22"/>
          <cell r="AB22"/>
          <cell r="AC22">
            <v>4726604</v>
          </cell>
          <cell r="AD22">
            <v>20000</v>
          </cell>
          <cell r="AE22">
            <v>4726604</v>
          </cell>
          <cell r="AF22">
            <v>-1</v>
          </cell>
          <cell r="AG22">
            <v>4706604</v>
          </cell>
          <cell r="AH22">
            <v>-0.99576863219343104</v>
          </cell>
          <cell r="AI22"/>
          <cell r="AJ22"/>
          <cell r="AK22">
            <v>118.99350925178803</v>
          </cell>
          <cell r="AL22">
            <v>0</v>
          </cell>
          <cell r="AM22">
            <v>118.99350925178803</v>
          </cell>
          <cell r="AN22"/>
          <cell r="AO22">
            <v>118.99350925178803</v>
          </cell>
          <cell r="AP22" t="e">
            <v>#DIV/0!</v>
          </cell>
          <cell r="AQ22">
            <v>0</v>
          </cell>
          <cell r="AR22" t="e">
            <v>#DIV/0!</v>
          </cell>
        </row>
        <row r="23">
          <cell r="B23">
            <v>39295</v>
          </cell>
          <cell r="C23">
            <v>39295</v>
          </cell>
          <cell r="D23" t="str">
            <v>TOTAL</v>
          </cell>
          <cell r="E23">
            <v>127.51504778977124</v>
          </cell>
          <cell r="F23" t="str">
            <v>g</v>
          </cell>
          <cell r="G23" t="str">
            <v>c</v>
          </cell>
          <cell r="H23" t="str">
            <v>c</v>
          </cell>
          <cell r="I23">
            <v>60</v>
          </cell>
          <cell r="J23">
            <v>55</v>
          </cell>
          <cell r="K23">
            <v>120.19259638012183</v>
          </cell>
          <cell r="L23" t="str">
            <v>g</v>
          </cell>
          <cell r="M23" t="str">
            <v>c</v>
          </cell>
          <cell r="N23" t="str">
            <v>c</v>
          </cell>
          <cell r="O23">
            <v>60</v>
          </cell>
          <cell r="P23">
            <v>55</v>
          </cell>
          <cell r="Q23"/>
          <cell r="R23">
            <v>39295</v>
          </cell>
          <cell r="S23" t="str">
            <v>TOTAL</v>
          </cell>
          <cell r="T23"/>
          <cell r="U23">
            <v>127.51504778977124</v>
          </cell>
          <cell r="V23">
            <v>0</v>
          </cell>
          <cell r="W23">
            <v>127.51504778977124</v>
          </cell>
          <cell r="X23"/>
          <cell r="Y23">
            <v>127.51504778977124</v>
          </cell>
          <cell r="Z23" t="e">
            <v>#DIV/0!</v>
          </cell>
          <cell r="AA23"/>
          <cell r="AB23"/>
          <cell r="AC23">
            <v>4620875</v>
          </cell>
          <cell r="AD23">
            <v>20000</v>
          </cell>
          <cell r="AE23">
            <v>4620875</v>
          </cell>
          <cell r="AF23">
            <v>-1</v>
          </cell>
          <cell r="AG23">
            <v>4600875</v>
          </cell>
          <cell r="AH23">
            <v>-0.99567181540292693</v>
          </cell>
          <cell r="AI23"/>
          <cell r="AJ23"/>
          <cell r="AK23">
            <v>120.19259638012183</v>
          </cell>
          <cell r="AL23">
            <v>0</v>
          </cell>
          <cell r="AM23">
            <v>120.19259638012183</v>
          </cell>
          <cell r="AN23"/>
          <cell r="AO23">
            <v>120.19259638012183</v>
          </cell>
          <cell r="AP23" t="e">
            <v>#DIV/0!</v>
          </cell>
          <cell r="AQ23">
            <v>0</v>
          </cell>
          <cell r="AR23" t="e">
            <v>#DIV/0!</v>
          </cell>
        </row>
        <row r="24">
          <cell r="B24">
            <v>39326</v>
          </cell>
          <cell r="C24">
            <v>39326</v>
          </cell>
          <cell r="D24" t="str">
            <v>TOTAL</v>
          </cell>
          <cell r="E24">
            <v>130.18444220227062</v>
          </cell>
          <cell r="F24" t="str">
            <v>g</v>
          </cell>
          <cell r="G24" t="str">
            <v>c</v>
          </cell>
          <cell r="H24" t="str">
            <v>c</v>
          </cell>
          <cell r="I24">
            <v>60</v>
          </cell>
          <cell r="J24">
            <v>55</v>
          </cell>
          <cell r="K24">
            <v>121.32037539191739</v>
          </cell>
          <cell r="L24" t="str">
            <v>g</v>
          </cell>
          <cell r="M24" t="str">
            <v>c</v>
          </cell>
          <cell r="N24" t="str">
            <v>c</v>
          </cell>
          <cell r="O24">
            <v>60</v>
          </cell>
          <cell r="P24">
            <v>55</v>
          </cell>
          <cell r="Q24"/>
          <cell r="R24">
            <v>39326</v>
          </cell>
          <cell r="S24" t="str">
            <v>TOTAL</v>
          </cell>
          <cell r="T24"/>
          <cell r="U24">
            <v>130.18444220227062</v>
          </cell>
          <cell r="V24">
            <v>0</v>
          </cell>
          <cell r="W24">
            <v>130.18444220227062</v>
          </cell>
          <cell r="X24"/>
          <cell r="Y24">
            <v>130.18444220227062</v>
          </cell>
          <cell r="Z24" t="e">
            <v>#DIV/0!</v>
          </cell>
          <cell r="AA24"/>
          <cell r="AB24"/>
          <cell r="AC24">
            <v>4265600</v>
          </cell>
          <cell r="AD24">
            <v>20000</v>
          </cell>
          <cell r="AE24">
            <v>4265600</v>
          </cell>
          <cell r="AF24">
            <v>-1</v>
          </cell>
          <cell r="AG24">
            <v>4245600</v>
          </cell>
          <cell r="AH24">
            <v>-0.99531132783195797</v>
          </cell>
          <cell r="AI24"/>
          <cell r="AJ24"/>
          <cell r="AK24">
            <v>121.32037539191739</v>
          </cell>
          <cell r="AL24">
            <v>0</v>
          </cell>
          <cell r="AM24">
            <v>121.32037539191739</v>
          </cell>
          <cell r="AN24"/>
          <cell r="AO24">
            <v>121.32037539191739</v>
          </cell>
          <cell r="AP24" t="e">
            <v>#DIV/0!</v>
          </cell>
          <cell r="AQ24">
            <v>0</v>
          </cell>
          <cell r="AR24" t="e">
            <v>#DIV/0!</v>
          </cell>
        </row>
        <row r="25">
          <cell r="B25">
            <v>39356</v>
          </cell>
          <cell r="C25">
            <v>39356</v>
          </cell>
          <cell r="D25" t="str">
            <v>TOTAL</v>
          </cell>
          <cell r="E25">
            <v>123.39461629982154</v>
          </cell>
          <cell r="F25" t="str">
            <v>g</v>
          </cell>
          <cell r="G25" t="str">
            <v>c</v>
          </cell>
          <cell r="H25" t="str">
            <v>c</v>
          </cell>
          <cell r="I25">
            <v>60</v>
          </cell>
          <cell r="J25">
            <v>55</v>
          </cell>
          <cell r="K25">
            <v>121.53566495431517</v>
          </cell>
          <cell r="L25" t="str">
            <v>g</v>
          </cell>
          <cell r="M25" t="str">
            <v>c</v>
          </cell>
          <cell r="N25" t="str">
            <v>c</v>
          </cell>
          <cell r="O25">
            <v>60</v>
          </cell>
          <cell r="P25">
            <v>55</v>
          </cell>
          <cell r="Q25"/>
          <cell r="R25">
            <v>39356</v>
          </cell>
          <cell r="S25" t="str">
            <v>TOTAL</v>
          </cell>
          <cell r="T25"/>
          <cell r="U25">
            <v>123.39461629982154</v>
          </cell>
          <cell r="V25">
            <v>0</v>
          </cell>
          <cell r="W25">
            <v>123.39461629982154</v>
          </cell>
          <cell r="X25"/>
          <cell r="Y25">
            <v>123.39461629982154</v>
          </cell>
          <cell r="Z25" t="e">
            <v>#DIV/0!</v>
          </cell>
          <cell r="AA25"/>
          <cell r="AB25"/>
          <cell r="AC25">
            <v>4148527</v>
          </cell>
          <cell r="AD25">
            <v>20000</v>
          </cell>
          <cell r="AE25">
            <v>4148527</v>
          </cell>
          <cell r="AF25">
            <v>-1</v>
          </cell>
          <cell r="AG25">
            <v>4128527</v>
          </cell>
          <cell r="AH25">
            <v>-0.99517901173115175</v>
          </cell>
          <cell r="AI25"/>
          <cell r="AJ25"/>
          <cell r="AK25">
            <v>121.53566495431517</v>
          </cell>
          <cell r="AL25">
            <v>0</v>
          </cell>
          <cell r="AM25">
            <v>121.53566495431517</v>
          </cell>
          <cell r="AN25"/>
          <cell r="AO25">
            <v>121.53566495431517</v>
          </cell>
          <cell r="AP25" t="e">
            <v>#DIV/0!</v>
          </cell>
          <cell r="AQ25">
            <v>0</v>
          </cell>
          <cell r="AR25" t="e">
            <v>#DIV/0!</v>
          </cell>
        </row>
        <row r="26">
          <cell r="B26">
            <v>39387</v>
          </cell>
          <cell r="C26">
            <v>39387</v>
          </cell>
          <cell r="D26" t="str">
            <v>TOTAL</v>
          </cell>
          <cell r="E26">
            <v>130.91904981676188</v>
          </cell>
          <cell r="F26" t="str">
            <v>g</v>
          </cell>
          <cell r="G26" t="str">
            <v>c</v>
          </cell>
          <cell r="H26" t="str">
            <v>c</v>
          </cell>
          <cell r="I26">
            <v>60</v>
          </cell>
          <cell r="J26">
            <v>55</v>
          </cell>
          <cell r="K26">
            <v>122.48565684085739</v>
          </cell>
          <cell r="L26" t="str">
            <v>g</v>
          </cell>
          <cell r="M26" t="str">
            <v>c</v>
          </cell>
          <cell r="N26" t="str">
            <v>c</v>
          </cell>
          <cell r="O26">
            <v>60</v>
          </cell>
          <cell r="P26">
            <v>55</v>
          </cell>
          <cell r="Q26"/>
          <cell r="R26">
            <v>39387</v>
          </cell>
          <cell r="S26" t="str">
            <v>TOTAL</v>
          </cell>
          <cell r="T26"/>
          <cell r="U26">
            <v>130.91904981676188</v>
          </cell>
          <cell r="V26">
            <v>0</v>
          </cell>
          <cell r="W26">
            <v>130.91904981676188</v>
          </cell>
          <cell r="X26"/>
          <cell r="Y26">
            <v>130.91904981676188</v>
          </cell>
          <cell r="Z26" t="e">
            <v>#DIV/0!</v>
          </cell>
          <cell r="AA26"/>
          <cell r="AB26"/>
          <cell r="AC26">
            <v>4776990</v>
          </cell>
          <cell r="AD26">
            <v>20000</v>
          </cell>
          <cell r="AE26">
            <v>4776990</v>
          </cell>
          <cell r="AF26">
            <v>-1</v>
          </cell>
          <cell r="AG26">
            <v>4756990</v>
          </cell>
          <cell r="AH26">
            <v>-0.99581326316362395</v>
          </cell>
          <cell r="AI26"/>
          <cell r="AJ26"/>
          <cell r="AK26">
            <v>122.48565684085739</v>
          </cell>
          <cell r="AL26">
            <v>0</v>
          </cell>
          <cell r="AM26">
            <v>122.48565684085739</v>
          </cell>
          <cell r="AN26"/>
          <cell r="AO26">
            <v>122.48565684085739</v>
          </cell>
          <cell r="AP26" t="e">
            <v>#DIV/0!</v>
          </cell>
          <cell r="AQ26">
            <v>0</v>
          </cell>
          <cell r="AR26" t="e">
            <v>#DIV/0!</v>
          </cell>
        </row>
        <row r="27">
          <cell r="B27">
            <v>39417</v>
          </cell>
          <cell r="C27">
            <v>39417</v>
          </cell>
          <cell r="D27" t="str">
            <v>TOTAL</v>
          </cell>
          <cell r="E27">
            <v>121.89901738452743</v>
          </cell>
          <cell r="F27" t="str">
            <v>g</v>
          </cell>
          <cell r="G27" t="str">
            <v>c</v>
          </cell>
          <cell r="H27" t="str">
            <v>c</v>
          </cell>
          <cell r="I27">
            <v>60</v>
          </cell>
          <cell r="J27">
            <v>55</v>
          </cell>
          <cell r="K27">
            <v>122.4411859480072</v>
          </cell>
          <cell r="L27" t="str">
            <v>g</v>
          </cell>
          <cell r="M27" t="str">
            <v>c</v>
          </cell>
          <cell r="N27" t="str">
            <v>c</v>
          </cell>
          <cell r="O27">
            <v>60</v>
          </cell>
          <cell r="P27">
            <v>55</v>
          </cell>
          <cell r="Q27"/>
          <cell r="R27">
            <v>39417</v>
          </cell>
          <cell r="S27" t="str">
            <v>TOTAL</v>
          </cell>
          <cell r="T27"/>
          <cell r="U27">
            <v>121.89901738452743</v>
          </cell>
          <cell r="V27">
            <v>0</v>
          </cell>
          <cell r="W27">
            <v>121.89901738452743</v>
          </cell>
          <cell r="X27"/>
          <cell r="Y27">
            <v>121.89901738452743</v>
          </cell>
          <cell r="Z27" t="e">
            <v>#DIV/0!</v>
          </cell>
          <cell r="AA27"/>
          <cell r="AB27"/>
          <cell r="AC27">
            <v>3603569</v>
          </cell>
          <cell r="AD27">
            <v>20000</v>
          </cell>
          <cell r="AE27">
            <v>3603569</v>
          </cell>
          <cell r="AF27">
            <v>-1</v>
          </cell>
          <cell r="AG27">
            <v>3583569</v>
          </cell>
          <cell r="AH27">
            <v>-0.99444994670561326</v>
          </cell>
          <cell r="AI27"/>
          <cell r="AJ27"/>
          <cell r="AK27">
            <v>122.4411859480072</v>
          </cell>
          <cell r="AL27">
            <v>0</v>
          </cell>
          <cell r="AM27">
            <v>122.4411859480072</v>
          </cell>
          <cell r="AN27"/>
          <cell r="AO27">
            <v>122.4411859480072</v>
          </cell>
          <cell r="AP27" t="e">
            <v>#DIV/0!</v>
          </cell>
          <cell r="AQ27">
            <v>0</v>
          </cell>
          <cell r="AR27" t="e">
            <v>#DIV/0!</v>
          </cell>
        </row>
        <row r="28">
          <cell r="B28">
            <v>39448</v>
          </cell>
          <cell r="C28">
            <v>39448</v>
          </cell>
          <cell r="D28" t="str">
            <v>TOTAL</v>
          </cell>
          <cell r="E28">
            <v>132.77077622167519</v>
          </cell>
          <cell r="F28" t="str">
            <v>g</v>
          </cell>
          <cell r="G28" t="str">
            <v>c</v>
          </cell>
          <cell r="H28" t="str">
            <v>c</v>
          </cell>
          <cell r="I28">
            <v>85</v>
          </cell>
          <cell r="J28">
            <v>80</v>
          </cell>
          <cell r="K28">
            <v>132.77077622167519</v>
          </cell>
          <cell r="L28" t="str">
            <v>g</v>
          </cell>
          <cell r="M28" t="str">
            <v>c</v>
          </cell>
          <cell r="N28" t="str">
            <v>c</v>
          </cell>
          <cell r="O28">
            <v>85</v>
          </cell>
          <cell r="P28">
            <v>80</v>
          </cell>
          <cell r="Q28"/>
          <cell r="R28">
            <v>39448</v>
          </cell>
          <cell r="S28" t="str">
            <v>TOTAL</v>
          </cell>
          <cell r="T28">
            <v>143.04275423560355</v>
          </cell>
          <cell r="U28">
            <v>132.77077622167519</v>
          </cell>
          <cell r="V28">
            <v>0</v>
          </cell>
          <cell r="W28">
            <v>-10.271978013928361</v>
          </cell>
          <cell r="X28">
            <v>-7.1810544118925068E-2</v>
          </cell>
          <cell r="Y28">
            <v>132.77077622167519</v>
          </cell>
          <cell r="Z28" t="e">
            <v>#DIV/0!</v>
          </cell>
          <cell r="AA28"/>
          <cell r="AB28">
            <v>4461555</v>
          </cell>
          <cell r="AC28">
            <v>4560400</v>
          </cell>
          <cell r="AD28">
            <v>20000</v>
          </cell>
          <cell r="AE28">
            <v>98845</v>
          </cell>
          <cell r="AF28">
            <v>-2.1674633804052323E-2</v>
          </cell>
          <cell r="AG28">
            <v>4540400</v>
          </cell>
          <cell r="AH28">
            <v>-0.9956144197877379</v>
          </cell>
          <cell r="AI28"/>
          <cell r="AJ28">
            <v>143.04275423560355</v>
          </cell>
          <cell r="AK28">
            <v>132.77077622167519</v>
          </cell>
          <cell r="AL28">
            <v>0</v>
          </cell>
          <cell r="AM28">
            <v>-10.271978013928361</v>
          </cell>
          <cell r="AN28">
            <v>-7.1810544118925068E-2</v>
          </cell>
          <cell r="AO28">
            <v>132.77077622167519</v>
          </cell>
          <cell r="AP28" t="e">
            <v>#DIV/0!</v>
          </cell>
          <cell r="AQ28">
            <v>0</v>
          </cell>
          <cell r="AR28" t="e">
            <v>#DIV/0!</v>
          </cell>
        </row>
        <row r="29">
          <cell r="B29">
            <v>39479</v>
          </cell>
          <cell r="C29">
            <v>39479</v>
          </cell>
          <cell r="D29" t="str">
            <v>TOTAL</v>
          </cell>
          <cell r="E29">
            <v>141.00388634620683</v>
          </cell>
          <cell r="F29" t="str">
            <v>g</v>
          </cell>
          <cell r="G29" t="str">
            <v>c</v>
          </cell>
          <cell r="H29" t="str">
            <v>c</v>
          </cell>
          <cell r="I29">
            <v>85</v>
          </cell>
          <cell r="J29">
            <v>80</v>
          </cell>
          <cell r="K29">
            <v>136.56174600382028</v>
          </cell>
          <cell r="L29" t="str">
            <v>g</v>
          </cell>
          <cell r="M29" t="str">
            <v>c</v>
          </cell>
          <cell r="N29" t="str">
            <v>c</v>
          </cell>
          <cell r="O29">
            <v>85</v>
          </cell>
          <cell r="P29">
            <v>80</v>
          </cell>
          <cell r="Q29"/>
          <cell r="R29">
            <v>39479</v>
          </cell>
          <cell r="S29" t="str">
            <v>TOTAL</v>
          </cell>
          <cell r="T29">
            <v>133.41633832897594</v>
          </cell>
          <cell r="U29">
            <v>141.00388634620683</v>
          </cell>
          <cell r="V29">
            <v>0</v>
          </cell>
          <cell r="W29">
            <v>7.5875480172308869</v>
          </cell>
          <cell r="X29">
            <v>5.6871205672888614E-2</v>
          </cell>
          <cell r="Y29">
            <v>141.00388634620683</v>
          </cell>
          <cell r="Z29" t="e">
            <v>#DIV/0!</v>
          </cell>
          <cell r="AA29"/>
          <cell r="AB29">
            <v>3768115</v>
          </cell>
          <cell r="AC29">
            <v>4133230</v>
          </cell>
          <cell r="AD29">
            <v>0</v>
          </cell>
          <cell r="AE29">
            <v>365115</v>
          </cell>
          <cell r="AF29">
            <v>-8.8336482605613553E-2</v>
          </cell>
          <cell r="AG29">
            <v>4133230</v>
          </cell>
          <cell r="AH29">
            <v>-1</v>
          </cell>
          <cell r="AI29"/>
          <cell r="AJ29">
            <v>138.46821429749212</v>
          </cell>
          <cell r="AK29">
            <v>136.56174600382028</v>
          </cell>
          <cell r="AL29">
            <v>0</v>
          </cell>
          <cell r="AM29">
            <v>-1.9064682936718498</v>
          </cell>
          <cell r="AN29">
            <v>-1.3768273847858614E-2</v>
          </cell>
          <cell r="AO29">
            <v>136.56174600382028</v>
          </cell>
          <cell r="AP29" t="e">
            <v>#DIV/0!</v>
          </cell>
          <cell r="AQ29">
            <v>0</v>
          </cell>
          <cell r="AR29" t="e">
            <v>#DIV/0!</v>
          </cell>
        </row>
        <row r="30">
          <cell r="B30">
            <v>39508</v>
          </cell>
          <cell r="C30">
            <v>39508</v>
          </cell>
          <cell r="D30" t="str">
            <v>TOTAL</v>
          </cell>
          <cell r="E30">
            <v>137.60512095433049</v>
          </cell>
          <cell r="F30" t="str">
            <v>g</v>
          </cell>
          <cell r="G30" t="str">
            <v>c</v>
          </cell>
          <cell r="H30" t="str">
            <v>c</v>
          </cell>
          <cell r="I30">
            <v>85</v>
          </cell>
          <cell r="J30">
            <v>80</v>
          </cell>
          <cell r="K30">
            <v>136.88629741521675</v>
          </cell>
          <cell r="L30" t="str">
            <v>g</v>
          </cell>
          <cell r="M30" t="str">
            <v>c</v>
          </cell>
          <cell r="N30" t="str">
            <v>c</v>
          </cell>
          <cell r="O30">
            <v>85</v>
          </cell>
          <cell r="P30">
            <v>80</v>
          </cell>
          <cell r="Q30"/>
          <cell r="R30">
            <v>39508</v>
          </cell>
          <cell r="S30" t="str">
            <v>TOTAL</v>
          </cell>
          <cell r="T30">
            <v>96.372531734837892</v>
          </cell>
          <cell r="U30">
            <v>137.60512095433049</v>
          </cell>
          <cell r="V30">
            <v>0</v>
          </cell>
          <cell r="W30">
            <v>41.232589219492596</v>
          </cell>
          <cell r="X30">
            <v>0.42784586517806855</v>
          </cell>
          <cell r="Y30">
            <v>137.60512095433049</v>
          </cell>
          <cell r="Z30" t="e">
            <v>#DIV/0!</v>
          </cell>
          <cell r="AA30"/>
          <cell r="AB30">
            <v>3039235</v>
          </cell>
          <cell r="AC30">
            <v>3955195</v>
          </cell>
          <cell r="AD30">
            <v>0</v>
          </cell>
          <cell r="AE30">
            <v>915960</v>
          </cell>
          <cell r="AF30">
            <v>-0.23158403062301602</v>
          </cell>
          <cell r="AG30">
            <v>3955195</v>
          </cell>
          <cell r="AH30">
            <v>-1</v>
          </cell>
          <cell r="AI30"/>
          <cell r="AJ30">
            <v>123.87501324613095</v>
          </cell>
          <cell r="AK30">
            <v>136.88629741521675</v>
          </cell>
          <cell r="AL30">
            <v>0</v>
          </cell>
          <cell r="AM30">
            <v>13.011284169085798</v>
          </cell>
          <cell r="AN30">
            <v>0.10503558246434475</v>
          </cell>
          <cell r="AO30">
            <v>136.88629741521675</v>
          </cell>
          <cell r="AP30" t="e">
            <v>#DIV/0!</v>
          </cell>
          <cell r="AQ30">
            <v>0</v>
          </cell>
          <cell r="AR30" t="e">
            <v>#DIV/0!</v>
          </cell>
        </row>
        <row r="31">
          <cell r="B31">
            <v>39539</v>
          </cell>
          <cell r="C31">
            <v>39539</v>
          </cell>
          <cell r="D31" t="str">
            <v>TOTAL</v>
          </cell>
          <cell r="E31">
            <v>140.88056710266343</v>
          </cell>
          <cell r="F31" t="str">
            <v>g</v>
          </cell>
          <cell r="G31" t="str">
            <v>c</v>
          </cell>
          <cell r="H31" t="str">
            <v>c</v>
          </cell>
          <cell r="I31">
            <v>85</v>
          </cell>
          <cell r="J31">
            <v>80</v>
          </cell>
          <cell r="K31">
            <v>137.99044728706446</v>
          </cell>
          <cell r="L31" t="str">
            <v>g</v>
          </cell>
          <cell r="M31" t="str">
            <v>c</v>
          </cell>
          <cell r="N31" t="str">
            <v>c</v>
          </cell>
          <cell r="O31">
            <v>85</v>
          </cell>
          <cell r="P31">
            <v>80</v>
          </cell>
          <cell r="Q31"/>
          <cell r="R31">
            <v>39539</v>
          </cell>
          <cell r="S31" t="str">
            <v>TOTAL</v>
          </cell>
          <cell r="T31">
            <v>113.0603671839911</v>
          </cell>
          <cell r="U31">
            <v>140.88056710266343</v>
          </cell>
          <cell r="V31">
            <v>0</v>
          </cell>
          <cell r="W31">
            <v>27.82019991867233</v>
          </cell>
          <cell r="X31">
            <v>0.2460650059043108</v>
          </cell>
          <cell r="Y31">
            <v>140.88056710266343</v>
          </cell>
          <cell r="Z31" t="e">
            <v>#DIV/0!</v>
          </cell>
          <cell r="AA31"/>
          <cell r="AB31">
            <v>3252290</v>
          </cell>
          <cell r="AC31">
            <v>4973401</v>
          </cell>
          <cell r="AD31">
            <v>0</v>
          </cell>
          <cell r="AE31">
            <v>1721111</v>
          </cell>
          <cell r="AF31">
            <v>-0.34606318694189353</v>
          </cell>
          <cell r="AG31">
            <v>4973401</v>
          </cell>
          <cell r="AH31">
            <v>-1</v>
          </cell>
          <cell r="AI31"/>
          <cell r="AJ31">
            <v>121.27684825071711</v>
          </cell>
          <cell r="AK31">
            <v>137.99044728706446</v>
          </cell>
          <cell r="AL31">
            <v>0</v>
          </cell>
          <cell r="AM31">
            <v>16.713599036347347</v>
          </cell>
          <cell r="AN31">
            <v>0.1378135998537422</v>
          </cell>
          <cell r="AO31">
            <v>137.99044728706446</v>
          </cell>
          <cell r="AP31" t="e">
            <v>#DIV/0!</v>
          </cell>
          <cell r="AQ31">
            <v>0</v>
          </cell>
          <cell r="AR31" t="e">
            <v>#DIV/0!</v>
          </cell>
        </row>
        <row r="32">
          <cell r="B32">
            <v>39569</v>
          </cell>
          <cell r="C32">
            <v>39569</v>
          </cell>
          <cell r="D32" t="str">
            <v>TOTAL</v>
          </cell>
          <cell r="E32">
            <v>131.72292404205581</v>
          </cell>
          <cell r="F32" t="str">
            <v>g</v>
          </cell>
          <cell r="G32" t="str">
            <v>c</v>
          </cell>
          <cell r="H32" t="str">
            <v>c</v>
          </cell>
          <cell r="I32">
            <v>85</v>
          </cell>
          <cell r="J32">
            <v>80</v>
          </cell>
          <cell r="K32">
            <v>136.85914661180169</v>
          </cell>
          <cell r="L32" t="str">
            <v>g</v>
          </cell>
          <cell r="M32" t="str">
            <v>c</v>
          </cell>
          <cell r="N32" t="str">
            <v>c</v>
          </cell>
          <cell r="O32">
            <v>85</v>
          </cell>
          <cell r="P32">
            <v>80</v>
          </cell>
          <cell r="Q32"/>
          <cell r="R32">
            <v>39569</v>
          </cell>
          <cell r="S32" t="str">
            <v>TOTAL</v>
          </cell>
          <cell r="T32">
            <v>103.86577131515403</v>
          </cell>
          <cell r="U32">
            <v>131.72292404205581</v>
          </cell>
          <cell r="V32">
            <v>0</v>
          </cell>
          <cell r="W32">
            <v>27.857152726901774</v>
          </cell>
          <cell r="X32">
            <v>0.26820339727104514</v>
          </cell>
          <cell r="Y32">
            <v>131.72292404205581</v>
          </cell>
          <cell r="Z32" t="e">
            <v>#DIV/0!</v>
          </cell>
          <cell r="AA32"/>
          <cell r="AB32">
            <v>3478930</v>
          </cell>
          <cell r="AC32">
            <v>3705163</v>
          </cell>
          <cell r="AD32">
            <v>0</v>
          </cell>
          <cell r="AE32">
            <v>226233</v>
          </cell>
          <cell r="AF32">
            <v>-6.1058852201643976E-2</v>
          </cell>
          <cell r="AG32">
            <v>3705163</v>
          </cell>
          <cell r="AH32">
            <v>-1</v>
          </cell>
          <cell r="AI32"/>
          <cell r="AJ32">
            <v>117.47097834372295</v>
          </cell>
          <cell r="AK32">
            <v>136.85914661180169</v>
          </cell>
          <cell r="AL32">
            <v>0</v>
          </cell>
          <cell r="AM32">
            <v>19.388168268078743</v>
          </cell>
          <cell r="AN32">
            <v>0.16504645267657936</v>
          </cell>
          <cell r="AO32">
            <v>136.85914661180169</v>
          </cell>
          <cell r="AP32" t="e">
            <v>#DIV/0!</v>
          </cell>
          <cell r="AQ32">
            <v>0</v>
          </cell>
          <cell r="AR32" t="e">
            <v>#DIV/0!</v>
          </cell>
        </row>
        <row r="33">
          <cell r="B33">
            <v>39600</v>
          </cell>
          <cell r="C33">
            <v>39600</v>
          </cell>
          <cell r="D33" t="str">
            <v>TOTAL</v>
          </cell>
          <cell r="E33">
            <v>125.94146553101508</v>
          </cell>
          <cell r="F33" t="str">
            <v>g</v>
          </cell>
          <cell r="G33" t="str">
            <v>c</v>
          </cell>
          <cell r="H33" t="str">
            <v>c</v>
          </cell>
          <cell r="I33">
            <v>85</v>
          </cell>
          <cell r="J33">
            <v>80</v>
          </cell>
          <cell r="K33">
            <v>135.05773809909735</v>
          </cell>
          <cell r="L33" t="str">
            <v>g</v>
          </cell>
          <cell r="M33" t="str">
            <v>c</v>
          </cell>
          <cell r="N33" t="str">
            <v>c</v>
          </cell>
          <cell r="O33">
            <v>85</v>
          </cell>
          <cell r="P33">
            <v>80</v>
          </cell>
          <cell r="Q33"/>
          <cell r="R33">
            <v>39600</v>
          </cell>
          <cell r="S33" t="str">
            <v>TOTAL</v>
          </cell>
          <cell r="T33">
            <v>112.78815962584054</v>
          </cell>
          <cell r="U33">
            <v>125.94146553101508</v>
          </cell>
          <cell r="V33">
            <v>0</v>
          </cell>
          <cell r="W33">
            <v>13.153305905174548</v>
          </cell>
          <cell r="X33">
            <v>0.11661956315989963</v>
          </cell>
          <cell r="Y33">
            <v>125.94146553101508</v>
          </cell>
          <cell r="Z33" t="e">
            <v>#DIV/0!</v>
          </cell>
          <cell r="AA33"/>
          <cell r="AB33">
            <v>3605754</v>
          </cell>
          <cell r="AC33">
            <v>3878176</v>
          </cell>
          <cell r="AD33">
            <v>0</v>
          </cell>
          <cell r="AE33">
            <v>272422</v>
          </cell>
          <cell r="AF33">
            <v>-7.0244878004505185E-2</v>
          </cell>
          <cell r="AG33">
            <v>3878176</v>
          </cell>
          <cell r="AH33">
            <v>-1</v>
          </cell>
          <cell r="AI33"/>
          <cell r="AJ33">
            <v>116.66262778236204</v>
          </cell>
          <cell r="AK33">
            <v>135.05773809909735</v>
          </cell>
          <cell r="AL33">
            <v>0</v>
          </cell>
          <cell r="AM33">
            <v>18.395110316735312</v>
          </cell>
          <cell r="AN33">
            <v>0.15767783279365166</v>
          </cell>
          <cell r="AO33">
            <v>135.05773809909735</v>
          </cell>
          <cell r="AP33" t="e">
            <v>#DIV/0!</v>
          </cell>
          <cell r="AQ33">
            <v>0</v>
          </cell>
          <cell r="AR33" t="e">
            <v>#DIV/0!</v>
          </cell>
        </row>
        <row r="34">
          <cell r="B34">
            <v>39630</v>
          </cell>
          <cell r="C34">
            <v>39630</v>
          </cell>
          <cell r="D34" t="str">
            <v>TOTAL</v>
          </cell>
          <cell r="E34">
            <v>148.3178577033292</v>
          </cell>
          <cell r="F34" t="str">
            <v>g</v>
          </cell>
          <cell r="G34" t="str">
            <v>c</v>
          </cell>
          <cell r="H34" t="str">
            <v>c</v>
          </cell>
          <cell r="I34">
            <v>85</v>
          </cell>
          <cell r="J34">
            <v>80</v>
          </cell>
          <cell r="K34">
            <v>136.91153971824158</v>
          </cell>
          <cell r="L34" t="str">
            <v>g</v>
          </cell>
          <cell r="M34" t="str">
            <v>c</v>
          </cell>
          <cell r="N34" t="str">
            <v>c</v>
          </cell>
          <cell r="O34">
            <v>85</v>
          </cell>
          <cell r="P34">
            <v>80</v>
          </cell>
          <cell r="Q34"/>
          <cell r="R34">
            <v>39630</v>
          </cell>
          <cell r="S34" t="str">
            <v>TOTAL</v>
          </cell>
          <cell r="T34">
            <v>130.95342189152802</v>
          </cell>
          <cell r="U34">
            <v>148.3178577033292</v>
          </cell>
          <cell r="V34">
            <v>0</v>
          </cell>
          <cell r="W34">
            <v>17.364435811801172</v>
          </cell>
          <cell r="X34">
            <v>0.13260009216242219</v>
          </cell>
          <cell r="Y34">
            <v>148.3178577033292</v>
          </cell>
          <cell r="Z34" t="e">
            <v>#DIV/0!</v>
          </cell>
          <cell r="AA34"/>
          <cell r="AB34">
            <v>4726604</v>
          </cell>
          <cell r="AC34">
            <v>4498712</v>
          </cell>
          <cell r="AD34">
            <v>0</v>
          </cell>
          <cell r="AE34">
            <v>-227892</v>
          </cell>
          <cell r="AF34">
            <v>5.0657165873254417E-2</v>
          </cell>
          <cell r="AG34">
            <v>4498712</v>
          </cell>
          <cell r="AH34">
            <v>-1</v>
          </cell>
          <cell r="AI34"/>
          <cell r="AJ34">
            <v>118.99350925178803</v>
          </cell>
          <cell r="AK34">
            <v>136.91153971824158</v>
          </cell>
          <cell r="AL34">
            <v>0</v>
          </cell>
          <cell r="AM34">
            <v>17.918030466453558</v>
          </cell>
          <cell r="AN34">
            <v>0.15057989783744707</v>
          </cell>
          <cell r="AO34">
            <v>136.91153971824158</v>
          </cell>
          <cell r="AP34" t="e">
            <v>#DIV/0!</v>
          </cell>
          <cell r="AQ34">
            <v>0</v>
          </cell>
          <cell r="AR34" t="e">
            <v>#DIV/0!</v>
          </cell>
        </row>
        <row r="35">
          <cell r="B35">
            <v>39661</v>
          </cell>
          <cell r="C35">
            <v>39661</v>
          </cell>
          <cell r="D35" t="str">
            <v>TOTAL</v>
          </cell>
          <cell r="E35">
            <v>134.33886584502261</v>
          </cell>
          <cell r="F35" t="str">
            <v>g</v>
          </cell>
          <cell r="G35" t="str">
            <v>c</v>
          </cell>
          <cell r="H35" t="str">
            <v>c</v>
          </cell>
          <cell r="I35">
            <v>85</v>
          </cell>
          <cell r="J35">
            <v>80</v>
          </cell>
          <cell r="K35">
            <v>136.56647883801796</v>
          </cell>
          <cell r="L35" t="str">
            <v>g</v>
          </cell>
          <cell r="M35" t="str">
            <v>c</v>
          </cell>
          <cell r="N35" t="str">
            <v>c</v>
          </cell>
          <cell r="O35">
            <v>85</v>
          </cell>
          <cell r="P35">
            <v>80</v>
          </cell>
          <cell r="Q35"/>
          <cell r="R35">
            <v>39661</v>
          </cell>
          <cell r="S35" t="str">
            <v>TOTAL</v>
          </cell>
          <cell r="T35">
            <v>127.51504778977124</v>
          </cell>
          <cell r="U35">
            <v>134.33886584502261</v>
          </cell>
          <cell r="V35">
            <v>0</v>
          </cell>
          <cell r="W35">
            <v>6.8238180552513654</v>
          </cell>
          <cell r="X35">
            <v>5.3513825807457005E-2</v>
          </cell>
          <cell r="Y35">
            <v>134.33886584502261</v>
          </cell>
          <cell r="Z35" t="e">
            <v>#DIV/0!</v>
          </cell>
          <cell r="AA35"/>
          <cell r="AB35">
            <v>4620875</v>
          </cell>
          <cell r="AC35">
            <v>4514780</v>
          </cell>
          <cell r="AD35">
            <v>0</v>
          </cell>
          <cell r="AE35">
            <v>-106095</v>
          </cell>
          <cell r="AF35">
            <v>2.3499483917267305E-2</v>
          </cell>
          <cell r="AG35">
            <v>4514780</v>
          </cell>
          <cell r="AH35">
            <v>-1</v>
          </cell>
          <cell r="AI35"/>
          <cell r="AJ35">
            <v>120.19259638012183</v>
          </cell>
          <cell r="AK35">
            <v>136.56647883801796</v>
          </cell>
          <cell r="AL35">
            <v>0</v>
          </cell>
          <cell r="AM35">
            <v>16.37388245789613</v>
          </cell>
          <cell r="AN35">
            <v>0.13623037484032707</v>
          </cell>
          <cell r="AO35">
            <v>136.56647883801796</v>
          </cell>
          <cell r="AP35" t="e">
            <v>#DIV/0!</v>
          </cell>
          <cell r="AQ35">
            <v>0</v>
          </cell>
          <cell r="AR35" t="e">
            <v>#DIV/0!</v>
          </cell>
        </row>
        <row r="36">
          <cell r="B36">
            <v>39692</v>
          </cell>
          <cell r="C36">
            <v>39692</v>
          </cell>
          <cell r="D36" t="str">
            <v>TOTAL</v>
          </cell>
          <cell r="E36">
            <v>125.82825810983547</v>
          </cell>
          <cell r="F36" t="str">
            <v>g</v>
          </cell>
          <cell r="G36" t="str">
            <v>c</v>
          </cell>
          <cell r="H36" t="str">
            <v>c</v>
          </cell>
          <cell r="I36">
            <v>85</v>
          </cell>
          <cell r="J36">
            <v>80</v>
          </cell>
          <cell r="K36">
            <v>135.25535194987441</v>
          </cell>
          <cell r="L36" t="str">
            <v>g</v>
          </cell>
          <cell r="M36" t="str">
            <v>c</v>
          </cell>
          <cell r="N36" t="str">
            <v>c</v>
          </cell>
          <cell r="O36">
            <v>85</v>
          </cell>
          <cell r="P36">
            <v>80</v>
          </cell>
          <cell r="Q36"/>
          <cell r="R36">
            <v>39692</v>
          </cell>
          <cell r="S36" t="str">
            <v>TOTAL</v>
          </cell>
          <cell r="T36">
            <v>130.18444220227062</v>
          </cell>
          <cell r="U36">
            <v>125.82825810983547</v>
          </cell>
          <cell r="V36">
            <v>0</v>
          </cell>
          <cell r="W36">
            <v>-4.3561840924351429</v>
          </cell>
          <cell r="X36">
            <v>-3.3461633500467269E-2</v>
          </cell>
          <cell r="Y36">
            <v>125.82825810983547</v>
          </cell>
          <cell r="Z36" t="e">
            <v>#DIV/0!</v>
          </cell>
          <cell r="AA36"/>
          <cell r="AB36">
            <v>4265600</v>
          </cell>
          <cell r="AC36">
            <v>4384994</v>
          </cell>
          <cell r="AD36">
            <v>0</v>
          </cell>
          <cell r="AE36">
            <v>119394</v>
          </cell>
          <cell r="AF36">
            <v>-2.7227859376774521E-2</v>
          </cell>
          <cell r="AG36">
            <v>4384994</v>
          </cell>
          <cell r="AH36">
            <v>-1</v>
          </cell>
          <cell r="AI36"/>
          <cell r="AJ36">
            <v>121.32037539191739</v>
          </cell>
          <cell r="AK36">
            <v>135.25535194987441</v>
          </cell>
          <cell r="AL36">
            <v>0</v>
          </cell>
          <cell r="AM36">
            <v>13.934976557957015</v>
          </cell>
          <cell r="AN36">
            <v>0.1148609746132172</v>
          </cell>
          <cell r="AO36">
            <v>135.25535194987441</v>
          </cell>
          <cell r="AP36" t="e">
            <v>#DIV/0!</v>
          </cell>
          <cell r="AQ36">
            <v>0</v>
          </cell>
          <cell r="AR36" t="e">
            <v>#DIV/0!</v>
          </cell>
        </row>
        <row r="37">
          <cell r="B37">
            <v>39722</v>
          </cell>
          <cell r="C37">
            <v>39722</v>
          </cell>
          <cell r="D37" t="str">
            <v>TOTAL</v>
          </cell>
          <cell r="E37">
            <v>140.5506122500822</v>
          </cell>
          <cell r="F37" t="str">
            <v>g</v>
          </cell>
          <cell r="G37" t="str">
            <v>c</v>
          </cell>
          <cell r="H37" t="str">
            <v>c</v>
          </cell>
          <cell r="I37">
            <v>85</v>
          </cell>
          <cell r="J37">
            <v>80</v>
          </cell>
          <cell r="K37">
            <v>135.87446401976698</v>
          </cell>
          <cell r="L37" t="str">
            <v>g</v>
          </cell>
          <cell r="M37" t="str">
            <v>c</v>
          </cell>
          <cell r="N37" t="str">
            <v>c</v>
          </cell>
          <cell r="O37">
            <v>85</v>
          </cell>
          <cell r="P37">
            <v>80</v>
          </cell>
          <cell r="Q37"/>
          <cell r="R37">
            <v>39722</v>
          </cell>
          <cell r="S37" t="str">
            <v>TOTAL</v>
          </cell>
          <cell r="T37">
            <v>123.39461629982154</v>
          </cell>
          <cell r="U37">
            <v>140.5506122500822</v>
          </cell>
          <cell r="V37">
            <v>0</v>
          </cell>
          <cell r="W37">
            <v>17.15599595026066</v>
          </cell>
          <cell r="X37">
            <v>0.13903358561912782</v>
          </cell>
          <cell r="Y37">
            <v>140.5506122500822</v>
          </cell>
          <cell r="Z37" t="e">
            <v>#DIV/0!</v>
          </cell>
          <cell r="AA37"/>
          <cell r="AB37">
            <v>4148527</v>
          </cell>
          <cell r="AC37">
            <v>5311194</v>
          </cell>
          <cell r="AD37">
            <v>0</v>
          </cell>
          <cell r="AE37">
            <v>1162667</v>
          </cell>
          <cell r="AF37">
            <v>-0.21890878021025029</v>
          </cell>
          <cell r="AG37">
            <v>5311194</v>
          </cell>
          <cell r="AH37">
            <v>-1</v>
          </cell>
          <cell r="AI37"/>
          <cell r="AJ37">
            <v>121.53566495431517</v>
          </cell>
          <cell r="AK37">
            <v>135.87446401976698</v>
          </cell>
          <cell r="AL37">
            <v>0</v>
          </cell>
          <cell r="AM37">
            <v>14.338799065451809</v>
          </cell>
          <cell r="AN37">
            <v>0.11798017537355565</v>
          </cell>
          <cell r="AO37">
            <v>135.87446401976698</v>
          </cell>
          <cell r="AP37" t="e">
            <v>#DIV/0!</v>
          </cell>
          <cell r="AQ37">
            <v>0</v>
          </cell>
          <cell r="AR37" t="e">
            <v>#DIV/0!</v>
          </cell>
        </row>
        <row r="38">
          <cell r="B38">
            <v>39753</v>
          </cell>
          <cell r="C38">
            <v>39753</v>
          </cell>
          <cell r="D38" t="str">
            <v>TOTAL</v>
          </cell>
          <cell r="E38">
            <v>137.14276403118052</v>
          </cell>
          <cell r="F38" t="str">
            <v>g</v>
          </cell>
          <cell r="G38" t="str">
            <v>c</v>
          </cell>
          <cell r="H38" t="str">
            <v>c</v>
          </cell>
          <cell r="I38">
            <v>85</v>
          </cell>
          <cell r="J38">
            <v>80</v>
          </cell>
          <cell r="K38">
            <v>135.97736247998571</v>
          </cell>
          <cell r="L38" t="str">
            <v>g</v>
          </cell>
          <cell r="M38" t="str">
            <v>c</v>
          </cell>
          <cell r="N38" t="str">
            <v>c</v>
          </cell>
          <cell r="O38">
            <v>85</v>
          </cell>
          <cell r="P38">
            <v>80</v>
          </cell>
          <cell r="Q38"/>
          <cell r="R38">
            <v>39753</v>
          </cell>
          <cell r="S38" t="str">
            <v>TOTAL</v>
          </cell>
          <cell r="T38">
            <v>130.91904981676188</v>
          </cell>
          <cell r="U38">
            <v>137.14276403118052</v>
          </cell>
          <cell r="V38">
            <v>0</v>
          </cell>
          <cell r="W38">
            <v>6.223714214418635</v>
          </cell>
          <cell r="X38">
            <v>4.7538644858250434E-2</v>
          </cell>
          <cell r="Y38">
            <v>137.14276403118052</v>
          </cell>
          <cell r="Z38" t="e">
            <v>#DIV/0!</v>
          </cell>
          <cell r="AA38"/>
          <cell r="AB38">
            <v>4776990</v>
          </cell>
          <cell r="AC38">
            <v>3913665</v>
          </cell>
          <cell r="AD38">
            <v>0</v>
          </cell>
          <cell r="AE38">
            <v>-863325</v>
          </cell>
          <cell r="AF38">
            <v>0.22059246256386267</v>
          </cell>
          <cell r="AG38">
            <v>3913665</v>
          </cell>
          <cell r="AH38">
            <v>-1</v>
          </cell>
          <cell r="AI38"/>
          <cell r="AJ38">
            <v>122.48565684085739</v>
          </cell>
          <cell r="AK38">
            <v>135.97736247998571</v>
          </cell>
          <cell r="AL38">
            <v>0</v>
          </cell>
          <cell r="AM38">
            <v>13.491705639128327</v>
          </cell>
          <cell r="AN38">
            <v>0.11014926961332105</v>
          </cell>
          <cell r="AO38">
            <v>135.97736247998571</v>
          </cell>
          <cell r="AP38" t="e">
            <v>#DIV/0!</v>
          </cell>
          <cell r="AQ38">
            <v>0</v>
          </cell>
          <cell r="AR38" t="e">
            <v>#DIV/0!</v>
          </cell>
        </row>
        <row r="39">
          <cell r="B39">
            <v>39783</v>
          </cell>
          <cell r="C39">
            <v>39783</v>
          </cell>
          <cell r="D39" t="str">
            <v>TOTAL</v>
          </cell>
          <cell r="E39">
            <v>174.21025987798771</v>
          </cell>
          <cell r="F39" t="str">
            <v>g</v>
          </cell>
          <cell r="G39" t="str">
            <v>c</v>
          </cell>
          <cell r="H39" t="str">
            <v>c</v>
          </cell>
          <cell r="I39">
            <v>85</v>
          </cell>
          <cell r="J39">
            <v>80</v>
          </cell>
          <cell r="K39">
            <v>138.19419796151436</v>
          </cell>
          <cell r="L39" t="str">
            <v>g</v>
          </cell>
          <cell r="M39" t="str">
            <v>c</v>
          </cell>
          <cell r="N39" t="str">
            <v>c</v>
          </cell>
          <cell r="O39">
            <v>85</v>
          </cell>
          <cell r="P39">
            <v>80</v>
          </cell>
          <cell r="Q39"/>
          <cell r="R39">
            <v>39783</v>
          </cell>
          <cell r="S39" t="str">
            <v>TOTAL</v>
          </cell>
          <cell r="T39">
            <v>121.89901738452743</v>
          </cell>
          <cell r="U39">
            <v>174.21025987798771</v>
          </cell>
          <cell r="V39">
            <v>0</v>
          </cell>
          <cell r="W39">
            <v>52.311242493460284</v>
          </cell>
          <cell r="X39">
            <v>0.42913588325692387</v>
          </cell>
          <cell r="Y39">
            <v>174.21025987798771</v>
          </cell>
          <cell r="Z39" t="e">
            <v>#DIV/0!</v>
          </cell>
          <cell r="AA39"/>
          <cell r="AB39">
            <v>3603569</v>
          </cell>
          <cell r="AC39">
            <v>3771680</v>
          </cell>
          <cell r="AD39">
            <v>0</v>
          </cell>
          <cell r="AE39">
            <v>168111</v>
          </cell>
          <cell r="AF39">
            <v>-4.4571914902642895E-2</v>
          </cell>
          <cell r="AG39">
            <v>3771680</v>
          </cell>
          <cell r="AH39">
            <v>-1</v>
          </cell>
          <cell r="AI39"/>
          <cell r="AJ39">
            <v>122.4411859480072</v>
          </cell>
          <cell r="AK39">
            <v>138.19419796151436</v>
          </cell>
          <cell r="AL39">
            <v>0</v>
          </cell>
          <cell r="AM39">
            <v>15.75301201350716</v>
          </cell>
          <cell r="AN39">
            <v>0.12865778693287444</v>
          </cell>
          <cell r="AO39">
            <v>138.19419796151436</v>
          </cell>
          <cell r="AP39" t="e">
            <v>#DIV/0!</v>
          </cell>
          <cell r="AQ39">
            <v>0</v>
          </cell>
          <cell r="AR39" t="e">
            <v>#DIV/0!</v>
          </cell>
        </row>
        <row r="40">
          <cell r="B40">
            <v>39814</v>
          </cell>
          <cell r="C40"/>
          <cell r="D40" t="str">
            <v>TOTAL</v>
          </cell>
          <cell r="E40" t="str">
            <v/>
          </cell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  <cell r="L40" t="str">
            <v/>
          </cell>
          <cell r="M40" t="str">
            <v/>
          </cell>
          <cell r="N40" t="str">
            <v/>
          </cell>
          <cell r="O40" t="str">
            <v/>
          </cell>
          <cell r="P40" t="str">
            <v/>
          </cell>
          <cell r="Q40"/>
          <cell r="R40">
            <v>39814</v>
          </cell>
          <cell r="S40" t="str">
            <v>TOTAL</v>
          </cell>
          <cell r="T40">
            <v>132.77077622167519</v>
          </cell>
          <cell r="U40" t="str">
            <v/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 t="str">
            <v/>
          </cell>
          <cell r="AA40"/>
          <cell r="AB40">
            <v>4560400</v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/>
          <cell r="AJ40">
            <v>132.77077622167519</v>
          </cell>
          <cell r="AK40" t="str">
            <v/>
          </cell>
          <cell r="AL40" t="str">
            <v/>
          </cell>
          <cell r="AM40" t="str">
            <v/>
          </cell>
          <cell r="AN40" t="str">
            <v/>
          </cell>
          <cell r="AO40" t="str">
            <v/>
          </cell>
          <cell r="AP40" t="str">
            <v/>
          </cell>
          <cell r="AQ40">
            <v>0</v>
          </cell>
          <cell r="AR40" t="str">
            <v/>
          </cell>
        </row>
        <row r="41">
          <cell r="B41">
            <v>39845</v>
          </cell>
          <cell r="C41"/>
          <cell r="D41" t="str">
            <v>TOTAL</v>
          </cell>
          <cell r="E41" t="str">
            <v/>
          </cell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  <cell r="J41" t="str">
            <v/>
          </cell>
          <cell r="K41" t="str">
            <v/>
          </cell>
          <cell r="L41" t="str">
            <v/>
          </cell>
          <cell r="M41" t="str">
            <v/>
          </cell>
          <cell r="N41" t="str">
            <v/>
          </cell>
          <cell r="O41"/>
          <cell r="P41"/>
          <cell r="Q41"/>
          <cell r="R41">
            <v>39845</v>
          </cell>
          <cell r="S41" t="str">
            <v>TOTAL</v>
          </cell>
          <cell r="T41">
            <v>141.00388634620683</v>
          </cell>
          <cell r="U41" t="str">
            <v/>
          </cell>
          <cell r="V41" t="str">
            <v/>
          </cell>
          <cell r="W41" t="str">
            <v/>
          </cell>
          <cell r="X41" t="str">
            <v/>
          </cell>
          <cell r="Y41" t="str">
            <v/>
          </cell>
          <cell r="Z41" t="str">
            <v/>
          </cell>
          <cell r="AA41"/>
          <cell r="AB41">
            <v>4133230</v>
          </cell>
          <cell r="AC41" t="str">
            <v/>
          </cell>
          <cell r="AD41" t="str">
            <v/>
          </cell>
          <cell r="AE41" t="str">
            <v/>
          </cell>
          <cell r="AF41" t="str">
            <v/>
          </cell>
          <cell r="AG41" t="str">
            <v/>
          </cell>
          <cell r="AH41" t="str">
            <v/>
          </cell>
          <cell r="AI41"/>
          <cell r="AJ41">
            <v>136.56174600382028</v>
          </cell>
          <cell r="AK41" t="str">
            <v/>
          </cell>
          <cell r="AL41" t="str">
            <v/>
          </cell>
          <cell r="AM41" t="str">
            <v/>
          </cell>
          <cell r="AN41" t="str">
            <v/>
          </cell>
          <cell r="AO41" t="str">
            <v/>
          </cell>
          <cell r="AP41" t="str">
            <v/>
          </cell>
          <cell r="AQ41">
            <v>0</v>
          </cell>
          <cell r="AR41"/>
        </row>
        <row r="42">
          <cell r="B42">
            <v>39873</v>
          </cell>
          <cell r="C42"/>
          <cell r="D42" t="str">
            <v>TOTAL</v>
          </cell>
          <cell r="E42" t="str">
            <v/>
          </cell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  <cell r="J42" t="str">
            <v/>
          </cell>
          <cell r="K42" t="str">
            <v/>
          </cell>
          <cell r="L42" t="str">
            <v/>
          </cell>
          <cell r="M42" t="str">
            <v/>
          </cell>
          <cell r="N42" t="str">
            <v/>
          </cell>
          <cell r="O42"/>
          <cell r="P42"/>
          <cell r="Q42"/>
          <cell r="R42">
            <v>39873</v>
          </cell>
          <cell r="S42" t="str">
            <v>TOTAL</v>
          </cell>
          <cell r="T42">
            <v>137.60512095433049</v>
          </cell>
          <cell r="U42" t="str">
            <v/>
          </cell>
          <cell r="V42" t="str">
            <v/>
          </cell>
          <cell r="W42" t="str">
            <v/>
          </cell>
          <cell r="X42" t="str">
            <v/>
          </cell>
          <cell r="Y42" t="str">
            <v/>
          </cell>
          <cell r="Z42" t="str">
            <v/>
          </cell>
          <cell r="AA42"/>
          <cell r="AB42">
            <v>3955195</v>
          </cell>
          <cell r="AC42" t="str">
            <v/>
          </cell>
          <cell r="AD42" t="str">
            <v/>
          </cell>
          <cell r="AE42" t="str">
            <v/>
          </cell>
          <cell r="AF42" t="str">
            <v/>
          </cell>
          <cell r="AG42" t="str">
            <v/>
          </cell>
          <cell r="AH42" t="str">
            <v/>
          </cell>
          <cell r="AI42"/>
          <cell r="AJ42">
            <v>136.88629741521675</v>
          </cell>
          <cell r="AK42" t="str">
            <v/>
          </cell>
          <cell r="AL42" t="str">
            <v/>
          </cell>
          <cell r="AM42" t="str">
            <v/>
          </cell>
          <cell r="AN42" t="str">
            <v/>
          </cell>
          <cell r="AO42" t="str">
            <v/>
          </cell>
          <cell r="AP42" t="str">
            <v/>
          </cell>
          <cell r="AQ42">
            <v>0</v>
          </cell>
          <cell r="AR42"/>
        </row>
        <row r="43">
          <cell r="B43">
            <v>39904</v>
          </cell>
          <cell r="C43"/>
          <cell r="D43" t="str">
            <v>TOTAL</v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 t="str">
            <v/>
          </cell>
          <cell r="L43" t="str">
            <v/>
          </cell>
          <cell r="M43" t="str">
            <v/>
          </cell>
          <cell r="N43" t="str">
            <v/>
          </cell>
          <cell r="O43"/>
          <cell r="P43"/>
          <cell r="Q43"/>
          <cell r="R43">
            <v>39904</v>
          </cell>
          <cell r="S43" t="str">
            <v>TOTAL</v>
          </cell>
          <cell r="T43">
            <v>140.88056710266343</v>
          </cell>
          <cell r="U43" t="str">
            <v/>
          </cell>
          <cell r="V43" t="str">
            <v/>
          </cell>
          <cell r="W43" t="str">
            <v/>
          </cell>
          <cell r="X43" t="str">
            <v/>
          </cell>
          <cell r="Y43" t="str">
            <v/>
          </cell>
          <cell r="Z43" t="str">
            <v/>
          </cell>
          <cell r="AA43"/>
          <cell r="AB43">
            <v>4973401</v>
          </cell>
          <cell r="AC43" t="str">
            <v/>
          </cell>
          <cell r="AD43" t="str">
            <v/>
          </cell>
          <cell r="AE43" t="str">
            <v/>
          </cell>
          <cell r="AF43" t="str">
            <v/>
          </cell>
          <cell r="AG43" t="str">
            <v/>
          </cell>
          <cell r="AH43" t="str">
            <v/>
          </cell>
          <cell r="AI43"/>
          <cell r="AJ43">
            <v>137.99044728706446</v>
          </cell>
          <cell r="AK43" t="str">
            <v/>
          </cell>
          <cell r="AL43" t="str">
            <v/>
          </cell>
          <cell r="AM43" t="str">
            <v/>
          </cell>
          <cell r="AN43" t="str">
            <v/>
          </cell>
          <cell r="AO43" t="str">
            <v/>
          </cell>
          <cell r="AP43" t="str">
            <v/>
          </cell>
          <cell r="AQ43">
            <v>0</v>
          </cell>
          <cell r="AR43"/>
        </row>
        <row r="44">
          <cell r="B44">
            <v>39934</v>
          </cell>
          <cell r="C44"/>
          <cell r="D44" t="str">
            <v>TOTAL</v>
          </cell>
          <cell r="E44" t="str">
            <v/>
          </cell>
          <cell r="F44" t="str">
            <v/>
          </cell>
          <cell r="G44" t="str">
            <v/>
          </cell>
          <cell r="H44" t="str">
            <v/>
          </cell>
          <cell r="I44" t="str">
            <v/>
          </cell>
          <cell r="J44" t="str">
            <v/>
          </cell>
          <cell r="K44" t="str">
            <v/>
          </cell>
          <cell r="L44" t="str">
            <v/>
          </cell>
          <cell r="M44" t="str">
            <v/>
          </cell>
          <cell r="N44" t="str">
            <v/>
          </cell>
          <cell r="O44"/>
          <cell r="P44"/>
          <cell r="Q44"/>
          <cell r="R44">
            <v>39934</v>
          </cell>
          <cell r="S44" t="str">
            <v>TOTAL</v>
          </cell>
          <cell r="T44">
            <v>131.72292404205581</v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  <cell r="AA44"/>
          <cell r="AB44">
            <v>3705163</v>
          </cell>
          <cell r="AC44" t="str">
            <v/>
          </cell>
          <cell r="AD44" t="str">
            <v/>
          </cell>
          <cell r="AE44" t="str">
            <v/>
          </cell>
          <cell r="AF44" t="str">
            <v/>
          </cell>
          <cell r="AG44" t="str">
            <v/>
          </cell>
          <cell r="AH44" t="str">
            <v/>
          </cell>
          <cell r="AI44"/>
          <cell r="AJ44">
            <v>136.85914661180169</v>
          </cell>
          <cell r="AK44" t="str">
            <v/>
          </cell>
          <cell r="AL44" t="str">
            <v/>
          </cell>
          <cell r="AM44" t="str">
            <v/>
          </cell>
          <cell r="AN44" t="str">
            <v/>
          </cell>
          <cell r="AO44" t="str">
            <v/>
          </cell>
          <cell r="AP44" t="str">
            <v/>
          </cell>
          <cell r="AQ44">
            <v>0</v>
          </cell>
          <cell r="AR44"/>
        </row>
        <row r="45">
          <cell r="B45">
            <v>39965</v>
          </cell>
          <cell r="C45"/>
          <cell r="D45" t="str">
            <v>TOTAL</v>
          </cell>
          <cell r="E45" t="str">
            <v/>
          </cell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  <cell r="M45" t="str">
            <v/>
          </cell>
          <cell r="N45" t="str">
            <v/>
          </cell>
          <cell r="O45"/>
          <cell r="P45"/>
          <cell r="Q45"/>
          <cell r="R45">
            <v>39965</v>
          </cell>
          <cell r="S45" t="str">
            <v>TOTAL</v>
          </cell>
          <cell r="T45">
            <v>125.94146553101508</v>
          </cell>
          <cell r="U45" t="str">
            <v/>
          </cell>
          <cell r="V45" t="str">
            <v/>
          </cell>
          <cell r="W45" t="str">
            <v/>
          </cell>
          <cell r="X45" t="str">
            <v/>
          </cell>
          <cell r="Y45" t="str">
            <v/>
          </cell>
          <cell r="Z45" t="str">
            <v/>
          </cell>
          <cell r="AA45"/>
          <cell r="AB45">
            <v>3878176</v>
          </cell>
          <cell r="AC45" t="str">
            <v/>
          </cell>
          <cell r="AD45" t="str">
            <v/>
          </cell>
          <cell r="AE45" t="str">
            <v/>
          </cell>
          <cell r="AF45" t="str">
            <v/>
          </cell>
          <cell r="AG45" t="str">
            <v/>
          </cell>
          <cell r="AH45" t="str">
            <v/>
          </cell>
          <cell r="AI45"/>
          <cell r="AJ45">
            <v>135.05773809909735</v>
          </cell>
          <cell r="AK45" t="str">
            <v/>
          </cell>
          <cell r="AL45" t="str">
            <v/>
          </cell>
          <cell r="AM45" t="str">
            <v/>
          </cell>
          <cell r="AN45" t="str">
            <v/>
          </cell>
          <cell r="AO45" t="str">
            <v/>
          </cell>
          <cell r="AP45" t="str">
            <v/>
          </cell>
          <cell r="AQ45">
            <v>0</v>
          </cell>
          <cell r="AR45"/>
        </row>
        <row r="46">
          <cell r="B46">
            <v>39995</v>
          </cell>
          <cell r="C46"/>
          <cell r="D46" t="str">
            <v>TOTAL</v>
          </cell>
          <cell r="E46" t="str">
            <v/>
          </cell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  <cell r="M46" t="str">
            <v/>
          </cell>
          <cell r="N46" t="str">
            <v/>
          </cell>
          <cell r="O46"/>
          <cell r="P46"/>
          <cell r="Q46"/>
          <cell r="R46">
            <v>39995</v>
          </cell>
          <cell r="S46" t="str">
            <v>TOTAL</v>
          </cell>
          <cell r="T46">
            <v>148.3178577033292</v>
          </cell>
          <cell r="U46" t="str">
            <v/>
          </cell>
          <cell r="V46" t="str">
            <v/>
          </cell>
          <cell r="W46" t="str">
            <v/>
          </cell>
          <cell r="X46" t="str">
            <v/>
          </cell>
          <cell r="Y46" t="str">
            <v/>
          </cell>
          <cell r="Z46" t="str">
            <v/>
          </cell>
          <cell r="AA46"/>
          <cell r="AB46">
            <v>4498712</v>
          </cell>
          <cell r="AC46" t="str">
            <v/>
          </cell>
          <cell r="AD46" t="str">
            <v/>
          </cell>
          <cell r="AE46" t="str">
            <v/>
          </cell>
          <cell r="AF46" t="str">
            <v/>
          </cell>
          <cell r="AG46" t="str">
            <v/>
          </cell>
          <cell r="AH46" t="str">
            <v/>
          </cell>
          <cell r="AI46"/>
          <cell r="AJ46">
            <v>136.91153971824158</v>
          </cell>
          <cell r="AK46" t="str">
            <v/>
          </cell>
          <cell r="AL46" t="str">
            <v/>
          </cell>
          <cell r="AM46" t="str">
            <v/>
          </cell>
          <cell r="AN46" t="str">
            <v/>
          </cell>
          <cell r="AO46" t="str">
            <v/>
          </cell>
          <cell r="AP46" t="str">
            <v/>
          </cell>
          <cell r="AQ46">
            <v>0</v>
          </cell>
          <cell r="AR46"/>
        </row>
        <row r="47">
          <cell r="R47">
            <v>40026</v>
          </cell>
          <cell r="S47" t="str">
            <v>TOTAL</v>
          </cell>
          <cell r="T47">
            <v>134.33886584502261</v>
          </cell>
          <cell r="U47" t="str">
            <v/>
          </cell>
          <cell r="V47" t="str">
            <v/>
          </cell>
          <cell r="W47" t="str">
            <v/>
          </cell>
          <cell r="X47" t="str">
            <v/>
          </cell>
          <cell r="Y47" t="str">
            <v/>
          </cell>
          <cell r="Z47" t="str">
            <v/>
          </cell>
          <cell r="AA47"/>
          <cell r="AB47">
            <v>4514780</v>
          </cell>
          <cell r="AC47" t="str">
            <v/>
          </cell>
          <cell r="AD47" t="str">
            <v/>
          </cell>
          <cell r="AE47" t="str">
            <v/>
          </cell>
          <cell r="AF47" t="str">
            <v/>
          </cell>
          <cell r="AG47" t="str">
            <v/>
          </cell>
          <cell r="AH47" t="str">
            <v/>
          </cell>
          <cell r="AI47"/>
          <cell r="AJ47">
            <v>136.56647883801796</v>
          </cell>
          <cell r="AK47" t="str">
            <v/>
          </cell>
          <cell r="AL47" t="str">
            <v/>
          </cell>
          <cell r="AM47" t="str">
            <v/>
          </cell>
          <cell r="AN47" t="str">
            <v/>
          </cell>
          <cell r="AO47" t="str">
            <v/>
          </cell>
          <cell r="AP47" t="str">
            <v/>
          </cell>
          <cell r="AQ47">
            <v>0</v>
          </cell>
          <cell r="AR47"/>
        </row>
        <row r="48">
          <cell r="R48">
            <v>40057</v>
          </cell>
          <cell r="S48" t="str">
            <v>TOTAL</v>
          </cell>
          <cell r="T48">
            <v>125.82825810983547</v>
          </cell>
          <cell r="U48" t="str">
            <v/>
          </cell>
          <cell r="V48" t="str">
            <v/>
          </cell>
          <cell r="W48" t="str">
            <v/>
          </cell>
          <cell r="X48" t="str">
            <v/>
          </cell>
          <cell r="Y48" t="str">
            <v/>
          </cell>
          <cell r="Z48" t="str">
            <v/>
          </cell>
          <cell r="AA48"/>
          <cell r="AB48">
            <v>4384994</v>
          </cell>
          <cell r="AC48" t="str">
            <v/>
          </cell>
          <cell r="AD48" t="str">
            <v/>
          </cell>
          <cell r="AE48" t="str">
            <v/>
          </cell>
          <cell r="AF48" t="str">
            <v/>
          </cell>
          <cell r="AG48" t="str">
            <v/>
          </cell>
          <cell r="AH48" t="str">
            <v/>
          </cell>
          <cell r="AI48"/>
          <cell r="AJ48">
            <v>135.25535194987441</v>
          </cell>
          <cell r="AK48" t="str">
            <v/>
          </cell>
          <cell r="AL48" t="str">
            <v/>
          </cell>
          <cell r="AM48" t="str">
            <v/>
          </cell>
          <cell r="AN48" t="str">
            <v/>
          </cell>
          <cell r="AO48" t="str">
            <v/>
          </cell>
          <cell r="AP48" t="str">
            <v/>
          </cell>
          <cell r="AQ48">
            <v>0</v>
          </cell>
          <cell r="AR48"/>
        </row>
        <row r="49">
          <cell r="R49">
            <v>40087</v>
          </cell>
          <cell r="S49" t="str">
            <v>TOTAL</v>
          </cell>
          <cell r="T49">
            <v>140.5506122500822</v>
          </cell>
          <cell r="U49" t="str">
            <v/>
          </cell>
          <cell r="V49" t="str">
            <v/>
          </cell>
          <cell r="W49" t="str">
            <v/>
          </cell>
          <cell r="X49" t="str">
            <v/>
          </cell>
          <cell r="Y49" t="str">
            <v/>
          </cell>
          <cell r="Z49" t="str">
            <v/>
          </cell>
          <cell r="AA49"/>
          <cell r="AB49">
            <v>5311194</v>
          </cell>
          <cell r="AC49" t="str">
            <v/>
          </cell>
          <cell r="AD49" t="str">
            <v/>
          </cell>
          <cell r="AE49" t="str">
            <v/>
          </cell>
          <cell r="AF49" t="str">
            <v/>
          </cell>
          <cell r="AG49" t="str">
            <v/>
          </cell>
          <cell r="AH49" t="str">
            <v/>
          </cell>
          <cell r="AI49"/>
          <cell r="AJ49">
            <v>135.87446401976698</v>
          </cell>
          <cell r="AK49" t="str">
            <v/>
          </cell>
          <cell r="AL49" t="str">
            <v/>
          </cell>
          <cell r="AM49" t="str">
            <v/>
          </cell>
          <cell r="AN49" t="str">
            <v/>
          </cell>
          <cell r="AO49" t="str">
            <v/>
          </cell>
          <cell r="AP49" t="str">
            <v/>
          </cell>
          <cell r="AQ49">
            <v>0</v>
          </cell>
          <cell r="AR49"/>
        </row>
        <row r="50">
          <cell r="R50"/>
          <cell r="S50"/>
          <cell r="T50"/>
          <cell r="U50"/>
          <cell r="V50"/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 t="str">
            <v/>
          </cell>
          <cell r="AL50" t="str">
            <v/>
          </cell>
          <cell r="AM50"/>
          <cell r="AN50"/>
          <cell r="AO50"/>
          <cell r="AP50"/>
          <cell r="AQ50">
            <v>0</v>
          </cell>
          <cell r="AR50"/>
        </row>
        <row r="51">
          <cell r="R51"/>
          <cell r="S51"/>
          <cell r="T51"/>
          <cell r="U51"/>
          <cell r="V51"/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 t="str">
            <v/>
          </cell>
          <cell r="AL51" t="str">
            <v/>
          </cell>
          <cell r="AM51"/>
          <cell r="AN51"/>
          <cell r="AO51"/>
          <cell r="AP51"/>
          <cell r="AQ51">
            <v>0</v>
          </cell>
          <cell r="AR51"/>
        </row>
        <row r="52">
          <cell r="R52"/>
          <cell r="S52"/>
          <cell r="T52"/>
          <cell r="U52"/>
          <cell r="V52"/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>
            <v>0</v>
          </cell>
          <cell r="AL52" t="str">
            <v/>
          </cell>
          <cell r="AM52"/>
          <cell r="AN52"/>
          <cell r="AO52"/>
          <cell r="AP52"/>
          <cell r="AQ52"/>
          <cell r="AR52"/>
        </row>
      </sheetData>
      <sheetData sheetId="38"/>
      <sheetData sheetId="39">
        <row r="13">
          <cell r="B13"/>
          <cell r="C13"/>
          <cell r="D13"/>
          <cell r="E13" t="str">
            <v>Mensual</v>
          </cell>
          <cell r="F13"/>
          <cell r="G13"/>
          <cell r="H13"/>
          <cell r="I13"/>
          <cell r="J13"/>
          <cell r="K13" t="str">
            <v>Acumulado</v>
          </cell>
          <cell r="L13"/>
          <cell r="M13"/>
          <cell r="N13"/>
          <cell r="O13"/>
          <cell r="P13"/>
          <cell r="Q13"/>
          <cell r="R13" t="str">
            <v>Mes</v>
          </cell>
          <cell r="S13"/>
          <cell r="T13"/>
          <cell r="U13"/>
          <cell r="V13"/>
        </row>
        <row r="14">
          <cell r="B14"/>
          <cell r="C14"/>
          <cell r="D14"/>
          <cell r="E14" t="str">
            <v>%</v>
          </cell>
          <cell r="F14" t="str">
            <v>Eficiencia de materiales (por linea)</v>
          </cell>
          <cell r="G14"/>
          <cell r="H14"/>
          <cell r="I14"/>
          <cell r="J14"/>
          <cell r="K14" t="str">
            <v>%</v>
          </cell>
          <cell r="L14" t="str">
            <v>Eficiencia de materiales (por linea)</v>
          </cell>
          <cell r="M14"/>
          <cell r="N14"/>
          <cell r="O14"/>
          <cell r="P14"/>
          <cell r="Q14"/>
          <cell r="R14"/>
          <cell r="S14"/>
          <cell r="T14" t="str">
            <v>Eficiencia de materiales (por linea)</v>
          </cell>
          <cell r="U14"/>
          <cell r="V14"/>
        </row>
        <row r="15">
          <cell r="B15"/>
          <cell r="C15" t="str">
            <v>Fecha</v>
          </cell>
          <cell r="D15" t="str">
            <v>TIPO2</v>
          </cell>
          <cell r="E15"/>
          <cell r="F15" t="str">
            <v>Performance</v>
          </cell>
          <cell r="G15"/>
          <cell r="H15"/>
          <cell r="I15" t="str">
            <v>Sup</v>
          </cell>
          <cell r="J15" t="str">
            <v>Inf</v>
          </cell>
          <cell r="K15"/>
          <cell r="L15" t="str">
            <v>Performance</v>
          </cell>
          <cell r="M15"/>
          <cell r="N15"/>
          <cell r="O15" t="str">
            <v>Sup</v>
          </cell>
          <cell r="P15" t="str">
            <v>Inf</v>
          </cell>
          <cell r="Q15"/>
          <cell r="R15" t="str">
            <v>Fecha</v>
          </cell>
          <cell r="S15" t="str">
            <v>TIPO2</v>
          </cell>
          <cell r="T15" t="str">
            <v>Anteriores</v>
          </cell>
          <cell r="U15" t="str">
            <v>Real</v>
          </cell>
          <cell r="V15" t="str">
            <v>Programado</v>
          </cell>
        </row>
        <row r="16">
          <cell r="B16">
            <v>39083</v>
          </cell>
          <cell r="C16">
            <v>39083</v>
          </cell>
          <cell r="D16" t="str">
            <v>TOTAL</v>
          </cell>
          <cell r="E16">
            <v>0</v>
          </cell>
          <cell r="F16" t="str">
            <v>c</v>
          </cell>
          <cell r="G16" t="str">
            <v>c</v>
          </cell>
          <cell r="H16" t="str">
            <v>g</v>
          </cell>
          <cell r="I16">
            <v>0.99</v>
          </cell>
          <cell r="J16">
            <v>0.96</v>
          </cell>
          <cell r="K16">
            <v>0</v>
          </cell>
          <cell r="L16" t="str">
            <v>c</v>
          </cell>
          <cell r="M16" t="str">
            <v>c</v>
          </cell>
          <cell r="N16" t="str">
            <v>g</v>
          </cell>
          <cell r="O16">
            <v>0.99</v>
          </cell>
          <cell r="P16">
            <v>0.96</v>
          </cell>
          <cell r="Q16"/>
          <cell r="R16">
            <v>39083</v>
          </cell>
          <cell r="S16" t="str">
            <v>TOTAL</v>
          </cell>
          <cell r="T16"/>
          <cell r="U16"/>
          <cell r="V16">
            <v>0</v>
          </cell>
          <cell r="W16" t="str">
            <v/>
          </cell>
          <cell r="X16"/>
          <cell r="Y16">
            <v>0</v>
          </cell>
          <cell r="Z16"/>
          <cell r="AA16"/>
          <cell r="AB16"/>
          <cell r="AC16">
            <v>0</v>
          </cell>
          <cell r="AD16">
            <v>0</v>
          </cell>
          <cell r="AE16">
            <v>0</v>
          </cell>
          <cell r="AF16" t="e">
            <v>#DIV/0!</v>
          </cell>
          <cell r="AG16">
            <v>0</v>
          </cell>
          <cell r="AH16" t="e">
            <v>#DIV/0!</v>
          </cell>
          <cell r="AI16"/>
          <cell r="AJ16"/>
          <cell r="AK16"/>
          <cell r="AL16">
            <v>0</v>
          </cell>
          <cell r="AM16" t="str">
            <v/>
          </cell>
          <cell r="AN16"/>
          <cell r="AO16">
            <v>0</v>
          </cell>
          <cell r="AP16"/>
          <cell r="AQ16">
            <v>0</v>
          </cell>
          <cell r="AR16"/>
        </row>
        <row r="17">
          <cell r="B17">
            <v>39114</v>
          </cell>
          <cell r="C17">
            <v>39114</v>
          </cell>
          <cell r="D17" t="str">
            <v>TOTAL</v>
          </cell>
          <cell r="E17">
            <v>0</v>
          </cell>
          <cell r="F17" t="str">
            <v>c</v>
          </cell>
          <cell r="G17" t="str">
            <v>c</v>
          </cell>
          <cell r="H17" t="str">
            <v>g</v>
          </cell>
          <cell r="I17">
            <v>0.99</v>
          </cell>
          <cell r="J17">
            <v>0.96</v>
          </cell>
          <cell r="K17">
            <v>0</v>
          </cell>
          <cell r="L17" t="str">
            <v>c</v>
          </cell>
          <cell r="M17" t="str">
            <v>c</v>
          </cell>
          <cell r="N17" t="str">
            <v>g</v>
          </cell>
          <cell r="O17">
            <v>0.99</v>
          </cell>
          <cell r="P17">
            <v>0.96</v>
          </cell>
          <cell r="Q17"/>
          <cell r="R17">
            <v>39114</v>
          </cell>
          <cell r="S17" t="str">
            <v>TOTAL</v>
          </cell>
          <cell r="T17"/>
          <cell r="U17"/>
          <cell r="V17">
            <v>0</v>
          </cell>
          <cell r="W17" t="str">
            <v/>
          </cell>
          <cell r="X17"/>
          <cell r="Y17">
            <v>0</v>
          </cell>
          <cell r="Z17"/>
          <cell r="AA17"/>
          <cell r="AB17"/>
          <cell r="AC17">
            <v>0</v>
          </cell>
          <cell r="AD17">
            <v>0</v>
          </cell>
          <cell r="AE17">
            <v>0</v>
          </cell>
          <cell r="AF17" t="e">
            <v>#DIV/0!</v>
          </cell>
          <cell r="AG17">
            <v>0</v>
          </cell>
          <cell r="AH17" t="e">
            <v>#DIV/0!</v>
          </cell>
          <cell r="AI17"/>
          <cell r="AJ17"/>
          <cell r="AK17"/>
          <cell r="AL17">
            <v>0</v>
          </cell>
          <cell r="AM17" t="str">
            <v/>
          </cell>
          <cell r="AN17"/>
          <cell r="AO17">
            <v>0</v>
          </cell>
          <cell r="AP17"/>
          <cell r="AQ17">
            <v>0</v>
          </cell>
          <cell r="AR17"/>
        </row>
        <row r="18">
          <cell r="B18">
            <v>39142</v>
          </cell>
          <cell r="C18">
            <v>39142</v>
          </cell>
          <cell r="D18" t="str">
            <v>TOTAL</v>
          </cell>
          <cell r="E18">
            <v>0</v>
          </cell>
          <cell r="F18" t="str">
            <v>c</v>
          </cell>
          <cell r="G18" t="str">
            <v>c</v>
          </cell>
          <cell r="H18" t="str">
            <v>g</v>
          </cell>
          <cell r="I18">
            <v>0.99</v>
          </cell>
          <cell r="J18">
            <v>0.96</v>
          </cell>
          <cell r="K18">
            <v>0</v>
          </cell>
          <cell r="L18" t="str">
            <v>c</v>
          </cell>
          <cell r="M18" t="str">
            <v>c</v>
          </cell>
          <cell r="N18" t="str">
            <v>g</v>
          </cell>
          <cell r="O18">
            <v>0.99</v>
          </cell>
          <cell r="P18">
            <v>0.96</v>
          </cell>
          <cell r="Q18"/>
          <cell r="R18">
            <v>39142</v>
          </cell>
          <cell r="S18" t="str">
            <v>TOTAL</v>
          </cell>
          <cell r="T18"/>
          <cell r="U18"/>
          <cell r="V18">
            <v>0</v>
          </cell>
          <cell r="W18" t="str">
            <v/>
          </cell>
          <cell r="X18"/>
          <cell r="Y18">
            <v>0</v>
          </cell>
          <cell r="Z18"/>
          <cell r="AA18"/>
          <cell r="AB18"/>
          <cell r="AC18">
            <v>0</v>
          </cell>
          <cell r="AD18">
            <v>0</v>
          </cell>
          <cell r="AE18">
            <v>0</v>
          </cell>
          <cell r="AF18" t="e">
            <v>#DIV/0!</v>
          </cell>
          <cell r="AG18">
            <v>0</v>
          </cell>
          <cell r="AH18" t="e">
            <v>#DIV/0!</v>
          </cell>
          <cell r="AI18"/>
          <cell r="AJ18"/>
          <cell r="AK18"/>
          <cell r="AL18">
            <v>0</v>
          </cell>
          <cell r="AM18" t="str">
            <v/>
          </cell>
          <cell r="AN18"/>
          <cell r="AO18">
            <v>0</v>
          </cell>
          <cell r="AP18"/>
          <cell r="AQ18">
            <v>0</v>
          </cell>
          <cell r="AR18"/>
        </row>
        <row r="19">
          <cell r="B19">
            <v>39173</v>
          </cell>
          <cell r="C19">
            <v>39173</v>
          </cell>
          <cell r="D19" t="str">
            <v>TOTAL</v>
          </cell>
          <cell r="E19">
            <v>0</v>
          </cell>
          <cell r="F19" t="str">
            <v>c</v>
          </cell>
          <cell r="G19" t="str">
            <v>c</v>
          </cell>
          <cell r="H19" t="str">
            <v>g</v>
          </cell>
          <cell r="I19">
            <v>0.99</v>
          </cell>
          <cell r="J19">
            <v>0.96</v>
          </cell>
          <cell r="K19">
            <v>0</v>
          </cell>
          <cell r="L19" t="str">
            <v>c</v>
          </cell>
          <cell r="M19" t="str">
            <v>c</v>
          </cell>
          <cell r="N19" t="str">
            <v>g</v>
          </cell>
          <cell r="O19">
            <v>0.99</v>
          </cell>
          <cell r="P19">
            <v>0.96</v>
          </cell>
          <cell r="Q19"/>
          <cell r="R19">
            <v>39173</v>
          </cell>
          <cell r="S19" t="str">
            <v>TOTAL</v>
          </cell>
          <cell r="T19"/>
          <cell r="U19"/>
          <cell r="V19">
            <v>0</v>
          </cell>
          <cell r="W19" t="str">
            <v/>
          </cell>
          <cell r="X19"/>
          <cell r="Y19">
            <v>0</v>
          </cell>
          <cell r="Z19"/>
          <cell r="AA19"/>
          <cell r="AB19"/>
          <cell r="AC19">
            <v>0</v>
          </cell>
          <cell r="AD19">
            <v>0</v>
          </cell>
          <cell r="AE19">
            <v>0</v>
          </cell>
          <cell r="AF19" t="e">
            <v>#DIV/0!</v>
          </cell>
          <cell r="AG19">
            <v>0</v>
          </cell>
          <cell r="AH19" t="e">
            <v>#DIV/0!</v>
          </cell>
          <cell r="AI19"/>
          <cell r="AJ19"/>
          <cell r="AK19"/>
          <cell r="AL19">
            <v>0</v>
          </cell>
          <cell r="AM19" t="str">
            <v/>
          </cell>
          <cell r="AN19"/>
          <cell r="AO19">
            <v>0</v>
          </cell>
          <cell r="AP19"/>
          <cell r="AQ19">
            <v>0</v>
          </cell>
          <cell r="AR19"/>
        </row>
        <row r="20">
          <cell r="B20">
            <v>39203</v>
          </cell>
          <cell r="C20">
            <v>39203</v>
          </cell>
          <cell r="D20" t="str">
            <v>TOTAL</v>
          </cell>
          <cell r="E20">
            <v>0</v>
          </cell>
          <cell r="F20" t="str">
            <v>c</v>
          </cell>
          <cell r="G20" t="str">
            <v>c</v>
          </cell>
          <cell r="H20" t="str">
            <v>g</v>
          </cell>
          <cell r="I20">
            <v>0.99</v>
          </cell>
          <cell r="J20">
            <v>0.96</v>
          </cell>
          <cell r="K20">
            <v>0</v>
          </cell>
          <cell r="L20" t="str">
            <v>c</v>
          </cell>
          <cell r="M20" t="str">
            <v>c</v>
          </cell>
          <cell r="N20" t="str">
            <v>g</v>
          </cell>
          <cell r="O20">
            <v>0.99</v>
          </cell>
          <cell r="P20">
            <v>0.96</v>
          </cell>
          <cell r="Q20"/>
          <cell r="R20">
            <v>39203</v>
          </cell>
          <cell r="S20" t="str">
            <v>TOTAL</v>
          </cell>
          <cell r="T20"/>
          <cell r="U20"/>
          <cell r="V20">
            <v>0</v>
          </cell>
          <cell r="W20" t="str">
            <v/>
          </cell>
          <cell r="X20"/>
          <cell r="Y20">
            <v>0</v>
          </cell>
          <cell r="Z20"/>
          <cell r="AA20"/>
          <cell r="AB20"/>
          <cell r="AC20">
            <v>0</v>
          </cell>
          <cell r="AD20">
            <v>0</v>
          </cell>
          <cell r="AE20">
            <v>0</v>
          </cell>
          <cell r="AF20" t="e">
            <v>#DIV/0!</v>
          </cell>
          <cell r="AG20">
            <v>0</v>
          </cell>
          <cell r="AH20" t="e">
            <v>#DIV/0!</v>
          </cell>
          <cell r="AI20"/>
          <cell r="AJ20"/>
          <cell r="AK20"/>
          <cell r="AL20">
            <v>0</v>
          </cell>
          <cell r="AM20" t="str">
            <v/>
          </cell>
          <cell r="AN20"/>
          <cell r="AO20">
            <v>0</v>
          </cell>
          <cell r="AP20"/>
          <cell r="AQ20">
            <v>0</v>
          </cell>
          <cell r="AR20"/>
        </row>
        <row r="21">
          <cell r="B21">
            <v>39234</v>
          </cell>
          <cell r="C21">
            <v>39234</v>
          </cell>
          <cell r="D21" t="str">
            <v>TOTAL</v>
          </cell>
          <cell r="E21">
            <v>0</v>
          </cell>
          <cell r="F21" t="str">
            <v>c</v>
          </cell>
          <cell r="G21" t="str">
            <v>c</v>
          </cell>
          <cell r="H21" t="str">
            <v>g</v>
          </cell>
          <cell r="I21">
            <v>0.99</v>
          </cell>
          <cell r="J21">
            <v>0.96</v>
          </cell>
          <cell r="K21">
            <v>0</v>
          </cell>
          <cell r="L21" t="str">
            <v>c</v>
          </cell>
          <cell r="M21" t="str">
            <v>c</v>
          </cell>
          <cell r="N21" t="str">
            <v>g</v>
          </cell>
          <cell r="O21">
            <v>0.99</v>
          </cell>
          <cell r="P21">
            <v>0.96</v>
          </cell>
          <cell r="Q21"/>
          <cell r="R21">
            <v>39234</v>
          </cell>
          <cell r="S21" t="str">
            <v>TOTAL</v>
          </cell>
          <cell r="T21"/>
          <cell r="U21"/>
          <cell r="V21">
            <v>0</v>
          </cell>
          <cell r="W21" t="str">
            <v/>
          </cell>
          <cell r="X21"/>
          <cell r="Y21">
            <v>0</v>
          </cell>
          <cell r="Z21"/>
          <cell r="AA21"/>
          <cell r="AB21"/>
          <cell r="AC21">
            <v>0</v>
          </cell>
          <cell r="AD21">
            <v>0</v>
          </cell>
          <cell r="AE21">
            <v>0</v>
          </cell>
          <cell r="AF21" t="e">
            <v>#DIV/0!</v>
          </cell>
          <cell r="AG21">
            <v>0</v>
          </cell>
          <cell r="AH21" t="e">
            <v>#DIV/0!</v>
          </cell>
          <cell r="AI21"/>
          <cell r="AJ21"/>
          <cell r="AK21"/>
          <cell r="AL21">
            <v>0</v>
          </cell>
          <cell r="AM21" t="str">
            <v/>
          </cell>
          <cell r="AN21"/>
          <cell r="AO21">
            <v>0</v>
          </cell>
          <cell r="AP21"/>
          <cell r="AQ21">
            <v>0</v>
          </cell>
          <cell r="AR21"/>
        </row>
        <row r="22">
          <cell r="B22">
            <v>39264</v>
          </cell>
          <cell r="C22">
            <v>39264</v>
          </cell>
          <cell r="D22" t="str">
            <v>TOTAL</v>
          </cell>
          <cell r="E22">
            <v>0</v>
          </cell>
          <cell r="F22" t="str">
            <v>c</v>
          </cell>
          <cell r="G22" t="str">
            <v>c</v>
          </cell>
          <cell r="H22" t="str">
            <v>g</v>
          </cell>
          <cell r="I22">
            <v>0.99</v>
          </cell>
          <cell r="J22">
            <v>0.96</v>
          </cell>
          <cell r="K22">
            <v>0</v>
          </cell>
          <cell r="L22" t="str">
            <v>c</v>
          </cell>
          <cell r="M22" t="str">
            <v>c</v>
          </cell>
          <cell r="N22" t="str">
            <v>g</v>
          </cell>
          <cell r="O22">
            <v>0.99</v>
          </cell>
          <cell r="P22">
            <v>0.96</v>
          </cell>
          <cell r="Q22"/>
          <cell r="R22">
            <v>39264</v>
          </cell>
          <cell r="S22" t="str">
            <v>TOTAL</v>
          </cell>
          <cell r="T22"/>
          <cell r="U22"/>
          <cell r="V22">
            <v>0</v>
          </cell>
          <cell r="W22" t="str">
            <v/>
          </cell>
          <cell r="X22"/>
          <cell r="Y22">
            <v>0</v>
          </cell>
          <cell r="Z22"/>
          <cell r="AA22"/>
          <cell r="AB22"/>
          <cell r="AC22">
            <v>0</v>
          </cell>
          <cell r="AD22">
            <v>0</v>
          </cell>
          <cell r="AE22">
            <v>0</v>
          </cell>
          <cell r="AF22" t="e">
            <v>#DIV/0!</v>
          </cell>
          <cell r="AG22">
            <v>0</v>
          </cell>
          <cell r="AH22" t="e">
            <v>#DIV/0!</v>
          </cell>
          <cell r="AI22"/>
          <cell r="AJ22"/>
          <cell r="AK22"/>
          <cell r="AL22">
            <v>0</v>
          </cell>
          <cell r="AM22" t="str">
            <v/>
          </cell>
          <cell r="AN22"/>
          <cell r="AO22">
            <v>0</v>
          </cell>
          <cell r="AP22"/>
          <cell r="AQ22">
            <v>0</v>
          </cell>
          <cell r="AR22"/>
        </row>
        <row r="23">
          <cell r="B23">
            <v>39295</v>
          </cell>
          <cell r="C23">
            <v>39295</v>
          </cell>
          <cell r="D23" t="str">
            <v>TOTAL</v>
          </cell>
          <cell r="E23">
            <v>0</v>
          </cell>
          <cell r="F23" t="str">
            <v>c</v>
          </cell>
          <cell r="G23" t="str">
            <v>c</v>
          </cell>
          <cell r="H23" t="str">
            <v>g</v>
          </cell>
          <cell r="I23">
            <v>0.99</v>
          </cell>
          <cell r="J23">
            <v>0.96</v>
          </cell>
          <cell r="K23">
            <v>0</v>
          </cell>
          <cell r="L23" t="str">
            <v>c</v>
          </cell>
          <cell r="M23" t="str">
            <v>c</v>
          </cell>
          <cell r="N23" t="str">
            <v>g</v>
          </cell>
          <cell r="O23">
            <v>0.99</v>
          </cell>
          <cell r="P23">
            <v>0.96</v>
          </cell>
          <cell r="Q23"/>
          <cell r="R23">
            <v>39295</v>
          </cell>
          <cell r="S23" t="str">
            <v>TOTAL</v>
          </cell>
          <cell r="T23"/>
          <cell r="U23"/>
          <cell r="V23">
            <v>0</v>
          </cell>
          <cell r="W23" t="str">
            <v/>
          </cell>
          <cell r="X23"/>
          <cell r="Y23">
            <v>0</v>
          </cell>
          <cell r="Z23"/>
          <cell r="AA23"/>
          <cell r="AB23"/>
          <cell r="AC23">
            <v>0</v>
          </cell>
          <cell r="AD23">
            <v>0</v>
          </cell>
          <cell r="AE23">
            <v>0</v>
          </cell>
          <cell r="AF23" t="e">
            <v>#DIV/0!</v>
          </cell>
          <cell r="AG23">
            <v>0</v>
          </cell>
          <cell r="AH23" t="e">
            <v>#DIV/0!</v>
          </cell>
          <cell r="AI23"/>
          <cell r="AJ23"/>
          <cell r="AK23"/>
          <cell r="AL23">
            <v>0</v>
          </cell>
          <cell r="AM23" t="str">
            <v/>
          </cell>
          <cell r="AN23"/>
          <cell r="AO23">
            <v>0</v>
          </cell>
          <cell r="AP23"/>
          <cell r="AQ23">
            <v>0</v>
          </cell>
          <cell r="AR23"/>
        </row>
        <row r="24">
          <cell r="B24">
            <v>39326</v>
          </cell>
          <cell r="C24">
            <v>39326</v>
          </cell>
          <cell r="D24" t="str">
            <v>TOTAL</v>
          </cell>
          <cell r="E24">
            <v>0</v>
          </cell>
          <cell r="F24" t="str">
            <v>c</v>
          </cell>
          <cell r="G24" t="str">
            <v>c</v>
          </cell>
          <cell r="H24" t="str">
            <v>g</v>
          </cell>
          <cell r="I24">
            <v>0.99</v>
          </cell>
          <cell r="J24">
            <v>0.96</v>
          </cell>
          <cell r="K24">
            <v>0</v>
          </cell>
          <cell r="L24" t="str">
            <v>c</v>
          </cell>
          <cell r="M24" t="str">
            <v>c</v>
          </cell>
          <cell r="N24" t="str">
            <v>g</v>
          </cell>
          <cell r="O24">
            <v>0.99</v>
          </cell>
          <cell r="P24">
            <v>0.96</v>
          </cell>
          <cell r="Q24"/>
          <cell r="R24">
            <v>39326</v>
          </cell>
          <cell r="S24" t="str">
            <v>TOTAL</v>
          </cell>
          <cell r="T24"/>
          <cell r="U24"/>
          <cell r="V24">
            <v>0</v>
          </cell>
          <cell r="W24" t="str">
            <v/>
          </cell>
          <cell r="X24"/>
          <cell r="Y24">
            <v>0</v>
          </cell>
          <cell r="Z24"/>
          <cell r="AA24"/>
          <cell r="AB24"/>
          <cell r="AC24">
            <v>0</v>
          </cell>
          <cell r="AD24">
            <v>0</v>
          </cell>
          <cell r="AE24">
            <v>0</v>
          </cell>
          <cell r="AF24" t="e">
            <v>#DIV/0!</v>
          </cell>
          <cell r="AG24">
            <v>0</v>
          </cell>
          <cell r="AH24" t="e">
            <v>#DIV/0!</v>
          </cell>
          <cell r="AI24"/>
          <cell r="AJ24"/>
          <cell r="AK24"/>
          <cell r="AL24">
            <v>0</v>
          </cell>
          <cell r="AM24" t="str">
            <v/>
          </cell>
          <cell r="AN24"/>
          <cell r="AO24">
            <v>0</v>
          </cell>
          <cell r="AP24"/>
          <cell r="AQ24">
            <v>0</v>
          </cell>
          <cell r="AR24"/>
        </row>
        <row r="25">
          <cell r="B25">
            <v>39356</v>
          </cell>
          <cell r="C25">
            <v>39356</v>
          </cell>
          <cell r="D25" t="str">
            <v>TOTAL</v>
          </cell>
          <cell r="E25">
            <v>0</v>
          </cell>
          <cell r="F25" t="str">
            <v>c</v>
          </cell>
          <cell r="G25" t="str">
            <v>c</v>
          </cell>
          <cell r="H25" t="str">
            <v>g</v>
          </cell>
          <cell r="I25">
            <v>0.99</v>
          </cell>
          <cell r="J25">
            <v>0.96</v>
          </cell>
          <cell r="K25">
            <v>0</v>
          </cell>
          <cell r="L25" t="str">
            <v>c</v>
          </cell>
          <cell r="M25" t="str">
            <v>c</v>
          </cell>
          <cell r="N25" t="str">
            <v>g</v>
          </cell>
          <cell r="O25">
            <v>0.99</v>
          </cell>
          <cell r="P25">
            <v>0.96</v>
          </cell>
          <cell r="Q25"/>
          <cell r="R25">
            <v>39356</v>
          </cell>
          <cell r="S25" t="str">
            <v>TOTAL</v>
          </cell>
          <cell r="T25"/>
          <cell r="U25"/>
          <cell r="V25">
            <v>0</v>
          </cell>
          <cell r="W25" t="str">
            <v/>
          </cell>
          <cell r="X25"/>
          <cell r="Y25">
            <v>0</v>
          </cell>
          <cell r="Z25"/>
          <cell r="AA25"/>
          <cell r="AB25"/>
          <cell r="AC25">
            <v>0</v>
          </cell>
          <cell r="AD25">
            <v>0</v>
          </cell>
          <cell r="AE25">
            <v>0</v>
          </cell>
          <cell r="AF25" t="e">
            <v>#DIV/0!</v>
          </cell>
          <cell r="AG25">
            <v>0</v>
          </cell>
          <cell r="AH25" t="e">
            <v>#DIV/0!</v>
          </cell>
          <cell r="AI25"/>
          <cell r="AJ25"/>
          <cell r="AK25"/>
          <cell r="AL25">
            <v>0</v>
          </cell>
          <cell r="AM25" t="str">
            <v/>
          </cell>
          <cell r="AN25"/>
          <cell r="AO25">
            <v>0</v>
          </cell>
          <cell r="AP25"/>
          <cell r="AQ25">
            <v>0</v>
          </cell>
          <cell r="AR25"/>
        </row>
        <row r="26">
          <cell r="B26">
            <v>39387</v>
          </cell>
          <cell r="C26">
            <v>39387</v>
          </cell>
          <cell r="D26" t="str">
            <v>TOTAL</v>
          </cell>
          <cell r="E26">
            <v>0</v>
          </cell>
          <cell r="F26" t="str">
            <v>c</v>
          </cell>
          <cell r="G26" t="str">
            <v>c</v>
          </cell>
          <cell r="H26" t="str">
            <v>g</v>
          </cell>
          <cell r="I26">
            <v>0.99</v>
          </cell>
          <cell r="J26">
            <v>0.96</v>
          </cell>
          <cell r="K26">
            <v>0</v>
          </cell>
          <cell r="L26" t="str">
            <v>c</v>
          </cell>
          <cell r="M26" t="str">
            <v>c</v>
          </cell>
          <cell r="N26" t="str">
            <v>g</v>
          </cell>
          <cell r="O26">
            <v>0.99</v>
          </cell>
          <cell r="P26">
            <v>0.96</v>
          </cell>
          <cell r="Q26"/>
          <cell r="R26">
            <v>39387</v>
          </cell>
          <cell r="S26" t="str">
            <v>TOTAL</v>
          </cell>
          <cell r="T26"/>
          <cell r="U26"/>
          <cell r="V26">
            <v>0</v>
          </cell>
          <cell r="W26" t="str">
            <v/>
          </cell>
          <cell r="X26"/>
          <cell r="Y26">
            <v>0</v>
          </cell>
          <cell r="Z26"/>
          <cell r="AA26"/>
          <cell r="AB26"/>
          <cell r="AC26">
            <v>0</v>
          </cell>
          <cell r="AD26">
            <v>0</v>
          </cell>
          <cell r="AE26">
            <v>0</v>
          </cell>
          <cell r="AF26" t="e">
            <v>#DIV/0!</v>
          </cell>
          <cell r="AG26">
            <v>0</v>
          </cell>
          <cell r="AH26" t="e">
            <v>#DIV/0!</v>
          </cell>
          <cell r="AI26"/>
          <cell r="AJ26"/>
          <cell r="AK26"/>
          <cell r="AL26">
            <v>0</v>
          </cell>
          <cell r="AM26" t="str">
            <v/>
          </cell>
          <cell r="AN26"/>
          <cell r="AO26">
            <v>0</v>
          </cell>
          <cell r="AP26"/>
          <cell r="AQ26">
            <v>0</v>
          </cell>
          <cell r="AR26"/>
        </row>
        <row r="27">
          <cell r="B27">
            <v>39417</v>
          </cell>
          <cell r="C27">
            <v>39417</v>
          </cell>
          <cell r="D27" t="str">
            <v>TOTAL</v>
          </cell>
          <cell r="E27">
            <v>0</v>
          </cell>
          <cell r="F27" t="str">
            <v>c</v>
          </cell>
          <cell r="G27" t="str">
            <v>c</v>
          </cell>
          <cell r="H27" t="str">
            <v>g</v>
          </cell>
          <cell r="I27">
            <v>0.99</v>
          </cell>
          <cell r="J27">
            <v>0.96</v>
          </cell>
          <cell r="K27">
            <v>0</v>
          </cell>
          <cell r="L27" t="str">
            <v>c</v>
          </cell>
          <cell r="M27" t="str">
            <v>c</v>
          </cell>
          <cell r="N27" t="str">
            <v>g</v>
          </cell>
          <cell r="O27">
            <v>0.99</v>
          </cell>
          <cell r="P27">
            <v>0.96</v>
          </cell>
          <cell r="Q27"/>
          <cell r="R27">
            <v>39417</v>
          </cell>
          <cell r="S27" t="str">
            <v>TOTAL</v>
          </cell>
          <cell r="T27"/>
          <cell r="U27"/>
          <cell r="V27">
            <v>0</v>
          </cell>
          <cell r="W27" t="str">
            <v/>
          </cell>
          <cell r="X27"/>
          <cell r="Y27">
            <v>0</v>
          </cell>
          <cell r="Z27"/>
          <cell r="AA27"/>
          <cell r="AB27"/>
          <cell r="AC27">
            <v>0</v>
          </cell>
          <cell r="AD27">
            <v>0</v>
          </cell>
          <cell r="AE27">
            <v>0</v>
          </cell>
          <cell r="AF27" t="e">
            <v>#DIV/0!</v>
          </cell>
          <cell r="AG27">
            <v>0</v>
          </cell>
          <cell r="AH27" t="e">
            <v>#DIV/0!</v>
          </cell>
          <cell r="AI27"/>
          <cell r="AJ27"/>
          <cell r="AK27"/>
          <cell r="AL27">
            <v>0</v>
          </cell>
          <cell r="AM27" t="str">
            <v/>
          </cell>
          <cell r="AN27"/>
          <cell r="AO27">
            <v>0</v>
          </cell>
          <cell r="AP27"/>
          <cell r="AQ27">
            <v>0</v>
          </cell>
          <cell r="AR27"/>
        </row>
        <row r="28">
          <cell r="B28">
            <v>39448</v>
          </cell>
          <cell r="C28">
            <v>39448</v>
          </cell>
          <cell r="D28" t="str">
            <v>TOTAL</v>
          </cell>
          <cell r="E28">
            <v>0.68850189937242778</v>
          </cell>
          <cell r="F28" t="str">
            <v>c</v>
          </cell>
          <cell r="G28" t="str">
            <v>c</v>
          </cell>
          <cell r="H28" t="str">
            <v>g</v>
          </cell>
          <cell r="I28">
            <v>0.99</v>
          </cell>
          <cell r="J28">
            <v>0.96</v>
          </cell>
          <cell r="K28">
            <v>0.68850189937242778</v>
          </cell>
          <cell r="L28" t="str">
            <v>c</v>
          </cell>
          <cell r="M28" t="str">
            <v>c</v>
          </cell>
          <cell r="N28" t="str">
            <v>g</v>
          </cell>
          <cell r="O28">
            <v>0.99</v>
          </cell>
          <cell r="P28">
            <v>0.96</v>
          </cell>
          <cell r="Q28"/>
          <cell r="R28">
            <v>39448</v>
          </cell>
          <cell r="S28" t="str">
            <v>TOTAL</v>
          </cell>
          <cell r="T28"/>
          <cell r="U28">
            <v>0.68850189937242778</v>
          </cell>
          <cell r="V28">
            <v>0</v>
          </cell>
          <cell r="W28">
            <v>0.68850189937242778</v>
          </cell>
          <cell r="X28" t="str">
            <v/>
          </cell>
          <cell r="Y28">
            <v>0.68850189937242778</v>
          </cell>
          <cell r="Z28"/>
          <cell r="AA28"/>
          <cell r="AB28">
            <v>0</v>
          </cell>
          <cell r="AC28">
            <v>4572176.8</v>
          </cell>
          <cell r="AD28">
            <v>20000</v>
          </cell>
          <cell r="AE28">
            <v>4572176.8</v>
          </cell>
          <cell r="AF28">
            <v>-1</v>
          </cell>
          <cell r="AG28">
            <v>4552176.8</v>
          </cell>
          <cell r="AH28">
            <v>-0.99562571596094007</v>
          </cell>
          <cell r="AI28"/>
          <cell r="AJ28"/>
          <cell r="AK28">
            <v>0.68850189937242778</v>
          </cell>
          <cell r="AL28">
            <v>0</v>
          </cell>
          <cell r="AM28">
            <v>0.68850189937242778</v>
          </cell>
          <cell r="AN28" t="str">
            <v/>
          </cell>
          <cell r="AO28">
            <v>0.68850189937242778</v>
          </cell>
          <cell r="AP28"/>
          <cell r="AQ28">
            <v>0</v>
          </cell>
          <cell r="AR28"/>
        </row>
        <row r="29">
          <cell r="B29">
            <v>39479</v>
          </cell>
          <cell r="C29">
            <v>39479</v>
          </cell>
          <cell r="D29" t="str">
            <v>TOTAL</v>
          </cell>
          <cell r="E29">
            <v>1.0006995816649453</v>
          </cell>
          <cell r="F29" t="str">
            <v>g</v>
          </cell>
          <cell r="G29" t="str">
            <v>c</v>
          </cell>
          <cell r="H29" t="str">
            <v>c</v>
          </cell>
          <cell r="I29">
            <v>0.99</v>
          </cell>
          <cell r="J29">
            <v>0.96</v>
          </cell>
          <cell r="K29">
            <v>0.83978189376082724</v>
          </cell>
          <cell r="L29" t="str">
            <v>c</v>
          </cell>
          <cell r="M29" t="str">
            <v>c</v>
          </cell>
          <cell r="N29" t="str">
            <v>g</v>
          </cell>
          <cell r="O29">
            <v>0.99</v>
          </cell>
          <cell r="P29">
            <v>0.96</v>
          </cell>
          <cell r="Q29"/>
          <cell r="R29">
            <v>39479</v>
          </cell>
          <cell r="S29" t="str">
            <v>TOTAL</v>
          </cell>
          <cell r="T29"/>
          <cell r="U29">
            <v>1.0006995816649453</v>
          </cell>
          <cell r="V29">
            <v>0</v>
          </cell>
          <cell r="W29">
            <v>1.0006995816649453</v>
          </cell>
          <cell r="X29" t="str">
            <v/>
          </cell>
          <cell r="Y29">
            <v>1.0006995816649453</v>
          </cell>
          <cell r="Z29"/>
          <cell r="AA29"/>
          <cell r="AB29">
            <v>0</v>
          </cell>
          <cell r="AC29">
            <v>6247399.9100000011</v>
          </cell>
          <cell r="AD29">
            <v>0</v>
          </cell>
          <cell r="AE29">
            <v>6247399.9100000011</v>
          </cell>
          <cell r="AF29">
            <v>-1</v>
          </cell>
          <cell r="AG29">
            <v>6247399.9100000011</v>
          </cell>
          <cell r="AH29">
            <v>-1</v>
          </cell>
          <cell r="AI29"/>
          <cell r="AJ29"/>
          <cell r="AK29">
            <v>0.83978189376082724</v>
          </cell>
          <cell r="AL29">
            <v>0</v>
          </cell>
          <cell r="AM29">
            <v>0.83978189376082724</v>
          </cell>
          <cell r="AN29" t="str">
            <v/>
          </cell>
          <cell r="AO29">
            <v>0.83978189376082724</v>
          </cell>
          <cell r="AP29"/>
          <cell r="AQ29">
            <v>0</v>
          </cell>
          <cell r="AR29"/>
        </row>
        <row r="30">
          <cell r="B30">
            <v>39508</v>
          </cell>
          <cell r="C30">
            <v>39508</v>
          </cell>
          <cell r="D30" t="str">
            <v>TOTAL</v>
          </cell>
          <cell r="E30">
            <v>0.98716195740985246</v>
          </cell>
          <cell r="F30" t="str">
            <v>c</v>
          </cell>
          <cell r="G30" t="str">
            <v>g</v>
          </cell>
          <cell r="H30" t="str">
            <v>c</v>
          </cell>
          <cell r="I30">
            <v>0.99</v>
          </cell>
          <cell r="J30">
            <v>0.96</v>
          </cell>
          <cell r="K30">
            <v>0.87526394561097143</v>
          </cell>
          <cell r="L30" t="str">
            <v>c</v>
          </cell>
          <cell r="M30" t="str">
            <v>c</v>
          </cell>
          <cell r="N30" t="str">
            <v>g</v>
          </cell>
          <cell r="O30">
            <v>0.99</v>
          </cell>
          <cell r="P30">
            <v>0.96</v>
          </cell>
          <cell r="Q30"/>
          <cell r="R30">
            <v>39508</v>
          </cell>
          <cell r="S30" t="str">
            <v>TOTAL</v>
          </cell>
          <cell r="T30"/>
          <cell r="U30">
            <v>0.98716195740985246</v>
          </cell>
          <cell r="V30">
            <v>0</v>
          </cell>
          <cell r="W30">
            <v>0.98716195740985246</v>
          </cell>
          <cell r="X30" t="str">
            <v/>
          </cell>
          <cell r="Y30">
            <v>0.98716195740985246</v>
          </cell>
          <cell r="Z30"/>
          <cell r="AA30"/>
          <cell r="AB30">
            <v>0</v>
          </cell>
          <cell r="AC30">
            <v>4032910</v>
          </cell>
          <cell r="AD30">
            <v>0</v>
          </cell>
          <cell r="AE30">
            <v>4032910</v>
          </cell>
          <cell r="AF30">
            <v>-1</v>
          </cell>
          <cell r="AG30">
            <v>4032910</v>
          </cell>
          <cell r="AH30">
            <v>-1</v>
          </cell>
          <cell r="AI30"/>
          <cell r="AJ30"/>
          <cell r="AK30">
            <v>0.87526394561097143</v>
          </cell>
          <cell r="AL30">
            <v>0</v>
          </cell>
          <cell r="AM30">
            <v>0.87526394561097143</v>
          </cell>
          <cell r="AN30" t="str">
            <v/>
          </cell>
          <cell r="AO30">
            <v>0.87526394561097143</v>
          </cell>
          <cell r="AP30"/>
          <cell r="AQ30">
            <v>0</v>
          </cell>
          <cell r="AR30"/>
        </row>
        <row r="31">
          <cell r="B31">
            <v>39539</v>
          </cell>
          <cell r="C31">
            <v>39539</v>
          </cell>
          <cell r="D31" t="str">
            <v>TOTAL</v>
          </cell>
          <cell r="E31">
            <v>0.98565234180881889</v>
          </cell>
          <cell r="F31" t="str">
            <v>c</v>
          </cell>
          <cell r="G31" t="str">
            <v>g</v>
          </cell>
          <cell r="H31" t="str">
            <v>c</v>
          </cell>
          <cell r="I31">
            <v>0.99</v>
          </cell>
          <cell r="J31">
            <v>0.96</v>
          </cell>
          <cell r="K31">
            <v>0.90066991754084291</v>
          </cell>
          <cell r="L31" t="str">
            <v>c</v>
          </cell>
          <cell r="M31" t="str">
            <v>c</v>
          </cell>
          <cell r="N31" t="str">
            <v>g</v>
          </cell>
          <cell r="O31">
            <v>0.99</v>
          </cell>
          <cell r="P31">
            <v>0.96</v>
          </cell>
          <cell r="Q31"/>
          <cell r="R31">
            <v>39539</v>
          </cell>
          <cell r="S31" t="str">
            <v>TOTAL</v>
          </cell>
          <cell r="T31"/>
          <cell r="U31">
            <v>0.98565234180881889</v>
          </cell>
          <cell r="V31">
            <v>0</v>
          </cell>
          <cell r="W31">
            <v>0.98565234180881889</v>
          </cell>
          <cell r="X31" t="str">
            <v/>
          </cell>
          <cell r="Y31">
            <v>0.98565234180881889</v>
          </cell>
          <cell r="Z31"/>
          <cell r="AA31"/>
          <cell r="AB31">
            <v>0</v>
          </cell>
          <cell r="AC31">
            <v>5000237</v>
          </cell>
          <cell r="AD31">
            <v>0</v>
          </cell>
          <cell r="AE31">
            <v>5000237</v>
          </cell>
          <cell r="AF31">
            <v>-1</v>
          </cell>
          <cell r="AG31">
            <v>5000237</v>
          </cell>
          <cell r="AH31">
            <v>-1</v>
          </cell>
          <cell r="AI31"/>
          <cell r="AJ31"/>
          <cell r="AK31">
            <v>0.90066991754084291</v>
          </cell>
          <cell r="AL31">
            <v>0</v>
          </cell>
          <cell r="AM31">
            <v>0.90066991754084291</v>
          </cell>
          <cell r="AN31" t="str">
            <v/>
          </cell>
          <cell r="AO31">
            <v>0.90066991754084291</v>
          </cell>
          <cell r="AP31"/>
          <cell r="AQ31">
            <v>0</v>
          </cell>
          <cell r="AR31"/>
        </row>
        <row r="32">
          <cell r="B32">
            <v>39569</v>
          </cell>
          <cell r="C32">
            <v>39569</v>
          </cell>
          <cell r="D32" t="str">
            <v>TOTAL</v>
          </cell>
          <cell r="E32">
            <v>0.9922995936286364</v>
          </cell>
          <cell r="F32" t="str">
            <v>g</v>
          </cell>
          <cell r="G32" t="str">
            <v>c</v>
          </cell>
          <cell r="H32" t="str">
            <v>c</v>
          </cell>
          <cell r="I32">
            <v>0.99</v>
          </cell>
          <cell r="J32">
            <v>0.96</v>
          </cell>
          <cell r="K32">
            <v>0.91394336117469288</v>
          </cell>
          <cell r="L32" t="str">
            <v>c</v>
          </cell>
          <cell r="M32" t="str">
            <v>c</v>
          </cell>
          <cell r="N32" t="str">
            <v>g</v>
          </cell>
          <cell r="O32">
            <v>0.99</v>
          </cell>
          <cell r="P32">
            <v>0.96</v>
          </cell>
          <cell r="Q32"/>
          <cell r="R32">
            <v>39569</v>
          </cell>
          <cell r="S32" t="str">
            <v>TOTAL</v>
          </cell>
          <cell r="T32"/>
          <cell r="U32">
            <v>0.9922995936286364</v>
          </cell>
          <cell r="V32">
            <v>0</v>
          </cell>
          <cell r="W32">
            <v>0.9922995936286364</v>
          </cell>
          <cell r="X32" t="str">
            <v/>
          </cell>
          <cell r="Y32">
            <v>0.9922995936286364</v>
          </cell>
          <cell r="Z32"/>
          <cell r="AA32"/>
          <cell r="AB32">
            <v>0</v>
          </cell>
          <cell r="AC32">
            <v>3705162.9999999963</v>
          </cell>
          <cell r="AD32">
            <v>0</v>
          </cell>
          <cell r="AE32">
            <v>3705162.9999999963</v>
          </cell>
          <cell r="AF32">
            <v>-1</v>
          </cell>
          <cell r="AG32">
            <v>3705162.9999999963</v>
          </cell>
          <cell r="AH32">
            <v>-1</v>
          </cell>
          <cell r="AI32"/>
          <cell r="AJ32"/>
          <cell r="AK32">
            <v>0.91394336117469288</v>
          </cell>
          <cell r="AL32">
            <v>0</v>
          </cell>
          <cell r="AM32">
            <v>0.91394336117469288</v>
          </cell>
          <cell r="AN32" t="str">
            <v/>
          </cell>
          <cell r="AO32">
            <v>0.91394336117469288</v>
          </cell>
          <cell r="AP32"/>
          <cell r="AQ32">
            <v>0</v>
          </cell>
          <cell r="AR32"/>
        </row>
        <row r="33">
          <cell r="B33">
            <v>39600</v>
          </cell>
          <cell r="C33">
            <v>39600</v>
          </cell>
          <cell r="D33" t="str">
            <v>TOTAL</v>
          </cell>
          <cell r="E33">
            <v>0.99265293100378649</v>
          </cell>
          <cell r="F33" t="str">
            <v>g</v>
          </cell>
          <cell r="G33" t="str">
            <v>c</v>
          </cell>
          <cell r="H33" t="str">
            <v>c</v>
          </cell>
          <cell r="I33">
            <v>0.99</v>
          </cell>
          <cell r="J33">
            <v>0.96</v>
          </cell>
          <cell r="K33">
            <v>0.92429103715367744</v>
          </cell>
          <cell r="L33" t="str">
            <v>c</v>
          </cell>
          <cell r="M33" t="str">
            <v>c</v>
          </cell>
          <cell r="N33" t="str">
            <v>g</v>
          </cell>
          <cell r="O33">
            <v>0.99</v>
          </cell>
          <cell r="P33">
            <v>0.96</v>
          </cell>
          <cell r="Q33"/>
          <cell r="R33">
            <v>39600</v>
          </cell>
          <cell r="S33" t="str">
            <v>TOTAL</v>
          </cell>
          <cell r="T33"/>
          <cell r="U33">
            <v>0.99265293100378649</v>
          </cell>
          <cell r="V33">
            <v>0</v>
          </cell>
          <cell r="W33">
            <v>0.99265293100378649</v>
          </cell>
          <cell r="X33" t="str">
            <v/>
          </cell>
          <cell r="Y33">
            <v>0.99265293100378649</v>
          </cell>
          <cell r="Z33"/>
          <cell r="AA33"/>
          <cell r="AB33">
            <v>0</v>
          </cell>
          <cell r="AC33">
            <v>3872961.7790000029</v>
          </cell>
          <cell r="AD33">
            <v>0</v>
          </cell>
          <cell r="AE33">
            <v>3872961.7790000029</v>
          </cell>
          <cell r="AF33">
            <v>-1</v>
          </cell>
          <cell r="AG33">
            <v>3872961.7790000029</v>
          </cell>
          <cell r="AH33">
            <v>-1</v>
          </cell>
          <cell r="AI33"/>
          <cell r="AJ33"/>
          <cell r="AK33">
            <v>0.92429103715367744</v>
          </cell>
          <cell r="AL33">
            <v>0</v>
          </cell>
          <cell r="AM33">
            <v>0.92429103715367744</v>
          </cell>
          <cell r="AN33" t="str">
            <v/>
          </cell>
          <cell r="AO33">
            <v>0.92429103715367744</v>
          </cell>
          <cell r="AP33" t="e">
            <v>#DIV/0!</v>
          </cell>
          <cell r="AQ33">
            <v>0</v>
          </cell>
          <cell r="AR33" t="e">
            <v>#DIV/0!</v>
          </cell>
        </row>
        <row r="34">
          <cell r="B34">
            <v>39630</v>
          </cell>
          <cell r="C34">
            <v>39630</v>
          </cell>
          <cell r="D34" t="str">
            <v>TOTAL</v>
          </cell>
          <cell r="E34">
            <v>0.99244667645270634</v>
          </cell>
          <cell r="F34" t="str">
            <v>g</v>
          </cell>
          <cell r="G34" t="str">
            <v>c</v>
          </cell>
          <cell r="H34" t="str">
            <v>c</v>
          </cell>
          <cell r="I34">
            <v>0.99</v>
          </cell>
          <cell r="J34">
            <v>0.96</v>
          </cell>
          <cell r="K34">
            <v>0.93332183807600866</v>
          </cell>
          <cell r="L34" t="str">
            <v>c</v>
          </cell>
          <cell r="M34" t="str">
            <v>c</v>
          </cell>
          <cell r="N34" t="str">
            <v>g</v>
          </cell>
          <cell r="O34">
            <v>0.99</v>
          </cell>
          <cell r="P34">
            <v>0.96</v>
          </cell>
          <cell r="Q34"/>
          <cell r="R34">
            <v>39630</v>
          </cell>
          <cell r="S34" t="str">
            <v>TOTAL</v>
          </cell>
          <cell r="T34"/>
          <cell r="U34">
            <v>0.99244667645270634</v>
          </cell>
          <cell r="V34">
            <v>0</v>
          </cell>
          <cell r="W34">
            <v>0.99244667645270634</v>
          </cell>
          <cell r="X34" t="str">
            <v/>
          </cell>
          <cell r="Y34">
            <v>0.99244667645270634</v>
          </cell>
          <cell r="Z34"/>
          <cell r="AA34"/>
          <cell r="AB34">
            <v>0</v>
          </cell>
          <cell r="AC34">
            <v>4498772</v>
          </cell>
          <cell r="AD34">
            <v>0</v>
          </cell>
          <cell r="AE34">
            <v>4498772</v>
          </cell>
          <cell r="AF34">
            <v>-1</v>
          </cell>
          <cell r="AG34">
            <v>4498772</v>
          </cell>
          <cell r="AH34">
            <v>-1</v>
          </cell>
          <cell r="AI34"/>
          <cell r="AJ34"/>
          <cell r="AK34">
            <v>0.93332183807600866</v>
          </cell>
          <cell r="AL34">
            <v>0</v>
          </cell>
          <cell r="AM34">
            <v>0.93332183807600866</v>
          </cell>
          <cell r="AN34" t="str">
            <v/>
          </cell>
          <cell r="AO34">
            <v>0.93332183807600866</v>
          </cell>
          <cell r="AP34" t="e">
            <v>#DIV/0!</v>
          </cell>
          <cell r="AQ34">
            <v>0</v>
          </cell>
          <cell r="AR34" t="e">
            <v>#DIV/0!</v>
          </cell>
        </row>
        <row r="35">
          <cell r="B35">
            <v>39661</v>
          </cell>
          <cell r="C35">
            <v>39661</v>
          </cell>
          <cell r="D35" t="str">
            <v>TOTAL</v>
          </cell>
          <cell r="E35">
            <v>0.98977076008359921</v>
          </cell>
          <cell r="F35" t="str">
            <v>c</v>
          </cell>
          <cell r="G35" t="str">
            <v>g</v>
          </cell>
          <cell r="H35" t="str">
            <v>c</v>
          </cell>
          <cell r="I35">
            <v>0.99</v>
          </cell>
          <cell r="J35">
            <v>0.96</v>
          </cell>
          <cell r="K35">
            <v>0.94013781233091953</v>
          </cell>
          <cell r="L35" t="str">
            <v>c</v>
          </cell>
          <cell r="M35" t="str">
            <v>c</v>
          </cell>
          <cell r="N35" t="str">
            <v>g</v>
          </cell>
          <cell r="O35">
            <v>0.99</v>
          </cell>
          <cell r="P35">
            <v>0.96</v>
          </cell>
          <cell r="Q35"/>
          <cell r="R35">
            <v>39661</v>
          </cell>
          <cell r="S35" t="str">
            <v>TOTAL</v>
          </cell>
          <cell r="T35"/>
          <cell r="U35">
            <v>0.98977076008359921</v>
          </cell>
          <cell r="V35">
            <v>0</v>
          </cell>
          <cell r="W35">
            <v>0.98977076008359921</v>
          </cell>
          <cell r="X35" t="str">
            <v/>
          </cell>
          <cell r="Y35">
            <v>0.98977076008359921</v>
          </cell>
          <cell r="Z35"/>
          <cell r="AA35"/>
          <cell r="AB35">
            <v>0</v>
          </cell>
          <cell r="AC35">
            <v>4650020</v>
          </cell>
          <cell r="AD35">
            <v>0</v>
          </cell>
          <cell r="AE35">
            <v>4650020</v>
          </cell>
          <cell r="AF35">
            <v>-1</v>
          </cell>
          <cell r="AG35">
            <v>4650020</v>
          </cell>
          <cell r="AH35">
            <v>-1</v>
          </cell>
          <cell r="AI35"/>
          <cell r="AJ35"/>
          <cell r="AK35">
            <v>0.94013781233091953</v>
          </cell>
          <cell r="AL35">
            <v>0</v>
          </cell>
          <cell r="AM35">
            <v>0.94013781233091953</v>
          </cell>
          <cell r="AN35" t="str">
            <v/>
          </cell>
          <cell r="AO35">
            <v>0.94013781233091953</v>
          </cell>
          <cell r="AP35" t="e">
            <v>#DIV/0!</v>
          </cell>
          <cell r="AQ35">
            <v>0</v>
          </cell>
          <cell r="AR35" t="e">
            <v>#DIV/0!</v>
          </cell>
        </row>
        <row r="36">
          <cell r="B36">
            <v>39692</v>
          </cell>
          <cell r="C36">
            <v>39692</v>
          </cell>
          <cell r="D36" t="str">
            <v>TOTAL</v>
          </cell>
          <cell r="E36">
            <v>0.98694597076613688</v>
          </cell>
          <cell r="F36" t="str">
            <v>c</v>
          </cell>
          <cell r="G36" t="str">
            <v>g</v>
          </cell>
          <cell r="H36" t="str">
            <v>c</v>
          </cell>
          <cell r="I36">
            <v>0.99</v>
          </cell>
          <cell r="J36">
            <v>0.96</v>
          </cell>
          <cell r="K36">
            <v>0.94650527857122235</v>
          </cell>
          <cell r="L36" t="str">
            <v>c</v>
          </cell>
          <cell r="M36" t="str">
            <v>c</v>
          </cell>
          <cell r="N36" t="str">
            <v>g</v>
          </cell>
          <cell r="O36">
            <v>0.99</v>
          </cell>
          <cell r="P36">
            <v>0.96</v>
          </cell>
          <cell r="Q36"/>
          <cell r="R36">
            <v>39661</v>
          </cell>
          <cell r="S36" t="str">
            <v>TOTAL</v>
          </cell>
          <cell r="T36"/>
          <cell r="U36">
            <v>0.98694597076613688</v>
          </cell>
          <cell r="V36">
            <v>0</v>
          </cell>
          <cell r="W36">
            <v>0.98694597076613688</v>
          </cell>
          <cell r="X36" t="str">
            <v/>
          </cell>
          <cell r="Y36">
            <v>0.98694597076613688</v>
          </cell>
          <cell r="Z36"/>
          <cell r="AA36"/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 t="e">
            <v>#DIV/0!</v>
          </cell>
          <cell r="AG36">
            <v>0</v>
          </cell>
          <cell r="AH36" t="e">
            <v>#DIV/0!</v>
          </cell>
          <cell r="AI36"/>
          <cell r="AJ36"/>
          <cell r="AK36">
            <v>0.94650527857122235</v>
          </cell>
          <cell r="AL36">
            <v>0</v>
          </cell>
          <cell r="AM36">
            <v>0.94650527857122235</v>
          </cell>
          <cell r="AN36" t="str">
            <v/>
          </cell>
          <cell r="AO36">
            <v>0.94650527857122235</v>
          </cell>
          <cell r="AP36" t="e">
            <v>#DIV/0!</v>
          </cell>
          <cell r="AQ36">
            <v>0</v>
          </cell>
          <cell r="AR36" t="e">
            <v>#DIV/0!</v>
          </cell>
        </row>
        <row r="37">
          <cell r="B37">
            <v>39722</v>
          </cell>
          <cell r="C37">
            <v>39722</v>
          </cell>
          <cell r="D37" t="str">
            <v>TOTAL</v>
          </cell>
          <cell r="E37">
            <v>0.98799102528993932</v>
          </cell>
          <cell r="F37" t="str">
            <v>c</v>
          </cell>
          <cell r="G37" t="str">
            <v>g</v>
          </cell>
          <cell r="H37" t="str">
            <v>c</v>
          </cell>
          <cell r="I37">
            <v>0.99</v>
          </cell>
          <cell r="J37">
            <v>0.96</v>
          </cell>
          <cell r="K37">
            <v>0.95261420653461604</v>
          </cell>
          <cell r="L37" t="str">
            <v>c</v>
          </cell>
          <cell r="M37" t="str">
            <v>c</v>
          </cell>
          <cell r="N37" t="str">
            <v>g</v>
          </cell>
          <cell r="O37">
            <v>0.99</v>
          </cell>
          <cell r="P37">
            <v>0.96</v>
          </cell>
          <cell r="Q37"/>
          <cell r="R37">
            <v>39722</v>
          </cell>
          <cell r="S37" t="str">
            <v>TOTAL</v>
          </cell>
          <cell r="T37"/>
          <cell r="U37">
            <v>0.98799102528993932</v>
          </cell>
          <cell r="V37">
            <v>0</v>
          </cell>
          <cell r="W37">
            <v>0.98799102528993932</v>
          </cell>
          <cell r="X37" t="str">
            <v/>
          </cell>
          <cell r="Y37">
            <v>0.98799102528993932</v>
          </cell>
          <cell r="Z37" t="e">
            <v>#DIV/0!</v>
          </cell>
          <cell r="AA37"/>
          <cell r="AB37">
            <v>0</v>
          </cell>
          <cell r="AC37">
            <v>7683341.1000000015</v>
          </cell>
          <cell r="AD37">
            <v>0</v>
          </cell>
          <cell r="AE37">
            <v>7683341.1000000015</v>
          </cell>
          <cell r="AF37">
            <v>-1</v>
          </cell>
          <cell r="AG37">
            <v>7683341.1000000015</v>
          </cell>
          <cell r="AH37">
            <v>-1</v>
          </cell>
          <cell r="AI37"/>
          <cell r="AJ37"/>
          <cell r="AK37">
            <v>0.95261420653461604</v>
          </cell>
          <cell r="AL37">
            <v>0</v>
          </cell>
          <cell r="AM37">
            <v>0.95261420653461604</v>
          </cell>
          <cell r="AN37" t="str">
            <v/>
          </cell>
          <cell r="AO37">
            <v>0.95261420653461604</v>
          </cell>
          <cell r="AP37" t="e">
            <v>#DIV/0!</v>
          </cell>
          <cell r="AQ37">
            <v>0</v>
          </cell>
          <cell r="AR37" t="e">
            <v>#DIV/0!</v>
          </cell>
        </row>
        <row r="38">
          <cell r="B38">
            <v>39753</v>
          </cell>
          <cell r="C38">
            <v>39753</v>
          </cell>
          <cell r="D38" t="str">
            <v>TOTAL</v>
          </cell>
          <cell r="E38">
            <v>0.98862367448479593</v>
          </cell>
          <cell r="F38" t="str">
            <v>c</v>
          </cell>
          <cell r="G38" t="str">
            <v>g</v>
          </cell>
          <cell r="H38" t="str">
            <v>c</v>
          </cell>
          <cell r="I38">
            <v>0.99</v>
          </cell>
          <cell r="J38">
            <v>0.96</v>
          </cell>
          <cell r="K38">
            <v>0.95613503168659097</v>
          </cell>
          <cell r="L38" t="str">
            <v>c</v>
          </cell>
          <cell r="M38" t="str">
            <v>c</v>
          </cell>
          <cell r="N38" t="str">
            <v>g</v>
          </cell>
          <cell r="O38">
            <v>0.99</v>
          </cell>
          <cell r="P38">
            <v>0.96</v>
          </cell>
          <cell r="Q38"/>
          <cell r="R38">
            <v>39753</v>
          </cell>
          <cell r="S38" t="str">
            <v>TOTAL</v>
          </cell>
          <cell r="T38"/>
          <cell r="U38">
            <v>0.98862367448479593</v>
          </cell>
          <cell r="V38">
            <v>0</v>
          </cell>
          <cell r="W38">
            <v>0.98862367448479593</v>
          </cell>
          <cell r="X38" t="str">
            <v/>
          </cell>
          <cell r="Y38">
            <v>0.98862367448479593</v>
          </cell>
          <cell r="Z38" t="e">
            <v>#DIV/0!</v>
          </cell>
          <cell r="AA38"/>
          <cell r="AB38">
            <v>0</v>
          </cell>
          <cell r="AC38">
            <v>5658156.0000000075</v>
          </cell>
          <cell r="AD38">
            <v>0</v>
          </cell>
          <cell r="AE38">
            <v>5658156.0000000075</v>
          </cell>
          <cell r="AF38">
            <v>-1</v>
          </cell>
          <cell r="AG38">
            <v>5658156.0000000075</v>
          </cell>
          <cell r="AH38">
            <v>-1</v>
          </cell>
          <cell r="AI38"/>
          <cell r="AJ38"/>
          <cell r="AK38">
            <v>0.95613503168659097</v>
          </cell>
          <cell r="AL38">
            <v>0</v>
          </cell>
          <cell r="AM38">
            <v>0.95613503168659097</v>
          </cell>
          <cell r="AN38" t="str">
            <v/>
          </cell>
          <cell r="AO38">
            <v>0.95613503168659097</v>
          </cell>
          <cell r="AP38" t="e">
            <v>#DIV/0!</v>
          </cell>
          <cell r="AQ38">
            <v>0</v>
          </cell>
          <cell r="AR38" t="e">
            <v>#DIV/0!</v>
          </cell>
        </row>
        <row r="39">
          <cell r="B39">
            <v>39783</v>
          </cell>
          <cell r="C39">
            <v>39783</v>
          </cell>
          <cell r="D39" t="str">
            <v>TOTAL</v>
          </cell>
          <cell r="E39">
            <v>0.99367056735738524</v>
          </cell>
          <cell r="F39" t="str">
            <v>g</v>
          </cell>
          <cell r="G39" t="str">
            <v>c</v>
          </cell>
          <cell r="H39" t="str">
            <v>c</v>
          </cell>
          <cell r="I39">
            <v>0.99</v>
          </cell>
          <cell r="J39">
            <v>0.96</v>
          </cell>
          <cell r="K39">
            <v>0.95939675550605086</v>
          </cell>
          <cell r="L39" t="str">
            <v>c</v>
          </cell>
          <cell r="M39" t="str">
            <v>c</v>
          </cell>
          <cell r="N39" t="str">
            <v>g</v>
          </cell>
          <cell r="O39">
            <v>0.99</v>
          </cell>
          <cell r="P39">
            <v>0.96</v>
          </cell>
          <cell r="Q39"/>
          <cell r="R39">
            <v>39783</v>
          </cell>
          <cell r="S39" t="str">
            <v>TOTAL</v>
          </cell>
          <cell r="T39"/>
          <cell r="U39">
            <v>0.99367056735738524</v>
          </cell>
          <cell r="V39">
            <v>0</v>
          </cell>
          <cell r="W39">
            <v>0.99367056735738524</v>
          </cell>
          <cell r="X39" t="str">
            <v/>
          </cell>
          <cell r="Y39">
            <v>0.99367056735738524</v>
          </cell>
          <cell r="Z39" t="e">
            <v>#DIV/0!</v>
          </cell>
          <cell r="AA39"/>
          <cell r="AB39">
            <v>0</v>
          </cell>
          <cell r="AC39">
            <v>5535328</v>
          </cell>
          <cell r="AD39">
            <v>0</v>
          </cell>
          <cell r="AE39">
            <v>5535328</v>
          </cell>
          <cell r="AF39">
            <v>-1</v>
          </cell>
          <cell r="AG39">
            <v>5535328</v>
          </cell>
          <cell r="AH39">
            <v>-1</v>
          </cell>
          <cell r="AI39"/>
          <cell r="AJ39"/>
          <cell r="AK39">
            <v>0.95939675550605086</v>
          </cell>
          <cell r="AL39">
            <v>0</v>
          </cell>
          <cell r="AM39">
            <v>0.95939675550605086</v>
          </cell>
          <cell r="AN39" t="str">
            <v/>
          </cell>
          <cell r="AO39">
            <v>0.95939675550605086</v>
          </cell>
          <cell r="AP39" t="e">
            <v>#DIV/0!</v>
          </cell>
          <cell r="AQ39">
            <v>0</v>
          </cell>
          <cell r="AR39" t="e">
            <v>#DIV/0!</v>
          </cell>
        </row>
        <row r="40">
          <cell r="B40">
            <v>39814</v>
          </cell>
          <cell r="C40"/>
          <cell r="D40" t="str">
            <v>TOTAL</v>
          </cell>
          <cell r="E40" t="str">
            <v/>
          </cell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  <cell r="L40" t="str">
            <v/>
          </cell>
          <cell r="M40" t="str">
            <v/>
          </cell>
          <cell r="N40" t="str">
            <v/>
          </cell>
          <cell r="O40" t="str">
            <v/>
          </cell>
          <cell r="P40" t="str">
            <v/>
          </cell>
          <cell r="Q40"/>
          <cell r="R40">
            <v>39814</v>
          </cell>
          <cell r="S40" t="str">
            <v>TOTAL</v>
          </cell>
          <cell r="T40">
            <v>0.68850189937242778</v>
          </cell>
          <cell r="U40" t="str">
            <v/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 t="str">
            <v/>
          </cell>
          <cell r="AA40"/>
          <cell r="AB40">
            <v>4572176.8</v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/>
          <cell r="AJ40">
            <v>0.68850189937242778</v>
          </cell>
          <cell r="AK40" t="str">
            <v/>
          </cell>
          <cell r="AL40" t="str">
            <v/>
          </cell>
          <cell r="AM40" t="str">
            <v/>
          </cell>
          <cell r="AN40" t="str">
            <v/>
          </cell>
          <cell r="AO40" t="str">
            <v/>
          </cell>
          <cell r="AP40" t="str">
            <v/>
          </cell>
          <cell r="AQ40">
            <v>0</v>
          </cell>
          <cell r="AR40" t="str">
            <v/>
          </cell>
        </row>
        <row r="41">
          <cell r="B41">
            <v>39845</v>
          </cell>
          <cell r="C41"/>
          <cell r="D41" t="str">
            <v>TOTAL</v>
          </cell>
          <cell r="E41" t="str">
            <v/>
          </cell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  <cell r="J41" t="str">
            <v/>
          </cell>
          <cell r="K41" t="str">
            <v/>
          </cell>
          <cell r="L41" t="str">
            <v/>
          </cell>
          <cell r="M41" t="str">
            <v/>
          </cell>
          <cell r="N41" t="str">
            <v/>
          </cell>
          <cell r="O41"/>
          <cell r="P41"/>
          <cell r="Q41"/>
          <cell r="R41">
            <v>39845</v>
          </cell>
          <cell r="S41" t="str">
            <v>TOTAL</v>
          </cell>
          <cell r="T41">
            <v>1.0006995816649453</v>
          </cell>
          <cell r="U41" t="str">
            <v/>
          </cell>
          <cell r="V41" t="str">
            <v/>
          </cell>
          <cell r="W41" t="str">
            <v/>
          </cell>
          <cell r="X41" t="str">
            <v/>
          </cell>
          <cell r="Y41" t="str">
            <v/>
          </cell>
          <cell r="Z41" t="str">
            <v/>
          </cell>
          <cell r="AA41"/>
          <cell r="AB41">
            <v>6247399.9100000011</v>
          </cell>
          <cell r="AC41" t="str">
            <v/>
          </cell>
          <cell r="AD41" t="str">
            <v/>
          </cell>
          <cell r="AE41" t="str">
            <v/>
          </cell>
          <cell r="AF41" t="str">
            <v/>
          </cell>
          <cell r="AG41" t="str">
            <v/>
          </cell>
          <cell r="AH41" t="str">
            <v/>
          </cell>
          <cell r="AI41"/>
          <cell r="AJ41">
            <v>0.83978189376082724</v>
          </cell>
          <cell r="AK41" t="str">
            <v/>
          </cell>
          <cell r="AL41" t="str">
            <v/>
          </cell>
          <cell r="AM41" t="str">
            <v/>
          </cell>
          <cell r="AN41" t="str">
            <v/>
          </cell>
          <cell r="AO41" t="str">
            <v/>
          </cell>
          <cell r="AP41" t="str">
            <v/>
          </cell>
          <cell r="AQ41">
            <v>0</v>
          </cell>
          <cell r="AR41"/>
        </row>
        <row r="42">
          <cell r="B42">
            <v>39873</v>
          </cell>
          <cell r="C42"/>
          <cell r="D42" t="str">
            <v>TOTAL</v>
          </cell>
          <cell r="E42" t="str">
            <v/>
          </cell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  <cell r="J42" t="str">
            <v/>
          </cell>
          <cell r="K42" t="str">
            <v/>
          </cell>
          <cell r="L42" t="str">
            <v/>
          </cell>
          <cell r="M42" t="str">
            <v/>
          </cell>
          <cell r="N42" t="str">
            <v/>
          </cell>
          <cell r="O42"/>
          <cell r="P42"/>
          <cell r="Q42"/>
          <cell r="R42">
            <v>39873</v>
          </cell>
          <cell r="S42" t="str">
            <v>TOTAL</v>
          </cell>
          <cell r="T42">
            <v>0.98716195740985246</v>
          </cell>
          <cell r="U42" t="str">
            <v/>
          </cell>
          <cell r="V42" t="str">
            <v/>
          </cell>
          <cell r="W42" t="str">
            <v/>
          </cell>
          <cell r="X42" t="str">
            <v/>
          </cell>
          <cell r="Y42" t="str">
            <v/>
          </cell>
          <cell r="Z42" t="str">
            <v/>
          </cell>
          <cell r="AA42"/>
          <cell r="AB42">
            <v>4032910</v>
          </cell>
          <cell r="AC42" t="str">
            <v/>
          </cell>
          <cell r="AD42" t="str">
            <v/>
          </cell>
          <cell r="AE42" t="str">
            <v/>
          </cell>
          <cell r="AF42" t="str">
            <v/>
          </cell>
          <cell r="AG42" t="str">
            <v/>
          </cell>
          <cell r="AH42" t="str">
            <v/>
          </cell>
          <cell r="AI42"/>
          <cell r="AJ42">
            <v>0.87526394561097143</v>
          </cell>
          <cell r="AK42" t="str">
            <v/>
          </cell>
          <cell r="AL42" t="str">
            <v/>
          </cell>
          <cell r="AM42" t="str">
            <v/>
          </cell>
          <cell r="AN42" t="str">
            <v/>
          </cell>
          <cell r="AO42" t="str">
            <v/>
          </cell>
          <cell r="AP42" t="str">
            <v/>
          </cell>
          <cell r="AQ42">
            <v>0</v>
          </cell>
          <cell r="AR42"/>
        </row>
        <row r="43">
          <cell r="B43">
            <v>39904</v>
          </cell>
          <cell r="C43"/>
          <cell r="D43" t="str">
            <v>TOTAL</v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 t="str">
            <v/>
          </cell>
          <cell r="L43" t="str">
            <v/>
          </cell>
          <cell r="M43" t="str">
            <v/>
          </cell>
          <cell r="N43" t="str">
            <v/>
          </cell>
          <cell r="O43"/>
          <cell r="P43"/>
          <cell r="Q43"/>
          <cell r="R43">
            <v>39904</v>
          </cell>
          <cell r="S43" t="str">
            <v>TOTAL</v>
          </cell>
          <cell r="T43">
            <v>0.98565234180881889</v>
          </cell>
          <cell r="U43" t="str">
            <v/>
          </cell>
          <cell r="V43" t="str">
            <v/>
          </cell>
          <cell r="W43" t="str">
            <v/>
          </cell>
          <cell r="X43" t="str">
            <v/>
          </cell>
          <cell r="Y43" t="str">
            <v/>
          </cell>
          <cell r="Z43" t="str">
            <v/>
          </cell>
          <cell r="AA43"/>
          <cell r="AB43">
            <v>5000237</v>
          </cell>
          <cell r="AC43" t="str">
            <v/>
          </cell>
          <cell r="AD43" t="str">
            <v/>
          </cell>
          <cell r="AE43" t="str">
            <v/>
          </cell>
          <cell r="AF43" t="str">
            <v/>
          </cell>
          <cell r="AG43" t="str">
            <v/>
          </cell>
          <cell r="AH43" t="str">
            <v/>
          </cell>
          <cell r="AI43"/>
          <cell r="AJ43">
            <v>0.90066991754084291</v>
          </cell>
          <cell r="AK43" t="str">
            <v/>
          </cell>
          <cell r="AL43" t="str">
            <v/>
          </cell>
          <cell r="AM43" t="str">
            <v/>
          </cell>
          <cell r="AN43" t="str">
            <v/>
          </cell>
          <cell r="AO43" t="str">
            <v/>
          </cell>
          <cell r="AP43" t="str">
            <v/>
          </cell>
          <cell r="AQ43">
            <v>0</v>
          </cell>
          <cell r="AR43"/>
        </row>
        <row r="44">
          <cell r="B44">
            <v>39934</v>
          </cell>
          <cell r="C44"/>
          <cell r="D44" t="str">
            <v>TOTAL</v>
          </cell>
          <cell r="E44" t="str">
            <v/>
          </cell>
          <cell r="F44" t="str">
            <v/>
          </cell>
          <cell r="G44" t="str">
            <v/>
          </cell>
          <cell r="H44" t="str">
            <v/>
          </cell>
          <cell r="I44" t="str">
            <v/>
          </cell>
          <cell r="J44" t="str">
            <v/>
          </cell>
          <cell r="K44" t="str">
            <v/>
          </cell>
          <cell r="L44" t="str">
            <v/>
          </cell>
          <cell r="M44" t="str">
            <v/>
          </cell>
          <cell r="N44" t="str">
            <v/>
          </cell>
          <cell r="O44"/>
          <cell r="P44"/>
          <cell r="Q44"/>
          <cell r="R44">
            <v>39934</v>
          </cell>
          <cell r="S44" t="str">
            <v>TOTAL</v>
          </cell>
          <cell r="T44">
            <v>0.9922995936286364</v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  <cell r="AA44"/>
          <cell r="AB44">
            <v>3705162.9999999963</v>
          </cell>
          <cell r="AC44" t="str">
            <v/>
          </cell>
          <cell r="AD44" t="str">
            <v/>
          </cell>
          <cell r="AE44" t="str">
            <v/>
          </cell>
          <cell r="AF44" t="str">
            <v/>
          </cell>
          <cell r="AG44" t="str">
            <v/>
          </cell>
          <cell r="AH44" t="str">
            <v/>
          </cell>
          <cell r="AI44"/>
          <cell r="AJ44">
            <v>0.91394336117469288</v>
          </cell>
          <cell r="AK44" t="str">
            <v/>
          </cell>
          <cell r="AL44" t="str">
            <v/>
          </cell>
          <cell r="AM44" t="str">
            <v/>
          </cell>
          <cell r="AN44" t="str">
            <v/>
          </cell>
          <cell r="AO44" t="str">
            <v/>
          </cell>
          <cell r="AP44" t="str">
            <v/>
          </cell>
          <cell r="AQ44">
            <v>0</v>
          </cell>
          <cell r="AR44"/>
        </row>
        <row r="45">
          <cell r="B45">
            <v>39965</v>
          </cell>
          <cell r="C45"/>
          <cell r="D45" t="str">
            <v>TOTAL</v>
          </cell>
          <cell r="E45" t="str">
            <v/>
          </cell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  <cell r="M45" t="str">
            <v/>
          </cell>
          <cell r="N45" t="str">
            <v/>
          </cell>
          <cell r="O45"/>
          <cell r="P45"/>
          <cell r="Q45"/>
          <cell r="R45">
            <v>39965</v>
          </cell>
          <cell r="S45" t="str">
            <v>TOTAL</v>
          </cell>
          <cell r="T45">
            <v>0.99265293100378649</v>
          </cell>
          <cell r="U45" t="str">
            <v/>
          </cell>
          <cell r="V45" t="str">
            <v/>
          </cell>
          <cell r="W45" t="str">
            <v/>
          </cell>
          <cell r="X45" t="str">
            <v/>
          </cell>
          <cell r="Y45" t="str">
            <v/>
          </cell>
          <cell r="Z45" t="str">
            <v/>
          </cell>
          <cell r="AA45"/>
          <cell r="AB45">
            <v>3872961.7790000029</v>
          </cell>
          <cell r="AC45" t="str">
            <v/>
          </cell>
          <cell r="AD45" t="str">
            <v/>
          </cell>
          <cell r="AE45" t="str">
            <v/>
          </cell>
          <cell r="AF45" t="str">
            <v/>
          </cell>
          <cell r="AG45" t="str">
            <v/>
          </cell>
          <cell r="AH45" t="str">
            <v/>
          </cell>
          <cell r="AI45"/>
          <cell r="AJ45">
            <v>0.92429103715367744</v>
          </cell>
          <cell r="AK45" t="str">
            <v/>
          </cell>
          <cell r="AL45" t="str">
            <v/>
          </cell>
          <cell r="AM45" t="str">
            <v/>
          </cell>
          <cell r="AN45" t="str">
            <v/>
          </cell>
          <cell r="AO45" t="str">
            <v/>
          </cell>
          <cell r="AP45" t="str">
            <v/>
          </cell>
          <cell r="AQ45">
            <v>0</v>
          </cell>
          <cell r="AR45"/>
        </row>
        <row r="46">
          <cell r="B46">
            <v>39995</v>
          </cell>
          <cell r="C46"/>
          <cell r="D46" t="str">
            <v>TOTAL</v>
          </cell>
          <cell r="E46" t="str">
            <v/>
          </cell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  <cell r="M46" t="str">
            <v/>
          </cell>
          <cell r="N46" t="str">
            <v/>
          </cell>
          <cell r="O46"/>
          <cell r="P46"/>
          <cell r="Q46"/>
          <cell r="R46">
            <v>39995</v>
          </cell>
          <cell r="S46" t="str">
            <v>TOTAL</v>
          </cell>
          <cell r="T46">
            <v>0.99244667645270634</v>
          </cell>
          <cell r="U46" t="str">
            <v/>
          </cell>
          <cell r="V46" t="str">
            <v/>
          </cell>
          <cell r="W46" t="str">
            <v/>
          </cell>
          <cell r="X46" t="str">
            <v/>
          </cell>
          <cell r="Y46" t="str">
            <v/>
          </cell>
          <cell r="Z46" t="str">
            <v/>
          </cell>
          <cell r="AA46"/>
          <cell r="AB46">
            <v>4498772</v>
          </cell>
          <cell r="AC46" t="str">
            <v/>
          </cell>
          <cell r="AD46" t="str">
            <v/>
          </cell>
          <cell r="AE46" t="str">
            <v/>
          </cell>
          <cell r="AF46" t="str">
            <v/>
          </cell>
          <cell r="AG46" t="str">
            <v/>
          </cell>
          <cell r="AH46" t="str">
            <v/>
          </cell>
          <cell r="AI46"/>
          <cell r="AJ46">
            <v>0.93332183807600866</v>
          </cell>
          <cell r="AK46" t="str">
            <v/>
          </cell>
          <cell r="AL46" t="str">
            <v/>
          </cell>
          <cell r="AM46" t="str">
            <v/>
          </cell>
          <cell r="AN46" t="str">
            <v/>
          </cell>
          <cell r="AO46" t="str">
            <v/>
          </cell>
          <cell r="AP46" t="str">
            <v/>
          </cell>
          <cell r="AQ46">
            <v>0</v>
          </cell>
          <cell r="AR46"/>
        </row>
        <row r="47">
          <cell r="R47">
            <v>40026</v>
          </cell>
          <cell r="S47" t="str">
            <v>TOTAL</v>
          </cell>
          <cell r="T47">
            <v>0.98977076008359921</v>
          </cell>
          <cell r="U47" t="str">
            <v/>
          </cell>
          <cell r="V47" t="str">
            <v/>
          </cell>
          <cell r="W47" t="str">
            <v/>
          </cell>
          <cell r="X47" t="str">
            <v/>
          </cell>
          <cell r="Y47" t="str">
            <v/>
          </cell>
          <cell r="Z47" t="str">
            <v/>
          </cell>
          <cell r="AA47"/>
          <cell r="AB47">
            <v>4650020</v>
          </cell>
          <cell r="AC47" t="str">
            <v/>
          </cell>
          <cell r="AD47" t="str">
            <v/>
          </cell>
          <cell r="AE47" t="str">
            <v/>
          </cell>
          <cell r="AF47" t="str">
            <v/>
          </cell>
          <cell r="AG47" t="str">
            <v/>
          </cell>
          <cell r="AH47" t="str">
            <v/>
          </cell>
          <cell r="AI47"/>
          <cell r="AJ47">
            <v>0.94013781233091953</v>
          </cell>
          <cell r="AK47" t="str">
            <v/>
          </cell>
          <cell r="AL47" t="str">
            <v/>
          </cell>
          <cell r="AM47" t="str">
            <v/>
          </cell>
          <cell r="AN47" t="str">
            <v/>
          </cell>
          <cell r="AO47" t="str">
            <v/>
          </cell>
          <cell r="AP47" t="str">
            <v/>
          </cell>
          <cell r="AQ47">
            <v>0</v>
          </cell>
          <cell r="AR47"/>
        </row>
        <row r="48">
          <cell r="R48">
            <v>40057</v>
          </cell>
          <cell r="S48" t="str">
            <v>TOTAL</v>
          </cell>
          <cell r="T48">
            <v>0.98694597076613688</v>
          </cell>
          <cell r="U48" t="str">
            <v/>
          </cell>
          <cell r="V48" t="str">
            <v/>
          </cell>
          <cell r="W48" t="str">
            <v/>
          </cell>
          <cell r="X48" t="str">
            <v/>
          </cell>
          <cell r="Y48" t="str">
            <v/>
          </cell>
          <cell r="Z48" t="str">
            <v/>
          </cell>
          <cell r="AA48"/>
          <cell r="AB48">
            <v>0</v>
          </cell>
          <cell r="AC48" t="str">
            <v/>
          </cell>
          <cell r="AD48" t="str">
            <v/>
          </cell>
          <cell r="AE48" t="str">
            <v/>
          </cell>
          <cell r="AF48" t="str">
            <v/>
          </cell>
          <cell r="AG48" t="str">
            <v/>
          </cell>
          <cell r="AH48" t="str">
            <v/>
          </cell>
          <cell r="AI48"/>
          <cell r="AJ48">
            <v>0.94650527857122235</v>
          </cell>
          <cell r="AK48" t="str">
            <v/>
          </cell>
          <cell r="AL48" t="str">
            <v/>
          </cell>
          <cell r="AM48" t="str">
            <v/>
          </cell>
          <cell r="AN48" t="str">
            <v/>
          </cell>
          <cell r="AO48" t="str">
            <v/>
          </cell>
          <cell r="AP48" t="str">
            <v/>
          </cell>
          <cell r="AQ48">
            <v>0</v>
          </cell>
          <cell r="AR48"/>
        </row>
        <row r="49">
          <cell r="R49">
            <v>40087</v>
          </cell>
          <cell r="S49" t="str">
            <v>TOTAL</v>
          </cell>
          <cell r="T49">
            <v>0.98799102528993932</v>
          </cell>
          <cell r="U49" t="str">
            <v/>
          </cell>
          <cell r="V49" t="str">
            <v/>
          </cell>
          <cell r="W49" t="str">
            <v/>
          </cell>
          <cell r="X49" t="str">
            <v/>
          </cell>
          <cell r="Y49" t="str">
            <v/>
          </cell>
          <cell r="Z49" t="str">
            <v/>
          </cell>
          <cell r="AA49"/>
          <cell r="AB49">
            <v>7683341.1000000015</v>
          </cell>
          <cell r="AC49" t="str">
            <v/>
          </cell>
          <cell r="AD49" t="str">
            <v/>
          </cell>
          <cell r="AE49" t="str">
            <v/>
          </cell>
          <cell r="AF49" t="str">
            <v/>
          </cell>
          <cell r="AG49" t="str">
            <v/>
          </cell>
          <cell r="AH49" t="str">
            <v/>
          </cell>
          <cell r="AI49"/>
          <cell r="AJ49">
            <v>0.95261420653461604</v>
          </cell>
          <cell r="AK49" t="str">
            <v/>
          </cell>
          <cell r="AL49" t="str">
            <v/>
          </cell>
          <cell r="AM49" t="str">
            <v/>
          </cell>
          <cell r="AN49" t="str">
            <v/>
          </cell>
          <cell r="AO49" t="str">
            <v/>
          </cell>
          <cell r="AP49" t="str">
            <v/>
          </cell>
          <cell r="AQ49">
            <v>0</v>
          </cell>
          <cell r="AR49"/>
        </row>
        <row r="50">
          <cell r="R50">
            <v>40118</v>
          </cell>
          <cell r="S50"/>
          <cell r="T50"/>
          <cell r="U50"/>
          <cell r="V50"/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 t="str">
            <v/>
          </cell>
          <cell r="AL50" t="str">
            <v/>
          </cell>
          <cell r="AM50"/>
          <cell r="AN50"/>
          <cell r="AO50"/>
          <cell r="AP50"/>
          <cell r="AQ50">
            <v>0</v>
          </cell>
          <cell r="AR50"/>
        </row>
        <row r="51">
          <cell r="R51">
            <v>40148</v>
          </cell>
          <cell r="S51"/>
          <cell r="T51"/>
          <cell r="U51"/>
          <cell r="V51"/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 t="str">
            <v/>
          </cell>
          <cell r="AL51" t="str">
            <v/>
          </cell>
          <cell r="AM51"/>
          <cell r="AN51"/>
          <cell r="AO51"/>
          <cell r="AP51"/>
          <cell r="AQ51">
            <v>0</v>
          </cell>
          <cell r="AR51"/>
        </row>
      </sheetData>
      <sheetData sheetId="40"/>
      <sheetData sheetId="41">
        <row r="13">
          <cell r="B13"/>
          <cell r="C13"/>
          <cell r="D13"/>
          <cell r="E13" t="str">
            <v>Mensual</v>
          </cell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Acumulado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  <cell r="Z13" t="str">
            <v>Mes</v>
          </cell>
          <cell r="AA13"/>
          <cell r="AB13"/>
          <cell r="AC13"/>
          <cell r="AD13"/>
        </row>
        <row r="14">
          <cell r="B14"/>
          <cell r="C14"/>
          <cell r="D14"/>
          <cell r="E14" t="str">
            <v>Meses</v>
          </cell>
          <cell r="F14" t="str">
            <v>Cobertura de Inventarios de productos  Terminados</v>
          </cell>
          <cell r="G14"/>
          <cell r="H14"/>
          <cell r="I14"/>
          <cell r="J14"/>
          <cell r="K14"/>
          <cell r="L14"/>
          <cell r="M14"/>
          <cell r="N14"/>
          <cell r="O14" t="str">
            <v>Meses</v>
          </cell>
          <cell r="P14" t="str">
            <v>Cobertura de Inventarios de productos  Terminados</v>
          </cell>
          <cell r="Q14"/>
          <cell r="R14"/>
          <cell r="S14"/>
          <cell r="T14"/>
          <cell r="U14"/>
          <cell r="V14"/>
          <cell r="W14"/>
          <cell r="X14"/>
          <cell r="Y14"/>
          <cell r="Z14"/>
          <cell r="AA14"/>
          <cell r="AB14" t="str">
            <v>Cobertura de Inventarios de productos  Terminados</v>
          </cell>
          <cell r="AC14"/>
          <cell r="AD14"/>
        </row>
        <row r="15">
          <cell r="B15"/>
          <cell r="C15" t="str">
            <v>Fecha</v>
          </cell>
          <cell r="D15" t="str">
            <v>TIPO2</v>
          </cell>
          <cell r="E15"/>
          <cell r="F15" t="str">
            <v>Performance</v>
          </cell>
          <cell r="G15"/>
          <cell r="H15"/>
          <cell r="I15"/>
          <cell r="J15"/>
          <cell r="K15" t="str">
            <v>Sup
Sup</v>
          </cell>
          <cell r="L15" t="str">
            <v>Sup 
Inf</v>
          </cell>
          <cell r="M15" t="str">
            <v>Inf 
Sup</v>
          </cell>
          <cell r="N15" t="str">
            <v>Inf
Inf</v>
          </cell>
          <cell r="O15"/>
          <cell r="P15" t="str">
            <v>Performance</v>
          </cell>
          <cell r="Q15"/>
          <cell r="R15"/>
          <cell r="S15"/>
          <cell r="T15"/>
          <cell r="U15" t="str">
            <v>Sup
Sup</v>
          </cell>
          <cell r="V15" t="str">
            <v>Sup 
Inf</v>
          </cell>
          <cell r="W15" t="str">
            <v>Inf 
Sup</v>
          </cell>
          <cell r="X15" t="str">
            <v>Inf
Inf</v>
          </cell>
          <cell r="Y15"/>
          <cell r="Z15" t="str">
            <v>Fecha</v>
          </cell>
          <cell r="AA15" t="str">
            <v>TIPO2</v>
          </cell>
          <cell r="AB15" t="str">
            <v>Anteriores</v>
          </cell>
          <cell r="AC15" t="str">
            <v>Real</v>
          </cell>
          <cell r="AD15" t="str">
            <v>Programdo</v>
          </cell>
        </row>
        <row r="16">
          <cell r="B16">
            <v>39083</v>
          </cell>
          <cell r="C16">
            <v>39083</v>
          </cell>
          <cell r="D16" t="str">
            <v>TOTAL</v>
          </cell>
          <cell r="E16"/>
          <cell r="F16" t="str">
            <v/>
          </cell>
          <cell r="G16" t="str">
            <v/>
          </cell>
          <cell r="H16"/>
          <cell r="I16"/>
          <cell r="J16" t="str">
            <v/>
          </cell>
          <cell r="K16">
            <v>1.1000000000000001</v>
          </cell>
          <cell r="L16">
            <v>0.9</v>
          </cell>
          <cell r="M16">
            <v>0.5</v>
          </cell>
          <cell r="N16">
            <v>0.4</v>
          </cell>
          <cell r="O16"/>
          <cell r="P16" t="str">
            <v/>
          </cell>
          <cell r="Q16" t="str">
            <v/>
          </cell>
          <cell r="R16"/>
          <cell r="S16"/>
          <cell r="T16" t="str">
            <v/>
          </cell>
          <cell r="U16">
            <v>1.1000000000000001</v>
          </cell>
          <cell r="V16">
            <v>0.9</v>
          </cell>
          <cell r="W16">
            <v>0.5</v>
          </cell>
          <cell r="X16">
            <v>0.4</v>
          </cell>
          <cell r="Y16"/>
          <cell r="Z16">
            <v>39083</v>
          </cell>
          <cell r="AA16" t="str">
            <v>TOTAL</v>
          </cell>
          <cell r="AB16"/>
          <cell r="AC16">
            <v>0</v>
          </cell>
          <cell r="AD16">
            <v>0</v>
          </cell>
          <cell r="AE16">
            <v>0</v>
          </cell>
          <cell r="AF16"/>
          <cell r="AG16">
            <v>0</v>
          </cell>
          <cell r="AH16" t="e">
            <v>#DIV/0!</v>
          </cell>
          <cell r="AI16"/>
          <cell r="AJ16"/>
          <cell r="AK16">
            <v>0</v>
          </cell>
          <cell r="AL16">
            <v>4000</v>
          </cell>
          <cell r="AM16">
            <v>0</v>
          </cell>
          <cell r="AN16" t="e">
            <v>#DIV/0!</v>
          </cell>
          <cell r="AO16">
            <v>-4000</v>
          </cell>
          <cell r="AP16" t="e">
            <v>#DIV/0!</v>
          </cell>
          <cell r="AQ16"/>
          <cell r="AR16"/>
          <cell r="AS16">
            <v>0</v>
          </cell>
          <cell r="AT16">
            <v>0</v>
          </cell>
          <cell r="AU16">
            <v>0</v>
          </cell>
          <cell r="AV16"/>
          <cell r="AW16">
            <v>0</v>
          </cell>
          <cell r="AX16"/>
          <cell r="AY16">
            <v>0</v>
          </cell>
          <cell r="AZ16" t="e">
            <v>#DIV/0!</v>
          </cell>
        </row>
        <row r="17">
          <cell r="B17">
            <v>39114</v>
          </cell>
          <cell r="C17">
            <v>39114</v>
          </cell>
          <cell r="D17" t="str">
            <v>TOTAL</v>
          </cell>
          <cell r="E17"/>
          <cell r="F17" t="str">
            <v/>
          </cell>
          <cell r="G17" t="str">
            <v/>
          </cell>
          <cell r="H17"/>
          <cell r="I17"/>
          <cell r="J17" t="str">
            <v/>
          </cell>
          <cell r="K17">
            <v>1.1000000000000001</v>
          </cell>
          <cell r="L17">
            <v>0.9</v>
          </cell>
          <cell r="M17">
            <v>0.5</v>
          </cell>
          <cell r="N17">
            <v>0.4</v>
          </cell>
          <cell r="O17"/>
          <cell r="P17" t="str">
            <v/>
          </cell>
          <cell r="Q17" t="str">
            <v/>
          </cell>
          <cell r="R17"/>
          <cell r="S17"/>
          <cell r="T17" t="str">
            <v/>
          </cell>
          <cell r="U17">
            <v>1.1000000000000001</v>
          </cell>
          <cell r="V17">
            <v>0.9</v>
          </cell>
          <cell r="W17">
            <v>0.5</v>
          </cell>
          <cell r="X17">
            <v>0.4</v>
          </cell>
          <cell r="Y17"/>
          <cell r="Z17">
            <v>39114</v>
          </cell>
          <cell r="AA17" t="str">
            <v>TOTAL</v>
          </cell>
          <cell r="AB17"/>
          <cell r="AC17"/>
          <cell r="AD17">
            <v>0</v>
          </cell>
          <cell r="AE17" t="str">
            <v/>
          </cell>
          <cell r="AF17"/>
          <cell r="AG17">
            <v>0</v>
          </cell>
          <cell r="AH17" t="e">
            <v>#DIV/0!</v>
          </cell>
          <cell r="AI17"/>
          <cell r="AJ17"/>
          <cell r="AK17">
            <v>0</v>
          </cell>
          <cell r="AL17">
            <v>4000</v>
          </cell>
          <cell r="AM17">
            <v>0</v>
          </cell>
          <cell r="AN17" t="e">
            <v>#DIV/0!</v>
          </cell>
          <cell r="AO17">
            <v>-4000</v>
          </cell>
          <cell r="AP17" t="e">
            <v>#DIV/0!</v>
          </cell>
          <cell r="AQ17"/>
          <cell r="AR17"/>
          <cell r="AS17"/>
          <cell r="AT17">
            <v>0</v>
          </cell>
          <cell r="AU17" t="str">
            <v/>
          </cell>
          <cell r="AV17"/>
          <cell r="AW17">
            <v>0</v>
          </cell>
          <cell r="AX17"/>
          <cell r="AY17">
            <v>0</v>
          </cell>
          <cell r="AZ17" t="e">
            <v>#DIV/0!</v>
          </cell>
        </row>
        <row r="18">
          <cell r="B18">
            <v>39142</v>
          </cell>
          <cell r="C18">
            <v>39142</v>
          </cell>
          <cell r="D18" t="str">
            <v>TOTAL</v>
          </cell>
          <cell r="E18"/>
          <cell r="F18" t="str">
            <v/>
          </cell>
          <cell r="G18" t="str">
            <v/>
          </cell>
          <cell r="H18"/>
          <cell r="I18"/>
          <cell r="J18" t="str">
            <v/>
          </cell>
          <cell r="K18">
            <v>1.1000000000000001</v>
          </cell>
          <cell r="L18">
            <v>0.9</v>
          </cell>
          <cell r="M18">
            <v>0.5</v>
          </cell>
          <cell r="N18">
            <v>0.4</v>
          </cell>
          <cell r="O18"/>
          <cell r="P18" t="str">
            <v/>
          </cell>
          <cell r="Q18" t="str">
            <v/>
          </cell>
          <cell r="R18"/>
          <cell r="S18"/>
          <cell r="T18" t="str">
            <v/>
          </cell>
          <cell r="U18">
            <v>1.1000000000000001</v>
          </cell>
          <cell r="V18">
            <v>0.9</v>
          </cell>
          <cell r="W18">
            <v>0.5</v>
          </cell>
          <cell r="X18">
            <v>0.4</v>
          </cell>
          <cell r="Y18"/>
          <cell r="Z18">
            <v>39142</v>
          </cell>
          <cell r="AA18" t="str">
            <v>TOTAL</v>
          </cell>
          <cell r="AB18"/>
          <cell r="AC18"/>
          <cell r="AD18">
            <v>0</v>
          </cell>
          <cell r="AE18" t="str">
            <v/>
          </cell>
          <cell r="AF18"/>
          <cell r="AG18">
            <v>0</v>
          </cell>
          <cell r="AH18" t="e">
            <v>#DIV/0!</v>
          </cell>
          <cell r="AI18"/>
          <cell r="AJ18"/>
          <cell r="AK18">
            <v>0</v>
          </cell>
          <cell r="AL18">
            <v>4000</v>
          </cell>
          <cell r="AM18">
            <v>0</v>
          </cell>
          <cell r="AN18" t="e">
            <v>#DIV/0!</v>
          </cell>
          <cell r="AO18">
            <v>-4000</v>
          </cell>
          <cell r="AP18" t="e">
            <v>#DIV/0!</v>
          </cell>
          <cell r="AQ18"/>
          <cell r="AR18"/>
          <cell r="AS18"/>
          <cell r="AT18">
            <v>0</v>
          </cell>
          <cell r="AU18" t="str">
            <v/>
          </cell>
          <cell r="AV18"/>
          <cell r="AW18">
            <v>0</v>
          </cell>
          <cell r="AX18"/>
          <cell r="AY18">
            <v>0</v>
          </cell>
          <cell r="AZ18" t="e">
            <v>#DIV/0!</v>
          </cell>
        </row>
        <row r="19">
          <cell r="B19">
            <v>39173</v>
          </cell>
          <cell r="C19">
            <v>39173</v>
          </cell>
          <cell r="D19" t="str">
            <v>TOTAL</v>
          </cell>
          <cell r="E19"/>
          <cell r="F19" t="str">
            <v/>
          </cell>
          <cell r="G19" t="str">
            <v/>
          </cell>
          <cell r="H19"/>
          <cell r="I19"/>
          <cell r="J19" t="str">
            <v/>
          </cell>
          <cell r="K19">
            <v>1.1000000000000001</v>
          </cell>
          <cell r="L19">
            <v>0.9</v>
          </cell>
          <cell r="M19">
            <v>0.5</v>
          </cell>
          <cell r="N19">
            <v>0.4</v>
          </cell>
          <cell r="O19"/>
          <cell r="P19" t="str">
            <v/>
          </cell>
          <cell r="Q19" t="str">
            <v/>
          </cell>
          <cell r="R19"/>
          <cell r="S19"/>
          <cell r="T19" t="str">
            <v/>
          </cell>
          <cell r="U19">
            <v>1.1000000000000001</v>
          </cell>
          <cell r="V19">
            <v>0.9</v>
          </cell>
          <cell r="W19">
            <v>0.5</v>
          </cell>
          <cell r="X19">
            <v>0.4</v>
          </cell>
          <cell r="Y19"/>
          <cell r="Z19">
            <v>39173</v>
          </cell>
          <cell r="AA19" t="str">
            <v>TOTAL</v>
          </cell>
          <cell r="AB19"/>
          <cell r="AC19"/>
          <cell r="AD19">
            <v>0</v>
          </cell>
          <cell r="AE19" t="str">
            <v/>
          </cell>
          <cell r="AF19"/>
          <cell r="AG19">
            <v>0</v>
          </cell>
          <cell r="AH19" t="e">
            <v>#DIV/0!</v>
          </cell>
          <cell r="AI19"/>
          <cell r="AJ19"/>
          <cell r="AK19">
            <v>0</v>
          </cell>
          <cell r="AL19">
            <v>4000</v>
          </cell>
          <cell r="AM19">
            <v>0</v>
          </cell>
          <cell r="AN19" t="e">
            <v>#DIV/0!</v>
          </cell>
          <cell r="AO19">
            <v>-4000</v>
          </cell>
          <cell r="AP19" t="e">
            <v>#DIV/0!</v>
          </cell>
          <cell r="AQ19"/>
          <cell r="AR19"/>
          <cell r="AS19"/>
          <cell r="AT19">
            <v>0</v>
          </cell>
          <cell r="AU19" t="str">
            <v/>
          </cell>
          <cell r="AV19"/>
          <cell r="AW19">
            <v>0</v>
          </cell>
          <cell r="AX19"/>
          <cell r="AY19">
            <v>0</v>
          </cell>
          <cell r="AZ19" t="e">
            <v>#DIV/0!</v>
          </cell>
        </row>
        <row r="20">
          <cell r="B20">
            <v>39203</v>
          </cell>
          <cell r="C20">
            <v>39203</v>
          </cell>
          <cell r="D20" t="str">
            <v>TOTAL</v>
          </cell>
          <cell r="E20"/>
          <cell r="F20" t="str">
            <v/>
          </cell>
          <cell r="G20" t="str">
            <v/>
          </cell>
          <cell r="H20"/>
          <cell r="I20"/>
          <cell r="J20" t="str">
            <v/>
          </cell>
          <cell r="K20">
            <v>1.1000000000000001</v>
          </cell>
          <cell r="L20">
            <v>0.9</v>
          </cell>
          <cell r="M20">
            <v>0.5</v>
          </cell>
          <cell r="N20">
            <v>0.4</v>
          </cell>
          <cell r="O20"/>
          <cell r="P20" t="str">
            <v/>
          </cell>
          <cell r="Q20" t="str">
            <v/>
          </cell>
          <cell r="R20"/>
          <cell r="S20"/>
          <cell r="T20" t="str">
            <v/>
          </cell>
          <cell r="U20">
            <v>1.1000000000000001</v>
          </cell>
          <cell r="V20">
            <v>0.9</v>
          </cell>
          <cell r="W20">
            <v>0.5</v>
          </cell>
          <cell r="X20">
            <v>0.4</v>
          </cell>
          <cell r="Y20"/>
          <cell r="Z20">
            <v>39203</v>
          </cell>
          <cell r="AA20" t="str">
            <v>TOTAL</v>
          </cell>
          <cell r="AB20"/>
          <cell r="AC20"/>
          <cell r="AD20">
            <v>0</v>
          </cell>
          <cell r="AE20" t="str">
            <v/>
          </cell>
          <cell r="AF20"/>
          <cell r="AG20">
            <v>0</v>
          </cell>
          <cell r="AH20" t="e">
            <v>#DIV/0!</v>
          </cell>
          <cell r="AI20"/>
          <cell r="AJ20"/>
          <cell r="AK20">
            <v>0</v>
          </cell>
          <cell r="AL20">
            <v>4000</v>
          </cell>
          <cell r="AM20">
            <v>0</v>
          </cell>
          <cell r="AN20" t="e">
            <v>#DIV/0!</v>
          </cell>
          <cell r="AO20">
            <v>-4000</v>
          </cell>
          <cell r="AP20" t="e">
            <v>#DIV/0!</v>
          </cell>
          <cell r="AQ20"/>
          <cell r="AR20"/>
          <cell r="AS20"/>
          <cell r="AT20">
            <v>0</v>
          </cell>
          <cell r="AU20" t="str">
            <v/>
          </cell>
          <cell r="AV20"/>
          <cell r="AW20">
            <v>0</v>
          </cell>
          <cell r="AX20"/>
          <cell r="AY20">
            <v>0</v>
          </cell>
          <cell r="AZ20" t="e">
            <v>#DIV/0!</v>
          </cell>
        </row>
        <row r="21">
          <cell r="B21">
            <v>39234</v>
          </cell>
          <cell r="C21">
            <v>39234</v>
          </cell>
          <cell r="D21" t="str">
            <v>TOTAL</v>
          </cell>
          <cell r="E21"/>
          <cell r="F21" t="str">
            <v/>
          </cell>
          <cell r="G21" t="str">
            <v/>
          </cell>
          <cell r="H21"/>
          <cell r="I21"/>
          <cell r="J21" t="str">
            <v/>
          </cell>
          <cell r="K21">
            <v>1.1000000000000001</v>
          </cell>
          <cell r="L21">
            <v>0.9</v>
          </cell>
          <cell r="M21">
            <v>0.5</v>
          </cell>
          <cell r="N21">
            <v>0.4</v>
          </cell>
          <cell r="O21"/>
          <cell r="P21" t="str">
            <v/>
          </cell>
          <cell r="Q21" t="str">
            <v/>
          </cell>
          <cell r="R21"/>
          <cell r="S21"/>
          <cell r="T21" t="str">
            <v/>
          </cell>
          <cell r="U21">
            <v>1.1000000000000001</v>
          </cell>
          <cell r="V21">
            <v>0.9</v>
          </cell>
          <cell r="W21">
            <v>0.5</v>
          </cell>
          <cell r="X21">
            <v>0.4</v>
          </cell>
          <cell r="Y21"/>
          <cell r="Z21">
            <v>39234</v>
          </cell>
          <cell r="AA21" t="str">
            <v>TOTAL</v>
          </cell>
          <cell r="AB21"/>
          <cell r="AC21"/>
          <cell r="AD21">
            <v>0</v>
          </cell>
          <cell r="AE21" t="str">
            <v/>
          </cell>
          <cell r="AF21"/>
          <cell r="AG21">
            <v>0</v>
          </cell>
          <cell r="AH21" t="e">
            <v>#DIV/0!</v>
          </cell>
          <cell r="AI21"/>
          <cell r="AJ21"/>
          <cell r="AK21">
            <v>0</v>
          </cell>
          <cell r="AL21">
            <v>4000</v>
          </cell>
          <cell r="AM21">
            <v>0</v>
          </cell>
          <cell r="AN21" t="e">
            <v>#DIV/0!</v>
          </cell>
          <cell r="AO21">
            <v>-4000</v>
          </cell>
          <cell r="AP21" t="e">
            <v>#DIV/0!</v>
          </cell>
          <cell r="AQ21"/>
          <cell r="AR21"/>
          <cell r="AS21"/>
          <cell r="AT21">
            <v>0</v>
          </cell>
          <cell r="AU21" t="str">
            <v/>
          </cell>
          <cell r="AV21"/>
          <cell r="AW21">
            <v>0</v>
          </cell>
          <cell r="AX21"/>
          <cell r="AY21">
            <v>0</v>
          </cell>
          <cell r="AZ21" t="e">
            <v>#DIV/0!</v>
          </cell>
        </row>
        <row r="22">
          <cell r="B22">
            <v>39264</v>
          </cell>
          <cell r="C22">
            <v>39264</v>
          </cell>
          <cell r="D22" t="str">
            <v>TOTAL</v>
          </cell>
          <cell r="E22"/>
          <cell r="F22" t="str">
            <v/>
          </cell>
          <cell r="G22" t="str">
            <v/>
          </cell>
          <cell r="H22"/>
          <cell r="I22"/>
          <cell r="J22" t="str">
            <v/>
          </cell>
          <cell r="K22">
            <v>1.1000000000000001</v>
          </cell>
          <cell r="L22">
            <v>0.9</v>
          </cell>
          <cell r="M22">
            <v>0.5</v>
          </cell>
          <cell r="N22">
            <v>0.4</v>
          </cell>
          <cell r="O22"/>
          <cell r="P22" t="str">
            <v/>
          </cell>
          <cell r="Q22" t="str">
            <v/>
          </cell>
          <cell r="R22"/>
          <cell r="S22"/>
          <cell r="T22" t="str">
            <v/>
          </cell>
          <cell r="U22">
            <v>1.1000000000000001</v>
          </cell>
          <cell r="V22">
            <v>0.9</v>
          </cell>
          <cell r="W22">
            <v>0.5</v>
          </cell>
          <cell r="X22">
            <v>0.4</v>
          </cell>
          <cell r="Y22"/>
          <cell r="Z22">
            <v>39264</v>
          </cell>
          <cell r="AA22" t="str">
            <v>TOTAL</v>
          </cell>
          <cell r="AB22"/>
          <cell r="AC22"/>
          <cell r="AD22">
            <v>0</v>
          </cell>
          <cell r="AE22" t="str">
            <v/>
          </cell>
          <cell r="AF22"/>
          <cell r="AG22">
            <v>0</v>
          </cell>
          <cell r="AH22" t="e">
            <v>#DIV/0!</v>
          </cell>
          <cell r="AI22"/>
          <cell r="AJ22"/>
          <cell r="AK22">
            <v>0</v>
          </cell>
          <cell r="AL22">
            <v>4000</v>
          </cell>
          <cell r="AM22">
            <v>0</v>
          </cell>
          <cell r="AN22" t="e">
            <v>#DIV/0!</v>
          </cell>
          <cell r="AO22">
            <v>-4000</v>
          </cell>
          <cell r="AP22" t="e">
            <v>#DIV/0!</v>
          </cell>
          <cell r="AQ22"/>
          <cell r="AR22"/>
          <cell r="AS22"/>
          <cell r="AT22">
            <v>0</v>
          </cell>
          <cell r="AU22" t="str">
            <v/>
          </cell>
          <cell r="AV22"/>
          <cell r="AW22">
            <v>0</v>
          </cell>
          <cell r="AX22"/>
          <cell r="AY22">
            <v>0</v>
          </cell>
          <cell r="AZ22" t="e">
            <v>#DIV/0!</v>
          </cell>
        </row>
        <row r="23">
          <cell r="B23">
            <v>39295</v>
          </cell>
          <cell r="C23">
            <v>39295</v>
          </cell>
          <cell r="D23" t="str">
            <v>TOTAL</v>
          </cell>
          <cell r="E23"/>
          <cell r="F23" t="str">
            <v/>
          </cell>
          <cell r="G23" t="str">
            <v/>
          </cell>
          <cell r="H23"/>
          <cell r="I23"/>
          <cell r="J23" t="str">
            <v/>
          </cell>
          <cell r="K23">
            <v>1.1000000000000001</v>
          </cell>
          <cell r="L23">
            <v>0.9</v>
          </cell>
          <cell r="M23">
            <v>0.5</v>
          </cell>
          <cell r="N23">
            <v>0.4</v>
          </cell>
          <cell r="O23"/>
          <cell r="P23" t="str">
            <v/>
          </cell>
          <cell r="Q23" t="str">
            <v/>
          </cell>
          <cell r="R23"/>
          <cell r="S23"/>
          <cell r="T23" t="str">
            <v/>
          </cell>
          <cell r="U23">
            <v>1.1000000000000001</v>
          </cell>
          <cell r="V23">
            <v>0.9</v>
          </cell>
          <cell r="W23">
            <v>0.5</v>
          </cell>
          <cell r="X23">
            <v>0.4</v>
          </cell>
          <cell r="Y23"/>
          <cell r="Z23">
            <v>39295</v>
          </cell>
          <cell r="AA23" t="str">
            <v>TOTAL</v>
          </cell>
          <cell r="AB23"/>
          <cell r="AC23"/>
          <cell r="AD23">
            <v>0</v>
          </cell>
          <cell r="AE23" t="str">
            <v/>
          </cell>
          <cell r="AF23"/>
          <cell r="AG23">
            <v>0</v>
          </cell>
          <cell r="AH23" t="e">
            <v>#DIV/0!</v>
          </cell>
          <cell r="AI23"/>
          <cell r="AJ23"/>
          <cell r="AK23">
            <v>0</v>
          </cell>
          <cell r="AL23">
            <v>4000</v>
          </cell>
          <cell r="AM23">
            <v>0</v>
          </cell>
          <cell r="AN23" t="e">
            <v>#DIV/0!</v>
          </cell>
          <cell r="AO23">
            <v>-4000</v>
          </cell>
          <cell r="AP23" t="e">
            <v>#DIV/0!</v>
          </cell>
          <cell r="AQ23"/>
          <cell r="AR23"/>
          <cell r="AS23"/>
          <cell r="AT23">
            <v>0</v>
          </cell>
          <cell r="AU23" t="str">
            <v/>
          </cell>
          <cell r="AV23"/>
          <cell r="AW23">
            <v>0</v>
          </cell>
          <cell r="AX23"/>
          <cell r="AY23">
            <v>0</v>
          </cell>
          <cell r="AZ23" t="e">
            <v>#DIV/0!</v>
          </cell>
        </row>
        <row r="24">
          <cell r="B24">
            <v>39326</v>
          </cell>
          <cell r="C24">
            <v>39326</v>
          </cell>
          <cell r="D24" t="str">
            <v>TOTAL</v>
          </cell>
          <cell r="E24"/>
          <cell r="F24" t="str">
            <v/>
          </cell>
          <cell r="G24" t="str">
            <v/>
          </cell>
          <cell r="H24"/>
          <cell r="I24"/>
          <cell r="J24" t="str">
            <v/>
          </cell>
          <cell r="K24">
            <v>1.1000000000000001</v>
          </cell>
          <cell r="L24">
            <v>0.9</v>
          </cell>
          <cell r="M24">
            <v>0.5</v>
          </cell>
          <cell r="N24">
            <v>0.4</v>
          </cell>
          <cell r="O24"/>
          <cell r="P24" t="str">
            <v/>
          </cell>
          <cell r="Q24" t="str">
            <v/>
          </cell>
          <cell r="R24"/>
          <cell r="S24"/>
          <cell r="T24" t="str">
            <v/>
          </cell>
          <cell r="U24">
            <v>1.1000000000000001</v>
          </cell>
          <cell r="V24">
            <v>0.9</v>
          </cell>
          <cell r="W24">
            <v>0.5</v>
          </cell>
          <cell r="X24">
            <v>0.4</v>
          </cell>
          <cell r="Y24"/>
          <cell r="Z24">
            <v>39326</v>
          </cell>
          <cell r="AA24" t="str">
            <v>TOTAL</v>
          </cell>
          <cell r="AB24"/>
          <cell r="AC24"/>
          <cell r="AD24">
            <v>0</v>
          </cell>
          <cell r="AE24" t="str">
            <v/>
          </cell>
          <cell r="AF24"/>
          <cell r="AG24">
            <v>0</v>
          </cell>
          <cell r="AH24" t="e">
            <v>#DIV/0!</v>
          </cell>
          <cell r="AI24"/>
          <cell r="AJ24"/>
          <cell r="AK24">
            <v>0</v>
          </cell>
          <cell r="AL24">
            <v>4000</v>
          </cell>
          <cell r="AM24">
            <v>0</v>
          </cell>
          <cell r="AN24" t="e">
            <v>#DIV/0!</v>
          </cell>
          <cell r="AO24">
            <v>-4000</v>
          </cell>
          <cell r="AP24" t="e">
            <v>#DIV/0!</v>
          </cell>
          <cell r="AQ24"/>
          <cell r="AR24"/>
          <cell r="AS24"/>
          <cell r="AT24">
            <v>0</v>
          </cell>
          <cell r="AU24" t="str">
            <v/>
          </cell>
          <cell r="AV24"/>
          <cell r="AW24">
            <v>0</v>
          </cell>
          <cell r="AX24"/>
          <cell r="AY24">
            <v>0</v>
          </cell>
          <cell r="AZ24" t="e">
            <v>#DIV/0!</v>
          </cell>
        </row>
        <row r="25">
          <cell r="B25">
            <v>39356</v>
          </cell>
          <cell r="C25">
            <v>39356</v>
          </cell>
          <cell r="D25" t="str">
            <v>TOTAL</v>
          </cell>
          <cell r="E25"/>
          <cell r="F25" t="str">
            <v/>
          </cell>
          <cell r="G25" t="str">
            <v/>
          </cell>
          <cell r="H25"/>
          <cell r="I25"/>
          <cell r="J25" t="str">
            <v/>
          </cell>
          <cell r="K25">
            <v>1.1000000000000001</v>
          </cell>
          <cell r="L25">
            <v>0.9</v>
          </cell>
          <cell r="M25">
            <v>0.5</v>
          </cell>
          <cell r="N25">
            <v>0.4</v>
          </cell>
          <cell r="O25"/>
          <cell r="P25" t="str">
            <v/>
          </cell>
          <cell r="Q25" t="str">
            <v/>
          </cell>
          <cell r="R25"/>
          <cell r="S25"/>
          <cell r="T25" t="str">
            <v/>
          </cell>
          <cell r="U25">
            <v>1.1000000000000001</v>
          </cell>
          <cell r="V25">
            <v>0.9</v>
          </cell>
          <cell r="W25">
            <v>0.5</v>
          </cell>
          <cell r="X25">
            <v>0.4</v>
          </cell>
          <cell r="Y25"/>
          <cell r="Z25">
            <v>39356</v>
          </cell>
          <cell r="AA25" t="str">
            <v>TOTAL</v>
          </cell>
          <cell r="AB25"/>
          <cell r="AC25"/>
          <cell r="AD25">
            <v>0</v>
          </cell>
          <cell r="AE25" t="str">
            <v/>
          </cell>
          <cell r="AF25"/>
          <cell r="AG25">
            <v>0</v>
          </cell>
          <cell r="AH25" t="e">
            <v>#DIV/0!</v>
          </cell>
          <cell r="AI25"/>
          <cell r="AJ25"/>
          <cell r="AK25">
            <v>0</v>
          </cell>
          <cell r="AL25">
            <v>4000</v>
          </cell>
          <cell r="AM25">
            <v>0</v>
          </cell>
          <cell r="AN25" t="e">
            <v>#DIV/0!</v>
          </cell>
          <cell r="AO25">
            <v>-4000</v>
          </cell>
          <cell r="AP25" t="e">
            <v>#DIV/0!</v>
          </cell>
          <cell r="AQ25"/>
          <cell r="AR25"/>
          <cell r="AS25"/>
          <cell r="AT25">
            <v>0</v>
          </cell>
          <cell r="AU25" t="str">
            <v/>
          </cell>
          <cell r="AV25"/>
          <cell r="AW25">
            <v>0</v>
          </cell>
          <cell r="AX25"/>
          <cell r="AY25">
            <v>0</v>
          </cell>
          <cell r="AZ25" t="e">
            <v>#DIV/0!</v>
          </cell>
        </row>
        <row r="26">
          <cell r="B26">
            <v>39387</v>
          </cell>
          <cell r="C26">
            <v>39387</v>
          </cell>
          <cell r="D26" t="str">
            <v>TOTAL</v>
          </cell>
          <cell r="E26"/>
          <cell r="F26" t="str">
            <v/>
          </cell>
          <cell r="G26" t="str">
            <v/>
          </cell>
          <cell r="H26"/>
          <cell r="I26"/>
          <cell r="J26" t="str">
            <v/>
          </cell>
          <cell r="K26">
            <v>1.1000000000000001</v>
          </cell>
          <cell r="L26">
            <v>0.9</v>
          </cell>
          <cell r="M26">
            <v>0.5</v>
          </cell>
          <cell r="N26">
            <v>0.4</v>
          </cell>
          <cell r="O26"/>
          <cell r="P26" t="str">
            <v/>
          </cell>
          <cell r="Q26" t="str">
            <v/>
          </cell>
          <cell r="R26"/>
          <cell r="S26"/>
          <cell r="T26" t="str">
            <v/>
          </cell>
          <cell r="U26">
            <v>1.1000000000000001</v>
          </cell>
          <cell r="V26">
            <v>0.9</v>
          </cell>
          <cell r="W26">
            <v>0.5</v>
          </cell>
          <cell r="X26">
            <v>0.4</v>
          </cell>
          <cell r="Y26"/>
          <cell r="Z26">
            <v>39387</v>
          </cell>
          <cell r="AA26" t="str">
            <v>TOTAL</v>
          </cell>
          <cell r="AB26"/>
          <cell r="AC26"/>
          <cell r="AD26">
            <v>0</v>
          </cell>
          <cell r="AE26" t="str">
            <v/>
          </cell>
          <cell r="AF26"/>
          <cell r="AG26">
            <v>0</v>
          </cell>
          <cell r="AH26" t="e">
            <v>#DIV/0!</v>
          </cell>
          <cell r="AI26"/>
          <cell r="AJ26"/>
          <cell r="AK26">
            <v>0</v>
          </cell>
          <cell r="AL26">
            <v>4000</v>
          </cell>
          <cell r="AM26">
            <v>0</v>
          </cell>
          <cell r="AN26" t="e">
            <v>#DIV/0!</v>
          </cell>
          <cell r="AO26">
            <v>-4000</v>
          </cell>
          <cell r="AP26" t="e">
            <v>#DIV/0!</v>
          </cell>
          <cell r="AQ26"/>
          <cell r="AR26"/>
          <cell r="AS26"/>
          <cell r="AT26">
            <v>0</v>
          </cell>
          <cell r="AU26" t="str">
            <v/>
          </cell>
          <cell r="AV26"/>
          <cell r="AW26">
            <v>0</v>
          </cell>
          <cell r="AX26"/>
          <cell r="AY26">
            <v>0</v>
          </cell>
          <cell r="AZ26" t="e">
            <v>#DIV/0!</v>
          </cell>
        </row>
        <row r="27">
          <cell r="B27">
            <v>39417</v>
          </cell>
          <cell r="C27">
            <v>39417</v>
          </cell>
          <cell r="D27" t="str">
            <v>TOTAL</v>
          </cell>
          <cell r="E27">
            <v>0.50903689139290487</v>
          </cell>
          <cell r="F27" t="str">
            <v>c</v>
          </cell>
          <cell r="G27" t="str">
            <v>c</v>
          </cell>
          <cell r="H27" t="str">
            <v>g</v>
          </cell>
          <cell r="I27" t="str">
            <v>c</v>
          </cell>
          <cell r="J27" t="str">
            <v>c</v>
          </cell>
          <cell r="K27">
            <v>1.1000000000000001</v>
          </cell>
          <cell r="L27">
            <v>0.9</v>
          </cell>
          <cell r="M27">
            <v>0.5</v>
          </cell>
          <cell r="N27">
            <v>0.4</v>
          </cell>
          <cell r="O27">
            <v>0.50903652409057121</v>
          </cell>
          <cell r="P27" t="str">
            <v>c</v>
          </cell>
          <cell r="Q27" t="str">
            <v>c</v>
          </cell>
          <cell r="R27" t="str">
            <v>g</v>
          </cell>
          <cell r="S27" t="str">
            <v>c</v>
          </cell>
          <cell r="T27" t="str">
            <v>c</v>
          </cell>
          <cell r="U27">
            <v>1.1000000000000001</v>
          </cell>
          <cell r="V27">
            <v>0.9</v>
          </cell>
          <cell r="W27">
            <v>0.5</v>
          </cell>
          <cell r="X27">
            <v>0.4</v>
          </cell>
          <cell r="Y27"/>
          <cell r="Z27">
            <v>39417</v>
          </cell>
          <cell r="AA27" t="str">
            <v>TOTAL</v>
          </cell>
          <cell r="AB27"/>
          <cell r="AC27"/>
          <cell r="AD27">
            <v>0</v>
          </cell>
          <cell r="AE27" t="str">
            <v/>
          </cell>
          <cell r="AF27"/>
          <cell r="AG27">
            <v>0</v>
          </cell>
          <cell r="AH27" t="e">
            <v>#DIV/0!</v>
          </cell>
          <cell r="AI27"/>
          <cell r="AJ27"/>
          <cell r="AK27">
            <v>7760097.9000000004</v>
          </cell>
          <cell r="AL27">
            <v>4000</v>
          </cell>
          <cell r="AM27">
            <v>7760097.9000000004</v>
          </cell>
          <cell r="AN27">
            <v>-1</v>
          </cell>
          <cell r="AO27">
            <v>7756097.9000000004</v>
          </cell>
          <cell r="AP27">
            <v>-0.99948454258547437</v>
          </cell>
          <cell r="AQ27"/>
          <cell r="AR27"/>
          <cell r="AS27">
            <v>0.50903652409057121</v>
          </cell>
          <cell r="AT27">
            <v>0</v>
          </cell>
          <cell r="AU27">
            <v>0.50903652409057121</v>
          </cell>
          <cell r="AV27" t="str">
            <v/>
          </cell>
          <cell r="AW27">
            <v>0.50903652409057121</v>
          </cell>
          <cell r="AX27">
            <v>-1</v>
          </cell>
          <cell r="AY27">
            <v>0</v>
          </cell>
          <cell r="AZ27" t="e">
            <v>#DIV/0!</v>
          </cell>
        </row>
        <row r="28">
          <cell r="B28">
            <v>39448</v>
          </cell>
          <cell r="C28">
            <v>39448</v>
          </cell>
          <cell r="D28" t="str">
            <v>TOTAL</v>
          </cell>
          <cell r="E28">
            <v>0.50915515772809172</v>
          </cell>
          <cell r="F28" t="str">
            <v>c</v>
          </cell>
          <cell r="G28" t="str">
            <v>c</v>
          </cell>
          <cell r="H28" t="str">
            <v>g</v>
          </cell>
          <cell r="I28" t="str">
            <v>c</v>
          </cell>
          <cell r="J28" t="str">
            <v>c</v>
          </cell>
          <cell r="K28">
            <v>1.1000000000000001</v>
          </cell>
          <cell r="L28">
            <v>0.9</v>
          </cell>
          <cell r="M28">
            <v>0.5</v>
          </cell>
          <cell r="N28">
            <v>0.4</v>
          </cell>
          <cell r="O28">
            <v>0.50909579824803719</v>
          </cell>
          <cell r="P28" t="str">
            <v>c</v>
          </cell>
          <cell r="Q28" t="str">
            <v>c</v>
          </cell>
          <cell r="R28" t="str">
            <v>g</v>
          </cell>
          <cell r="S28" t="str">
            <v>c</v>
          </cell>
          <cell r="T28" t="str">
            <v>c</v>
          </cell>
          <cell r="U28">
            <v>1.1000000000000001</v>
          </cell>
          <cell r="V28">
            <v>0.9</v>
          </cell>
          <cell r="W28">
            <v>0.5</v>
          </cell>
          <cell r="X28">
            <v>0.4</v>
          </cell>
          <cell r="Y28"/>
          <cell r="Z28">
            <v>39448</v>
          </cell>
          <cell r="AA28" t="str">
            <v>TOTAL</v>
          </cell>
          <cell r="AB28"/>
          <cell r="AC28">
            <v>0.50915515772809172</v>
          </cell>
          <cell r="AD28">
            <v>0</v>
          </cell>
          <cell r="AE28">
            <v>0.50915515772809172</v>
          </cell>
          <cell r="AF28" t="str">
            <v/>
          </cell>
          <cell r="AG28">
            <v>0.50915515772809172</v>
          </cell>
          <cell r="AH28" t="e">
            <v>#DIV/0!</v>
          </cell>
          <cell r="AI28"/>
          <cell r="AJ28">
            <v>0</v>
          </cell>
          <cell r="AK28">
            <v>7746382.7999999989</v>
          </cell>
          <cell r="AL28">
            <v>4000</v>
          </cell>
          <cell r="AM28">
            <v>7746382.7999999989</v>
          </cell>
          <cell r="AN28">
            <v>-1</v>
          </cell>
          <cell r="AO28">
            <v>7742382.7999999989</v>
          </cell>
          <cell r="AP28">
            <v>-0.99948362995952122</v>
          </cell>
          <cell r="AQ28"/>
          <cell r="AR28"/>
          <cell r="AS28">
            <v>0.50909579824803719</v>
          </cell>
          <cell r="AT28">
            <v>0</v>
          </cell>
          <cell r="AU28">
            <v>0.50909579824803719</v>
          </cell>
          <cell r="AV28" t="str">
            <v/>
          </cell>
          <cell r="AW28">
            <v>0.50909579824803719</v>
          </cell>
          <cell r="AX28">
            <v>-1</v>
          </cell>
          <cell r="AY28">
            <v>0</v>
          </cell>
          <cell r="AZ28" t="e">
            <v>#DIV/0!</v>
          </cell>
        </row>
        <row r="29">
          <cell r="B29">
            <v>39479</v>
          </cell>
          <cell r="C29">
            <v>39479</v>
          </cell>
          <cell r="D29" t="str">
            <v>TOTAL</v>
          </cell>
          <cell r="E29">
            <v>0.50676649121151607</v>
          </cell>
          <cell r="F29" t="str">
            <v>c</v>
          </cell>
          <cell r="G29" t="str">
            <v>c</v>
          </cell>
          <cell r="H29" t="str">
            <v>g</v>
          </cell>
          <cell r="I29" t="str">
            <v>c</v>
          </cell>
          <cell r="J29" t="str">
            <v>c</v>
          </cell>
          <cell r="K29">
            <v>1.1000000000000001</v>
          </cell>
          <cell r="L29">
            <v>0.9</v>
          </cell>
          <cell r="M29">
            <v>0.5</v>
          </cell>
          <cell r="N29">
            <v>0.4</v>
          </cell>
          <cell r="O29">
            <v>0.50829841909817208</v>
          </cell>
          <cell r="P29" t="str">
            <v>c</v>
          </cell>
          <cell r="Q29" t="str">
            <v>c</v>
          </cell>
          <cell r="R29" t="str">
            <v>g</v>
          </cell>
          <cell r="S29" t="str">
            <v>c</v>
          </cell>
          <cell r="T29" t="str">
            <v>c</v>
          </cell>
          <cell r="U29">
            <v>1.1000000000000001</v>
          </cell>
          <cell r="V29">
            <v>0.9</v>
          </cell>
          <cell r="W29">
            <v>0.5</v>
          </cell>
          <cell r="X29">
            <v>0.4</v>
          </cell>
          <cell r="Y29"/>
          <cell r="Z29">
            <v>39479</v>
          </cell>
          <cell r="AA29" t="str">
            <v>TOTAL</v>
          </cell>
          <cell r="AB29"/>
          <cell r="AC29">
            <v>0.50676649121151607</v>
          </cell>
          <cell r="AD29">
            <v>0</v>
          </cell>
          <cell r="AE29">
            <v>0.50676649121151607</v>
          </cell>
          <cell r="AF29" t="str">
            <v/>
          </cell>
          <cell r="AG29">
            <v>0.50676649121151607</v>
          </cell>
          <cell r="AH29" t="e">
            <v>#DIV/0!</v>
          </cell>
          <cell r="AI29"/>
          <cell r="AJ29">
            <v>0</v>
          </cell>
          <cell r="AK29">
            <v>8034470.5500000007</v>
          </cell>
          <cell r="AL29">
            <v>4000</v>
          </cell>
          <cell r="AM29">
            <v>8034470.5500000007</v>
          </cell>
          <cell r="AN29">
            <v>-1</v>
          </cell>
          <cell r="AO29">
            <v>8030470.5500000007</v>
          </cell>
          <cell r="AP29">
            <v>-0.99950214516624247</v>
          </cell>
          <cell r="AQ29"/>
          <cell r="AR29"/>
          <cell r="AS29">
            <v>0.50829841909817208</v>
          </cell>
          <cell r="AT29">
            <v>0</v>
          </cell>
          <cell r="AU29">
            <v>0.50829841909817208</v>
          </cell>
          <cell r="AV29" t="str">
            <v/>
          </cell>
          <cell r="AW29">
            <v>0.50829841909817208</v>
          </cell>
          <cell r="AX29">
            <v>-1</v>
          </cell>
          <cell r="AY29">
            <v>0</v>
          </cell>
          <cell r="AZ29" t="e">
            <v>#DIV/0!</v>
          </cell>
        </row>
        <row r="30">
          <cell r="B30">
            <v>39508</v>
          </cell>
          <cell r="C30">
            <v>39508</v>
          </cell>
          <cell r="D30" t="str">
            <v>TOTAL</v>
          </cell>
          <cell r="E30">
            <v>0.49652039257520286</v>
          </cell>
          <cell r="F30" t="str">
            <v>c</v>
          </cell>
          <cell r="G30" t="str">
            <v>c</v>
          </cell>
          <cell r="H30" t="str">
            <v>c</v>
          </cell>
          <cell r="I30" t="str">
            <v>g</v>
          </cell>
          <cell r="J30" t="str">
            <v>c</v>
          </cell>
          <cell r="K30">
            <v>1.1000000000000001</v>
          </cell>
          <cell r="L30">
            <v>0.9</v>
          </cell>
          <cell r="M30">
            <v>0.5</v>
          </cell>
          <cell r="N30">
            <v>0.4</v>
          </cell>
          <cell r="O30">
            <v>0.50482808183558481</v>
          </cell>
          <cell r="P30" t="str">
            <v>c</v>
          </cell>
          <cell r="Q30" t="str">
            <v>c</v>
          </cell>
          <cell r="R30" t="str">
            <v>g</v>
          </cell>
          <cell r="S30" t="str">
            <v>c</v>
          </cell>
          <cell r="T30" t="str">
            <v>c</v>
          </cell>
          <cell r="U30">
            <v>1.1000000000000001</v>
          </cell>
          <cell r="V30">
            <v>0.9</v>
          </cell>
          <cell r="W30">
            <v>0.5</v>
          </cell>
          <cell r="X30">
            <v>0.4</v>
          </cell>
          <cell r="Y30"/>
          <cell r="Z30">
            <v>39508</v>
          </cell>
          <cell r="AA30" t="str">
            <v>TOTAL</v>
          </cell>
          <cell r="AB30"/>
          <cell r="AC30">
            <v>0.49652039257520286</v>
          </cell>
          <cell r="AD30">
            <v>0</v>
          </cell>
          <cell r="AE30">
            <v>0.49652039257520286</v>
          </cell>
          <cell r="AF30" t="str">
            <v/>
          </cell>
          <cell r="AG30">
            <v>0.49652039257520286</v>
          </cell>
          <cell r="AH30" t="e">
            <v>#DIV/0!</v>
          </cell>
          <cell r="AI30"/>
          <cell r="AJ30">
            <v>0</v>
          </cell>
          <cell r="AK30">
            <v>9605835.450000003</v>
          </cell>
          <cell r="AL30">
            <v>0</v>
          </cell>
          <cell r="AM30">
            <v>9605835.450000003</v>
          </cell>
          <cell r="AN30">
            <v>-1</v>
          </cell>
          <cell r="AO30">
            <v>9605835.450000003</v>
          </cell>
          <cell r="AP30">
            <v>-1</v>
          </cell>
          <cell r="AQ30"/>
          <cell r="AR30"/>
          <cell r="AS30">
            <v>0.50482808183558481</v>
          </cell>
          <cell r="AT30">
            <v>0</v>
          </cell>
          <cell r="AU30">
            <v>0.50482808183558481</v>
          </cell>
          <cell r="AV30" t="str">
            <v/>
          </cell>
          <cell r="AW30">
            <v>0.50482808183558481</v>
          </cell>
          <cell r="AX30">
            <v>-1</v>
          </cell>
          <cell r="AY30">
            <v>0</v>
          </cell>
          <cell r="AZ30" t="e">
            <v>#DIV/0!</v>
          </cell>
        </row>
        <row r="31">
          <cell r="B31">
            <v>39539</v>
          </cell>
          <cell r="C31">
            <v>39539</v>
          </cell>
          <cell r="D31" t="str">
            <v>TOTAL</v>
          </cell>
          <cell r="E31">
            <v>0.51106438128803577</v>
          </cell>
          <cell r="F31" t="str">
            <v>c</v>
          </cell>
          <cell r="G31" t="str">
            <v>c</v>
          </cell>
          <cell r="H31" t="str">
            <v>g</v>
          </cell>
          <cell r="I31" t="str">
            <v>c</v>
          </cell>
          <cell r="J31" t="str">
            <v>c</v>
          </cell>
          <cell r="K31">
            <v>1.1000000000000001</v>
          </cell>
          <cell r="L31">
            <v>0.9</v>
          </cell>
          <cell r="M31">
            <v>0.5</v>
          </cell>
          <cell r="N31">
            <v>0.4</v>
          </cell>
          <cell r="O31">
            <v>0.50597132139719947</v>
          </cell>
          <cell r="P31" t="str">
            <v>c</v>
          </cell>
          <cell r="Q31" t="str">
            <v>c</v>
          </cell>
          <cell r="R31" t="str">
            <v>g</v>
          </cell>
          <cell r="S31" t="str">
            <v>c</v>
          </cell>
          <cell r="T31" t="str">
            <v>c</v>
          </cell>
          <cell r="U31">
            <v>1.1000000000000001</v>
          </cell>
          <cell r="V31">
            <v>0.9</v>
          </cell>
          <cell r="W31">
            <v>0.5</v>
          </cell>
          <cell r="X31">
            <v>0.4</v>
          </cell>
          <cell r="Y31"/>
          <cell r="Z31">
            <v>39539</v>
          </cell>
          <cell r="AA31" t="str">
            <v>TOTAL</v>
          </cell>
          <cell r="AB31"/>
          <cell r="AC31">
            <v>0.51106438128803577</v>
          </cell>
          <cell r="AD31">
            <v>0</v>
          </cell>
          <cell r="AE31">
            <v>0.51106438128803577</v>
          </cell>
          <cell r="AF31" t="str">
            <v/>
          </cell>
          <cell r="AG31">
            <v>0.51106438128803577</v>
          </cell>
          <cell r="AH31" t="e">
            <v>#DIV/0!</v>
          </cell>
          <cell r="AI31"/>
          <cell r="AJ31">
            <v>0</v>
          </cell>
          <cell r="AK31">
            <v>7532325.450000003</v>
          </cell>
          <cell r="AL31">
            <v>0</v>
          </cell>
          <cell r="AM31">
            <v>7532325.450000003</v>
          </cell>
          <cell r="AN31">
            <v>-1</v>
          </cell>
          <cell r="AO31">
            <v>7532325.450000003</v>
          </cell>
          <cell r="AP31">
            <v>-1</v>
          </cell>
          <cell r="AQ31"/>
          <cell r="AR31"/>
          <cell r="AS31">
            <v>0.50597132139719947</v>
          </cell>
          <cell r="AT31">
            <v>0</v>
          </cell>
          <cell r="AU31">
            <v>0.50597132139719947</v>
          </cell>
          <cell r="AV31" t="str">
            <v/>
          </cell>
          <cell r="AW31">
            <v>0.50597132139719947</v>
          </cell>
          <cell r="AX31">
            <v>-1</v>
          </cell>
          <cell r="AY31">
            <v>0</v>
          </cell>
          <cell r="AZ31" t="e">
            <v>#DIV/0!</v>
          </cell>
        </row>
        <row r="32">
          <cell r="B32">
            <v>39569</v>
          </cell>
          <cell r="C32">
            <v>39569</v>
          </cell>
          <cell r="D32" t="str">
            <v>TOTAL</v>
          </cell>
          <cell r="E32">
            <v>0.49895433549925972</v>
          </cell>
          <cell r="F32" t="str">
            <v>c</v>
          </cell>
          <cell r="G32" t="str">
            <v>c</v>
          </cell>
          <cell r="H32" t="str">
            <v>c</v>
          </cell>
          <cell r="I32" t="str">
            <v>g</v>
          </cell>
          <cell r="J32" t="str">
            <v>c</v>
          </cell>
          <cell r="K32">
            <v>1.1000000000000001</v>
          </cell>
          <cell r="L32">
            <v>0.9</v>
          </cell>
          <cell r="M32">
            <v>0.5</v>
          </cell>
          <cell r="N32">
            <v>0.4</v>
          </cell>
          <cell r="O32">
            <v>0.50466539353957585</v>
          </cell>
          <cell r="P32" t="str">
            <v>c</v>
          </cell>
          <cell r="Q32" t="str">
            <v>c</v>
          </cell>
          <cell r="R32" t="str">
            <v>g</v>
          </cell>
          <cell r="S32" t="str">
            <v>c</v>
          </cell>
          <cell r="T32" t="str">
            <v>c</v>
          </cell>
          <cell r="U32">
            <v>1.1000000000000001</v>
          </cell>
          <cell r="V32">
            <v>0.9</v>
          </cell>
          <cell r="W32">
            <v>0.5</v>
          </cell>
          <cell r="X32">
            <v>0.4</v>
          </cell>
          <cell r="Y32"/>
          <cell r="Z32">
            <v>39569</v>
          </cell>
          <cell r="AA32" t="str">
            <v>TOTAL</v>
          </cell>
          <cell r="AB32"/>
          <cell r="AC32">
            <v>0.49895433549925972</v>
          </cell>
          <cell r="AD32">
            <v>0</v>
          </cell>
          <cell r="AE32">
            <v>0.49895433549925972</v>
          </cell>
          <cell r="AF32" t="str">
            <v/>
          </cell>
          <cell r="AG32">
            <v>0.49895433549925972</v>
          </cell>
          <cell r="AH32" t="e">
            <v>#DIV/0!</v>
          </cell>
          <cell r="AI32"/>
          <cell r="AJ32">
            <v>0</v>
          </cell>
          <cell r="AK32">
            <v>9172993.049999997</v>
          </cell>
          <cell r="AL32">
            <v>0</v>
          </cell>
          <cell r="AM32">
            <v>9172993.049999997</v>
          </cell>
          <cell r="AN32">
            <v>-1</v>
          </cell>
          <cell r="AO32">
            <v>9172993.049999997</v>
          </cell>
          <cell r="AP32">
            <v>-1</v>
          </cell>
          <cell r="AQ32"/>
          <cell r="AR32"/>
          <cell r="AS32">
            <v>0.50466539353957585</v>
          </cell>
          <cell r="AT32">
            <v>0</v>
          </cell>
          <cell r="AU32">
            <v>0.50466539353957585</v>
          </cell>
          <cell r="AV32" t="str">
            <v/>
          </cell>
          <cell r="AW32">
            <v>0.50466539353957585</v>
          </cell>
          <cell r="AX32">
            <v>-1</v>
          </cell>
          <cell r="AY32">
            <v>0</v>
          </cell>
          <cell r="AZ32" t="e">
            <v>#DIV/0!</v>
          </cell>
        </row>
        <row r="33">
          <cell r="B33">
            <v>39600</v>
          </cell>
          <cell r="C33">
            <v>39600</v>
          </cell>
          <cell r="D33" t="str">
            <v>TOTAL</v>
          </cell>
          <cell r="E33">
            <v>0.49734574765418987</v>
          </cell>
          <cell r="F33" t="str">
            <v>c</v>
          </cell>
          <cell r="G33" t="str">
            <v>c</v>
          </cell>
          <cell r="H33" t="str">
            <v>c</v>
          </cell>
          <cell r="I33" t="str">
            <v>g</v>
          </cell>
          <cell r="J33" t="str">
            <v>c</v>
          </cell>
          <cell r="K33">
            <v>1.1000000000000001</v>
          </cell>
          <cell r="L33">
            <v>0.9</v>
          </cell>
          <cell r="M33">
            <v>0.5</v>
          </cell>
          <cell r="N33">
            <v>0.4</v>
          </cell>
          <cell r="O33">
            <v>0.50348416255074491</v>
          </cell>
          <cell r="P33" t="str">
            <v>c</v>
          </cell>
          <cell r="Q33" t="str">
            <v>c</v>
          </cell>
          <cell r="R33" t="str">
            <v>g</v>
          </cell>
          <cell r="S33" t="str">
            <v>c</v>
          </cell>
          <cell r="T33" t="str">
            <v>c</v>
          </cell>
          <cell r="U33">
            <v>1.1000000000000001</v>
          </cell>
          <cell r="V33">
            <v>0.9</v>
          </cell>
          <cell r="W33">
            <v>0.5</v>
          </cell>
          <cell r="X33">
            <v>0.4</v>
          </cell>
          <cell r="Y33"/>
          <cell r="Z33">
            <v>39600</v>
          </cell>
          <cell r="AA33" t="str">
            <v>TOTAL</v>
          </cell>
          <cell r="AB33"/>
          <cell r="AC33">
            <v>0.49734574765418987</v>
          </cell>
          <cell r="AD33">
            <v>0</v>
          </cell>
          <cell r="AE33">
            <v>0.49734574765418987</v>
          </cell>
          <cell r="AF33" t="str">
            <v/>
          </cell>
          <cell r="AG33">
            <v>0.49734574765418987</v>
          </cell>
          <cell r="AH33" t="e">
            <v>#DIV/0!</v>
          </cell>
          <cell r="AI33"/>
          <cell r="AJ33">
            <v>0</v>
          </cell>
          <cell r="AK33">
            <v>9454070.8730624914</v>
          </cell>
          <cell r="AL33">
            <v>0</v>
          </cell>
          <cell r="AM33">
            <v>9454070.8730624914</v>
          </cell>
          <cell r="AN33">
            <v>-1</v>
          </cell>
          <cell r="AO33">
            <v>9454070.8730624914</v>
          </cell>
          <cell r="AP33">
            <v>-1</v>
          </cell>
          <cell r="AQ33"/>
          <cell r="AR33"/>
          <cell r="AS33">
            <v>0.50348416255074491</v>
          </cell>
          <cell r="AT33">
            <v>0</v>
          </cell>
          <cell r="AU33">
            <v>0.50348416255074491</v>
          </cell>
          <cell r="AV33" t="str">
            <v/>
          </cell>
          <cell r="AW33">
            <v>0.50348416255074491</v>
          </cell>
          <cell r="AX33">
            <v>-1</v>
          </cell>
          <cell r="AY33">
            <v>0</v>
          </cell>
          <cell r="AZ33" t="e">
            <v>#DIV/0!</v>
          </cell>
        </row>
        <row r="34">
          <cell r="B34">
            <v>39630</v>
          </cell>
          <cell r="C34">
            <v>39630</v>
          </cell>
          <cell r="D34" t="str">
            <v>TOTAL</v>
          </cell>
          <cell r="E34">
            <v>0.49666215758877924</v>
          </cell>
          <cell r="F34" t="str">
            <v>c</v>
          </cell>
          <cell r="G34" t="str">
            <v>c</v>
          </cell>
          <cell r="H34" t="str">
            <v>c</v>
          </cell>
          <cell r="I34" t="str">
            <v>g</v>
          </cell>
          <cell r="J34" t="str">
            <v>c</v>
          </cell>
          <cell r="K34">
            <v>1.1000000000000001</v>
          </cell>
          <cell r="L34">
            <v>0.9</v>
          </cell>
          <cell r="M34">
            <v>0.5</v>
          </cell>
          <cell r="N34">
            <v>0.4</v>
          </cell>
          <cell r="O34">
            <v>0.50252428502351154</v>
          </cell>
          <cell r="P34" t="str">
            <v>c</v>
          </cell>
          <cell r="Q34" t="str">
            <v>c</v>
          </cell>
          <cell r="R34" t="str">
            <v>g</v>
          </cell>
          <cell r="S34" t="str">
            <v>c</v>
          </cell>
          <cell r="T34" t="str">
            <v>c</v>
          </cell>
          <cell r="U34">
            <v>1.1000000000000001</v>
          </cell>
          <cell r="V34">
            <v>0.9</v>
          </cell>
          <cell r="W34">
            <v>0.5</v>
          </cell>
          <cell r="X34">
            <v>0.4</v>
          </cell>
          <cell r="Y34"/>
          <cell r="Z34">
            <v>39630</v>
          </cell>
          <cell r="AA34" t="str">
            <v>TOTAL</v>
          </cell>
          <cell r="AB34"/>
          <cell r="AC34">
            <v>0.49666215758877924</v>
          </cell>
          <cell r="AD34">
            <v>0</v>
          </cell>
          <cell r="AE34">
            <v>0.49666215758877924</v>
          </cell>
          <cell r="AF34" t="str">
            <v/>
          </cell>
          <cell r="AG34">
            <v>0.49666215758877924</v>
          </cell>
          <cell r="AH34" t="e">
            <v>#DIV/0!</v>
          </cell>
          <cell r="AI34"/>
          <cell r="AJ34">
            <v>0</v>
          </cell>
          <cell r="AK34">
            <v>9579386.1115312427</v>
          </cell>
          <cell r="AL34">
            <v>0</v>
          </cell>
          <cell r="AM34">
            <v>9579386.1115312427</v>
          </cell>
          <cell r="AN34">
            <v>-1</v>
          </cell>
          <cell r="AO34">
            <v>9579386.1115312427</v>
          </cell>
          <cell r="AP34">
            <v>-1</v>
          </cell>
          <cell r="AQ34"/>
          <cell r="AR34"/>
          <cell r="AS34">
            <v>0.50252428502351154</v>
          </cell>
          <cell r="AT34">
            <v>0</v>
          </cell>
          <cell r="AU34">
            <v>0.50252428502351154</v>
          </cell>
          <cell r="AV34" t="str">
            <v/>
          </cell>
          <cell r="AW34">
            <v>0.50252428502351154</v>
          </cell>
          <cell r="AX34">
            <v>-1</v>
          </cell>
          <cell r="AY34">
            <v>0</v>
          </cell>
          <cell r="AZ34" t="e">
            <v>#DIV/0!</v>
          </cell>
        </row>
        <row r="35">
          <cell r="B35">
            <v>39661</v>
          </cell>
          <cell r="C35">
            <v>39661</v>
          </cell>
          <cell r="D35" t="str">
            <v>TOTAL</v>
          </cell>
          <cell r="E35">
            <v>0.44468535794085251</v>
          </cell>
          <cell r="F35" t="str">
            <v>c</v>
          </cell>
          <cell r="G35" t="str">
            <v>c</v>
          </cell>
          <cell r="H35" t="str">
            <v>c</v>
          </cell>
          <cell r="I35" t="str">
            <v>g</v>
          </cell>
          <cell r="J35" t="str">
            <v>c</v>
          </cell>
          <cell r="K35">
            <v>1.1000000000000001</v>
          </cell>
          <cell r="L35">
            <v>0.9</v>
          </cell>
          <cell r="M35">
            <v>0.5</v>
          </cell>
          <cell r="N35">
            <v>0.4</v>
          </cell>
          <cell r="O35">
            <v>0.49677782181950736</v>
          </cell>
          <cell r="P35" t="str">
            <v>c</v>
          </cell>
          <cell r="Q35" t="str">
            <v>c</v>
          </cell>
          <cell r="R35" t="str">
            <v>c</v>
          </cell>
          <cell r="S35" t="str">
            <v>g</v>
          </cell>
          <cell r="T35" t="str">
            <v>c</v>
          </cell>
          <cell r="U35">
            <v>1.1000000000000001</v>
          </cell>
          <cell r="V35">
            <v>0.9</v>
          </cell>
          <cell r="W35">
            <v>0.5</v>
          </cell>
          <cell r="X35">
            <v>0.4</v>
          </cell>
          <cell r="Y35"/>
          <cell r="Z35">
            <v>39661</v>
          </cell>
          <cell r="AA35" t="str">
            <v>TOTAL</v>
          </cell>
          <cell r="AB35"/>
          <cell r="AC35">
            <v>0.44468535794085251</v>
          </cell>
          <cell r="AD35">
            <v>0</v>
          </cell>
          <cell r="AE35">
            <v>0.44468535794085251</v>
          </cell>
          <cell r="AF35" t="str">
            <v/>
          </cell>
          <cell r="AG35">
            <v>0.44468535794085251</v>
          </cell>
          <cell r="AH35" t="e">
            <v>#DIV/0!</v>
          </cell>
          <cell r="AI35"/>
          <cell r="AJ35">
            <v>0</v>
          </cell>
          <cell r="AK35">
            <v>6724345</v>
          </cell>
          <cell r="AL35">
            <v>0</v>
          </cell>
          <cell r="AM35">
            <v>6724345</v>
          </cell>
          <cell r="AN35">
            <v>-1</v>
          </cell>
          <cell r="AO35">
            <v>6724345</v>
          </cell>
          <cell r="AP35">
            <v>-1</v>
          </cell>
          <cell r="AQ35"/>
          <cell r="AR35"/>
          <cell r="AS35">
            <v>0.49677782181950736</v>
          </cell>
          <cell r="AT35">
            <v>0</v>
          </cell>
          <cell r="AU35">
            <v>0.49677782181950736</v>
          </cell>
          <cell r="AV35" t="str">
            <v/>
          </cell>
          <cell r="AW35">
            <v>0.49677782181950736</v>
          </cell>
          <cell r="AX35">
            <v>-1</v>
          </cell>
          <cell r="AY35">
            <v>0</v>
          </cell>
          <cell r="AZ35" t="e">
            <v>#DIV/0!</v>
          </cell>
        </row>
        <row r="36">
          <cell r="B36">
            <v>39692</v>
          </cell>
          <cell r="C36">
            <v>39692</v>
          </cell>
          <cell r="D36" t="str">
            <v>TOTAL</v>
          </cell>
          <cell r="E36">
            <v>0.58093226939901943</v>
          </cell>
          <cell r="F36" t="str">
            <v>c</v>
          </cell>
          <cell r="G36" t="str">
            <v>c</v>
          </cell>
          <cell r="H36" t="str">
            <v>g</v>
          </cell>
          <cell r="I36" t="str">
            <v>c</v>
          </cell>
          <cell r="J36" t="str">
            <v>c</v>
          </cell>
          <cell r="K36">
            <v>1.1000000000000001</v>
          </cell>
          <cell r="L36">
            <v>0.9</v>
          </cell>
          <cell r="M36">
            <v>0.5</v>
          </cell>
          <cell r="N36">
            <v>0.4</v>
          </cell>
          <cell r="O36">
            <v>0.50280136611518855</v>
          </cell>
          <cell r="P36" t="str">
            <v>c</v>
          </cell>
          <cell r="Q36" t="str">
            <v>c</v>
          </cell>
          <cell r="R36" t="str">
            <v>g</v>
          </cell>
          <cell r="S36" t="str">
            <v>c</v>
          </cell>
          <cell r="T36" t="str">
            <v>c</v>
          </cell>
          <cell r="U36">
            <v>1.1000000000000001</v>
          </cell>
          <cell r="V36">
            <v>0.9</v>
          </cell>
          <cell r="W36">
            <v>0.5</v>
          </cell>
          <cell r="X36">
            <v>0.4</v>
          </cell>
          <cell r="Y36"/>
          <cell r="Z36">
            <v>39692</v>
          </cell>
          <cell r="AA36" t="str">
            <v>TOTAL</v>
          </cell>
          <cell r="AB36"/>
          <cell r="AC36">
            <v>0.58093226939901943</v>
          </cell>
          <cell r="AD36">
            <v>0</v>
          </cell>
          <cell r="AE36">
            <v>0.58093226939901943</v>
          </cell>
          <cell r="AF36" t="str">
            <v/>
          </cell>
          <cell r="AG36">
            <v>0.58093226939901943</v>
          </cell>
          <cell r="AH36" t="e">
            <v>#DIV/0!</v>
          </cell>
          <cell r="AI36"/>
          <cell r="AJ36">
            <v>0</v>
          </cell>
          <cell r="AK36">
            <v>6816650.5700000077</v>
          </cell>
          <cell r="AL36">
            <v>0</v>
          </cell>
          <cell r="AM36">
            <v>6816650.5700000077</v>
          </cell>
          <cell r="AN36">
            <v>-1</v>
          </cell>
          <cell r="AO36">
            <v>6816650.5700000077</v>
          </cell>
          <cell r="AP36">
            <v>-1</v>
          </cell>
          <cell r="AQ36"/>
          <cell r="AR36"/>
          <cell r="AS36">
            <v>0.50280136611518855</v>
          </cell>
          <cell r="AT36">
            <v>0</v>
          </cell>
          <cell r="AU36">
            <v>0.50280136611518855</v>
          </cell>
          <cell r="AV36" t="str">
            <v/>
          </cell>
          <cell r="AW36">
            <v>0.50280136611518855</v>
          </cell>
          <cell r="AX36">
            <v>-1</v>
          </cell>
          <cell r="AY36">
            <v>0</v>
          </cell>
          <cell r="AZ36" t="e">
            <v>#DIV/0!</v>
          </cell>
        </row>
        <row r="37">
          <cell r="B37">
            <v>39722</v>
          </cell>
          <cell r="C37">
            <v>39722</v>
          </cell>
          <cell r="D37" t="str">
            <v>TOTAL</v>
          </cell>
          <cell r="E37">
            <v>0.55975890182835364</v>
          </cell>
          <cell r="F37" t="str">
            <v>c</v>
          </cell>
          <cell r="G37" t="str">
            <v>c</v>
          </cell>
          <cell r="H37" t="str">
            <v>g</v>
          </cell>
          <cell r="I37" t="str">
            <v>c</v>
          </cell>
          <cell r="J37" t="str">
            <v>c</v>
          </cell>
          <cell r="K37">
            <v>1.1000000000000001</v>
          </cell>
          <cell r="L37">
            <v>0.9</v>
          </cell>
          <cell r="M37">
            <v>0.5</v>
          </cell>
          <cell r="N37">
            <v>0.4</v>
          </cell>
          <cell r="O37">
            <v>0.50687571424233535</v>
          </cell>
          <cell r="P37" t="str">
            <v>c</v>
          </cell>
          <cell r="Q37" t="str">
            <v>c</v>
          </cell>
          <cell r="R37" t="str">
            <v>g</v>
          </cell>
          <cell r="S37" t="str">
            <v>c</v>
          </cell>
          <cell r="T37" t="str">
            <v>c</v>
          </cell>
          <cell r="U37">
            <v>1.1000000000000001</v>
          </cell>
          <cell r="V37">
            <v>0.9</v>
          </cell>
          <cell r="W37">
            <v>0.5</v>
          </cell>
          <cell r="X37">
            <v>0.4</v>
          </cell>
          <cell r="Y37"/>
          <cell r="Z37">
            <v>39722</v>
          </cell>
          <cell r="AA37" t="str">
            <v>TOTAL</v>
          </cell>
          <cell r="AB37"/>
          <cell r="AC37">
            <v>0.55975890182835364</v>
          </cell>
          <cell r="AD37">
            <v>0</v>
          </cell>
          <cell r="AE37">
            <v>0.55975890182835364</v>
          </cell>
          <cell r="AF37" t="str">
            <v/>
          </cell>
          <cell r="AG37">
            <v>0.55975890182835364</v>
          </cell>
          <cell r="AH37" t="e">
            <v>#DIV/0!</v>
          </cell>
          <cell r="AI37"/>
          <cell r="AJ37">
            <v>0</v>
          </cell>
          <cell r="AK37">
            <v>7069877.7300000042</v>
          </cell>
          <cell r="AL37">
            <v>0</v>
          </cell>
          <cell r="AM37">
            <v>7069877.7300000042</v>
          </cell>
          <cell r="AN37">
            <v>-1</v>
          </cell>
          <cell r="AO37">
            <v>7069877.7300000042</v>
          </cell>
          <cell r="AP37">
            <v>-1</v>
          </cell>
          <cell r="AQ37"/>
          <cell r="AR37"/>
          <cell r="AS37">
            <v>0.50687571424233535</v>
          </cell>
          <cell r="AT37">
            <v>0</v>
          </cell>
          <cell r="AU37">
            <v>0.50687571424233535</v>
          </cell>
          <cell r="AV37" t="str">
            <v/>
          </cell>
          <cell r="AW37">
            <v>0.50687571424233535</v>
          </cell>
          <cell r="AX37">
            <v>-1</v>
          </cell>
          <cell r="AY37">
            <v>0</v>
          </cell>
          <cell r="AZ37" t="e">
            <v>#DIV/0!</v>
          </cell>
        </row>
        <row r="38">
          <cell r="B38">
            <v>39753</v>
          </cell>
          <cell r="C38">
            <v>39753</v>
          </cell>
          <cell r="D38" t="str">
            <v>TOTAL</v>
          </cell>
          <cell r="E38">
            <v>0.90818413772462026</v>
          </cell>
          <cell r="F38" t="str">
            <v>c</v>
          </cell>
          <cell r="G38" t="str">
            <v>g</v>
          </cell>
          <cell r="H38" t="str">
            <v>c</v>
          </cell>
          <cell r="I38" t="str">
            <v>c</v>
          </cell>
          <cell r="J38" t="str">
            <v>c</v>
          </cell>
          <cell r="K38">
            <v>1.1000000000000001</v>
          </cell>
          <cell r="L38">
            <v>0.9</v>
          </cell>
          <cell r="M38">
            <v>0.5</v>
          </cell>
          <cell r="N38">
            <v>0.4</v>
          </cell>
          <cell r="O38">
            <v>0.52772515827964428</v>
          </cell>
          <cell r="P38" t="str">
            <v>c</v>
          </cell>
          <cell r="Q38" t="str">
            <v>c</v>
          </cell>
          <cell r="R38" t="str">
            <v>g</v>
          </cell>
          <cell r="S38" t="str">
            <v>c</v>
          </cell>
          <cell r="T38" t="str">
            <v>c</v>
          </cell>
          <cell r="U38">
            <v>1.1000000000000001</v>
          </cell>
          <cell r="V38">
            <v>0.9</v>
          </cell>
          <cell r="W38">
            <v>0.5</v>
          </cell>
          <cell r="X38">
            <v>0.4</v>
          </cell>
          <cell r="Y38"/>
          <cell r="Z38">
            <v>39753</v>
          </cell>
          <cell r="AA38" t="str">
            <v>TOTAL</v>
          </cell>
          <cell r="AB38"/>
          <cell r="AC38">
            <v>0.90818413772462026</v>
          </cell>
          <cell r="AD38">
            <v>0</v>
          </cell>
          <cell r="AE38">
            <v>0.90818413772462026</v>
          </cell>
          <cell r="AF38" t="str">
            <v/>
          </cell>
          <cell r="AG38">
            <v>0.90818413772462026</v>
          </cell>
          <cell r="AH38" t="e">
            <v>#DIV/0!</v>
          </cell>
          <cell r="AI38"/>
          <cell r="AJ38">
            <v>0</v>
          </cell>
          <cell r="AK38">
            <v>8787488</v>
          </cell>
          <cell r="AL38">
            <v>0</v>
          </cell>
          <cell r="AM38">
            <v>8787488</v>
          </cell>
          <cell r="AN38">
            <v>-1</v>
          </cell>
          <cell r="AO38">
            <v>8787488</v>
          </cell>
          <cell r="AP38">
            <v>-1</v>
          </cell>
          <cell r="AQ38"/>
          <cell r="AR38"/>
          <cell r="AS38">
            <v>0.52772515827964428</v>
          </cell>
          <cell r="AT38">
            <v>0</v>
          </cell>
          <cell r="AU38">
            <v>0.52772515827964428</v>
          </cell>
          <cell r="AV38" t="str">
            <v/>
          </cell>
          <cell r="AW38">
            <v>0.52772515827964428</v>
          </cell>
          <cell r="AX38">
            <v>-1</v>
          </cell>
          <cell r="AY38">
            <v>0</v>
          </cell>
          <cell r="AZ38" t="e">
            <v>#DIV/0!</v>
          </cell>
        </row>
        <row r="39">
          <cell r="B39">
            <v>39783</v>
          </cell>
          <cell r="C39">
            <v>39783</v>
          </cell>
          <cell r="D39" t="str">
            <v>TOTAL</v>
          </cell>
          <cell r="E39">
            <v>0.61722250350081431</v>
          </cell>
          <cell r="F39" t="str">
            <v>c</v>
          </cell>
          <cell r="G39" t="str">
            <v>c</v>
          </cell>
          <cell r="H39" t="str">
            <v>g</v>
          </cell>
          <cell r="I39" t="str">
            <v>c</v>
          </cell>
          <cell r="J39" t="str">
            <v>c</v>
          </cell>
          <cell r="K39">
            <v>1.1000000000000001</v>
          </cell>
          <cell r="L39">
            <v>0.9</v>
          </cell>
          <cell r="M39">
            <v>0.5</v>
          </cell>
          <cell r="N39">
            <v>0.4</v>
          </cell>
          <cell r="O39">
            <v>0.53604895474710035</v>
          </cell>
          <cell r="P39" t="str">
            <v>c</v>
          </cell>
          <cell r="Q39" t="str">
            <v>c</v>
          </cell>
          <cell r="R39" t="str">
            <v>g</v>
          </cell>
          <cell r="S39" t="str">
            <v>c</v>
          </cell>
          <cell r="T39" t="str">
            <v>c</v>
          </cell>
          <cell r="U39">
            <v>1.1000000000000001</v>
          </cell>
          <cell r="V39">
            <v>0.9</v>
          </cell>
          <cell r="W39">
            <v>0.5</v>
          </cell>
          <cell r="X39">
            <v>0.4</v>
          </cell>
          <cell r="Y39"/>
          <cell r="Z39">
            <v>39783</v>
          </cell>
          <cell r="AA39" t="str">
            <v>TOTAL</v>
          </cell>
          <cell r="AB39"/>
          <cell r="AC39">
            <v>0.61722250350081431</v>
          </cell>
          <cell r="AD39">
            <v>0</v>
          </cell>
          <cell r="AE39">
            <v>0.61722250350081431</v>
          </cell>
          <cell r="AF39" t="str">
            <v/>
          </cell>
          <cell r="AG39">
            <v>0.61722250350081431</v>
          </cell>
          <cell r="AH39" t="e">
            <v>#DIV/0!</v>
          </cell>
          <cell r="AI39"/>
          <cell r="AJ39">
            <v>7760097.9000000004</v>
          </cell>
          <cell r="AK39">
            <v>8656401.6999999881</v>
          </cell>
          <cell r="AL39">
            <v>0</v>
          </cell>
          <cell r="AM39">
            <v>896303.79999998771</v>
          </cell>
          <cell r="AN39">
            <v>-0.10354230673005727</v>
          </cell>
          <cell r="AO39">
            <v>8656401.6999999881</v>
          </cell>
          <cell r="AP39">
            <v>-1</v>
          </cell>
          <cell r="AQ39"/>
          <cell r="AR39">
            <v>0.50903652409057121</v>
          </cell>
          <cell r="AS39">
            <v>0.53604895474710035</v>
          </cell>
          <cell r="AT39">
            <v>0</v>
          </cell>
          <cell r="AU39">
            <v>2.7012430656529141E-2</v>
          </cell>
          <cell r="AV39">
            <v>5.3065800543072417E-2</v>
          </cell>
          <cell r="AW39">
            <v>0.53604895474710035</v>
          </cell>
          <cell r="AX39">
            <v>-1</v>
          </cell>
          <cell r="AY39">
            <v>0</v>
          </cell>
          <cell r="AZ39" t="e">
            <v>#DIV/0!</v>
          </cell>
        </row>
        <row r="40">
          <cell r="B40">
            <v>39814</v>
          </cell>
          <cell r="C40"/>
          <cell r="D40" t="str">
            <v>TOTAL</v>
          </cell>
          <cell r="E40" t="str">
            <v/>
          </cell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  <cell r="L40" t="str">
            <v/>
          </cell>
          <cell r="M40" t="str">
            <v/>
          </cell>
          <cell r="N40" t="str">
            <v/>
          </cell>
          <cell r="O40" t="str">
            <v/>
          </cell>
          <cell r="P40" t="str">
            <v/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  <cell r="W40" t="str">
            <v/>
          </cell>
          <cell r="X40" t="str">
            <v/>
          </cell>
          <cell r="Y40"/>
          <cell r="Z40">
            <v>39814</v>
          </cell>
          <cell r="AA40" t="str">
            <v>TOTAL</v>
          </cell>
          <cell r="AB40">
            <v>0.50915515772809172</v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/>
          <cell r="AJ40">
            <v>7746382.7999999989</v>
          </cell>
          <cell r="AK40" t="str">
            <v/>
          </cell>
          <cell r="AL40" t="str">
            <v/>
          </cell>
          <cell r="AM40" t="str">
            <v/>
          </cell>
          <cell r="AN40" t="str">
            <v/>
          </cell>
          <cell r="AO40" t="str">
            <v/>
          </cell>
          <cell r="AP40" t="str">
            <v/>
          </cell>
          <cell r="AQ40"/>
          <cell r="AR40">
            <v>0.50909579824803719</v>
          </cell>
          <cell r="AS40" t="str">
            <v/>
          </cell>
          <cell r="AT40" t="str">
            <v/>
          </cell>
          <cell r="AU40" t="str">
            <v/>
          </cell>
          <cell r="AV40" t="str">
            <v/>
          </cell>
          <cell r="AW40" t="str">
            <v/>
          </cell>
          <cell r="AX40" t="str">
            <v/>
          </cell>
          <cell r="AY40">
            <v>0</v>
          </cell>
          <cell r="AZ40" t="str">
            <v/>
          </cell>
        </row>
        <row r="41">
          <cell r="B41">
            <v>39845</v>
          </cell>
          <cell r="C41"/>
          <cell r="D41" t="str">
            <v>TOTAL</v>
          </cell>
          <cell r="E41" t="str">
            <v/>
          </cell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  <cell r="J41" t="str">
            <v/>
          </cell>
          <cell r="K41" t="str">
            <v/>
          </cell>
          <cell r="L41" t="str">
            <v/>
          </cell>
          <cell r="M41" t="str">
            <v/>
          </cell>
          <cell r="N41" t="str">
            <v/>
          </cell>
          <cell r="O41" t="str">
            <v/>
          </cell>
          <cell r="P41" t="str">
            <v/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/>
          <cell r="V41"/>
          <cell r="W41"/>
          <cell r="X41"/>
          <cell r="Y41"/>
          <cell r="Z41">
            <v>39845</v>
          </cell>
          <cell r="AA41" t="str">
            <v>TOTAL</v>
          </cell>
          <cell r="AB41">
            <v>0.50676649121151607</v>
          </cell>
          <cell r="AC41" t="str">
            <v/>
          </cell>
          <cell r="AD41" t="str">
            <v/>
          </cell>
          <cell r="AE41" t="str">
            <v/>
          </cell>
          <cell r="AF41" t="str">
            <v/>
          </cell>
          <cell r="AG41" t="str">
            <v/>
          </cell>
          <cell r="AH41" t="str">
            <v/>
          </cell>
          <cell r="AI41"/>
          <cell r="AJ41">
            <v>8034470.5500000007</v>
          </cell>
          <cell r="AK41" t="str">
            <v/>
          </cell>
          <cell r="AL41" t="str">
            <v/>
          </cell>
          <cell r="AM41" t="str">
            <v/>
          </cell>
          <cell r="AN41" t="str">
            <v/>
          </cell>
          <cell r="AO41" t="str">
            <v/>
          </cell>
          <cell r="AP41" t="str">
            <v/>
          </cell>
          <cell r="AQ41"/>
          <cell r="AR41">
            <v>0.50829841909817208</v>
          </cell>
          <cell r="AS41" t="str">
            <v/>
          </cell>
          <cell r="AT41" t="str">
            <v/>
          </cell>
          <cell r="AU41" t="str">
            <v/>
          </cell>
          <cell r="AV41" t="str">
            <v/>
          </cell>
          <cell r="AW41" t="str">
            <v/>
          </cell>
          <cell r="AX41" t="str">
            <v/>
          </cell>
          <cell r="AY41">
            <v>0</v>
          </cell>
          <cell r="AZ41"/>
        </row>
        <row r="42">
          <cell r="B42">
            <v>39873</v>
          </cell>
          <cell r="C42"/>
          <cell r="D42" t="str">
            <v>TOTAL</v>
          </cell>
          <cell r="E42" t="str">
            <v/>
          </cell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  <cell r="J42" t="str">
            <v/>
          </cell>
          <cell r="K42" t="str">
            <v/>
          </cell>
          <cell r="L42" t="str">
            <v/>
          </cell>
          <cell r="M42" t="str">
            <v/>
          </cell>
          <cell r="N42" t="str">
            <v/>
          </cell>
          <cell r="O42" t="str">
            <v/>
          </cell>
          <cell r="P42" t="str">
            <v/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/>
          <cell r="V42"/>
          <cell r="W42"/>
          <cell r="X42"/>
          <cell r="Y42"/>
          <cell r="Z42">
            <v>39873</v>
          </cell>
          <cell r="AA42" t="str">
            <v>TOTAL</v>
          </cell>
          <cell r="AB42">
            <v>0.49652039257520286</v>
          </cell>
          <cell r="AC42" t="str">
            <v/>
          </cell>
          <cell r="AD42" t="str">
            <v/>
          </cell>
          <cell r="AE42" t="str">
            <v/>
          </cell>
          <cell r="AF42" t="str">
            <v/>
          </cell>
          <cell r="AG42" t="str">
            <v/>
          </cell>
          <cell r="AH42" t="str">
            <v/>
          </cell>
          <cell r="AI42"/>
          <cell r="AJ42">
            <v>9605835.450000003</v>
          </cell>
          <cell r="AK42" t="str">
            <v/>
          </cell>
          <cell r="AL42" t="str">
            <v/>
          </cell>
          <cell r="AM42" t="str">
            <v/>
          </cell>
          <cell r="AN42" t="str">
            <v/>
          </cell>
          <cell r="AO42" t="str">
            <v/>
          </cell>
          <cell r="AP42" t="str">
            <v/>
          </cell>
          <cell r="AQ42"/>
          <cell r="AR42">
            <v>0.50482808183558481</v>
          </cell>
          <cell r="AS42" t="str">
            <v/>
          </cell>
          <cell r="AT42" t="str">
            <v/>
          </cell>
          <cell r="AU42" t="str">
            <v/>
          </cell>
          <cell r="AV42" t="str">
            <v/>
          </cell>
          <cell r="AW42" t="str">
            <v/>
          </cell>
          <cell r="AX42" t="str">
            <v/>
          </cell>
          <cell r="AY42">
            <v>0</v>
          </cell>
          <cell r="AZ42"/>
        </row>
        <row r="43">
          <cell r="B43">
            <v>39904</v>
          </cell>
          <cell r="C43"/>
          <cell r="D43" t="str">
            <v>TOTAL</v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 t="str">
            <v/>
          </cell>
          <cell r="L43" t="str">
            <v/>
          </cell>
          <cell r="M43" t="str">
            <v/>
          </cell>
          <cell r="N43" t="str">
            <v/>
          </cell>
          <cell r="O43" t="str">
            <v/>
          </cell>
          <cell r="P43" t="str">
            <v/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/>
          <cell r="V43"/>
          <cell r="W43"/>
          <cell r="X43"/>
          <cell r="Y43"/>
          <cell r="Z43">
            <v>39904</v>
          </cell>
          <cell r="AA43" t="str">
            <v>TOTAL</v>
          </cell>
          <cell r="AB43">
            <v>0.51106438128803577</v>
          </cell>
          <cell r="AC43" t="str">
            <v/>
          </cell>
          <cell r="AD43" t="str">
            <v/>
          </cell>
          <cell r="AE43" t="str">
            <v/>
          </cell>
          <cell r="AF43" t="str">
            <v/>
          </cell>
          <cell r="AG43" t="str">
            <v/>
          </cell>
          <cell r="AH43" t="str">
            <v/>
          </cell>
          <cell r="AI43"/>
          <cell r="AJ43">
            <v>7532325.450000003</v>
          </cell>
          <cell r="AK43" t="str">
            <v/>
          </cell>
          <cell r="AL43" t="str">
            <v/>
          </cell>
          <cell r="AM43" t="str">
            <v/>
          </cell>
          <cell r="AN43" t="str">
            <v/>
          </cell>
          <cell r="AO43" t="str">
            <v/>
          </cell>
          <cell r="AP43" t="str">
            <v/>
          </cell>
          <cell r="AQ43"/>
          <cell r="AR43">
            <v>0.50597132139719947</v>
          </cell>
          <cell r="AS43" t="str">
            <v/>
          </cell>
          <cell r="AT43" t="str">
            <v/>
          </cell>
          <cell r="AU43" t="str">
            <v/>
          </cell>
          <cell r="AV43" t="str">
            <v/>
          </cell>
          <cell r="AW43" t="str">
            <v/>
          </cell>
          <cell r="AX43" t="str">
            <v/>
          </cell>
          <cell r="AY43">
            <v>0</v>
          </cell>
          <cell r="AZ43"/>
        </row>
        <row r="44">
          <cell r="B44">
            <v>39934</v>
          </cell>
          <cell r="C44"/>
          <cell r="D44" t="str">
            <v>TOTAL</v>
          </cell>
          <cell r="E44" t="str">
            <v/>
          </cell>
          <cell r="F44" t="str">
            <v/>
          </cell>
          <cell r="G44" t="str">
            <v/>
          </cell>
          <cell r="H44" t="str">
            <v/>
          </cell>
          <cell r="I44" t="str">
            <v/>
          </cell>
          <cell r="J44" t="str">
            <v/>
          </cell>
          <cell r="K44" t="str">
            <v/>
          </cell>
          <cell r="L44" t="str">
            <v/>
          </cell>
          <cell r="M44" t="str">
            <v/>
          </cell>
          <cell r="N44" t="str">
            <v/>
          </cell>
          <cell r="O44" t="str">
            <v/>
          </cell>
          <cell r="P44" t="str">
            <v/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/>
          <cell r="V44"/>
          <cell r="W44"/>
          <cell r="X44"/>
          <cell r="Y44"/>
          <cell r="Z44">
            <v>39934</v>
          </cell>
          <cell r="AA44" t="str">
            <v>TOTAL</v>
          </cell>
          <cell r="AB44">
            <v>0.49895433549925972</v>
          </cell>
          <cell r="AC44" t="str">
            <v/>
          </cell>
          <cell r="AD44" t="str">
            <v/>
          </cell>
          <cell r="AE44" t="str">
            <v/>
          </cell>
          <cell r="AF44" t="str">
            <v/>
          </cell>
          <cell r="AG44" t="str">
            <v/>
          </cell>
          <cell r="AH44" t="str">
            <v/>
          </cell>
          <cell r="AI44"/>
          <cell r="AJ44">
            <v>9172993.049999997</v>
          </cell>
          <cell r="AK44" t="str">
            <v/>
          </cell>
          <cell r="AL44" t="str">
            <v/>
          </cell>
          <cell r="AM44" t="str">
            <v/>
          </cell>
          <cell r="AN44" t="str">
            <v/>
          </cell>
          <cell r="AO44" t="str">
            <v/>
          </cell>
          <cell r="AP44" t="str">
            <v/>
          </cell>
          <cell r="AQ44"/>
          <cell r="AR44">
            <v>0.50466539353957585</v>
          </cell>
          <cell r="AS44" t="str">
            <v/>
          </cell>
          <cell r="AT44" t="str">
            <v/>
          </cell>
          <cell r="AU44" t="str">
            <v/>
          </cell>
          <cell r="AV44" t="str">
            <v/>
          </cell>
          <cell r="AW44" t="str">
            <v/>
          </cell>
          <cell r="AX44" t="str">
            <v/>
          </cell>
          <cell r="AY44">
            <v>0</v>
          </cell>
          <cell r="AZ44"/>
        </row>
        <row r="45">
          <cell r="B45">
            <v>39965</v>
          </cell>
          <cell r="C45"/>
          <cell r="D45" t="str">
            <v>TOTAL</v>
          </cell>
          <cell r="E45" t="str">
            <v/>
          </cell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  <cell r="M45" t="str">
            <v/>
          </cell>
          <cell r="N45" t="str">
            <v/>
          </cell>
          <cell r="O45" t="str">
            <v/>
          </cell>
          <cell r="P45" t="str">
            <v/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/>
          <cell r="V45"/>
          <cell r="W45"/>
          <cell r="X45"/>
          <cell r="Y45"/>
          <cell r="Z45">
            <v>39965</v>
          </cell>
          <cell r="AA45" t="str">
            <v>TOTAL</v>
          </cell>
          <cell r="AB45">
            <v>0.49734574765418987</v>
          </cell>
          <cell r="AC45" t="str">
            <v/>
          </cell>
          <cell r="AD45" t="str">
            <v/>
          </cell>
          <cell r="AE45" t="str">
            <v/>
          </cell>
          <cell r="AF45" t="str">
            <v/>
          </cell>
          <cell r="AG45" t="str">
            <v/>
          </cell>
          <cell r="AH45" t="str">
            <v/>
          </cell>
          <cell r="AI45"/>
          <cell r="AJ45">
            <v>9454070.8730624914</v>
          </cell>
          <cell r="AK45" t="str">
            <v/>
          </cell>
          <cell r="AL45" t="str">
            <v/>
          </cell>
          <cell r="AM45" t="str">
            <v/>
          </cell>
          <cell r="AN45" t="str">
            <v/>
          </cell>
          <cell r="AO45" t="str">
            <v/>
          </cell>
          <cell r="AP45" t="str">
            <v/>
          </cell>
          <cell r="AQ45"/>
          <cell r="AR45">
            <v>0.50348416255074491</v>
          </cell>
          <cell r="AS45" t="str">
            <v/>
          </cell>
          <cell r="AT45" t="str">
            <v/>
          </cell>
          <cell r="AU45" t="str">
            <v/>
          </cell>
          <cell r="AV45" t="str">
            <v/>
          </cell>
          <cell r="AW45" t="str">
            <v/>
          </cell>
          <cell r="AX45" t="str">
            <v/>
          </cell>
          <cell r="AY45">
            <v>0</v>
          </cell>
          <cell r="AZ45"/>
        </row>
        <row r="46">
          <cell r="B46">
            <v>39995</v>
          </cell>
          <cell r="C46"/>
          <cell r="D46" t="str">
            <v>TOTAL</v>
          </cell>
          <cell r="E46" t="str">
            <v/>
          </cell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  <cell r="M46" t="str">
            <v/>
          </cell>
          <cell r="N46" t="str">
            <v/>
          </cell>
          <cell r="O46" t="str">
            <v/>
          </cell>
          <cell r="P46" t="str">
            <v/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/>
          <cell r="V46"/>
          <cell r="W46"/>
          <cell r="X46"/>
          <cell r="Y46"/>
          <cell r="Z46">
            <v>39995</v>
          </cell>
          <cell r="AA46" t="str">
            <v>TOTAL</v>
          </cell>
          <cell r="AB46">
            <v>0.49666215758877924</v>
          </cell>
          <cell r="AC46" t="str">
            <v/>
          </cell>
          <cell r="AD46" t="str">
            <v/>
          </cell>
          <cell r="AE46" t="str">
            <v/>
          </cell>
          <cell r="AF46" t="str">
            <v/>
          </cell>
          <cell r="AG46" t="str">
            <v/>
          </cell>
          <cell r="AH46" t="str">
            <v/>
          </cell>
          <cell r="AI46"/>
          <cell r="AJ46">
            <v>9579386.1115312427</v>
          </cell>
          <cell r="AK46" t="str">
            <v/>
          </cell>
          <cell r="AL46" t="str">
            <v/>
          </cell>
          <cell r="AM46" t="str">
            <v/>
          </cell>
          <cell r="AN46" t="str">
            <v/>
          </cell>
          <cell r="AO46" t="str">
            <v/>
          </cell>
          <cell r="AP46" t="str">
            <v/>
          </cell>
          <cell r="AQ46"/>
          <cell r="AR46">
            <v>0.50252428502351154</v>
          </cell>
          <cell r="AS46" t="str">
            <v/>
          </cell>
          <cell r="AT46" t="str">
            <v/>
          </cell>
          <cell r="AU46" t="str">
            <v/>
          </cell>
          <cell r="AV46" t="str">
            <v/>
          </cell>
          <cell r="AW46" t="str">
            <v/>
          </cell>
          <cell r="AX46" t="str">
            <v/>
          </cell>
          <cell r="AY46">
            <v>0</v>
          </cell>
          <cell r="AZ46"/>
        </row>
        <row r="47">
          <cell r="Z47">
            <v>40026</v>
          </cell>
          <cell r="AA47" t="str">
            <v>TOTAL</v>
          </cell>
          <cell r="AB47">
            <v>0.44468535794085251</v>
          </cell>
          <cell r="AC47" t="str">
            <v/>
          </cell>
          <cell r="AD47" t="str">
            <v/>
          </cell>
          <cell r="AE47" t="str">
            <v/>
          </cell>
          <cell r="AF47" t="str">
            <v/>
          </cell>
          <cell r="AG47" t="str">
            <v/>
          </cell>
          <cell r="AH47" t="str">
            <v/>
          </cell>
          <cell r="AI47"/>
          <cell r="AJ47">
            <v>6724345</v>
          </cell>
          <cell r="AK47" t="str">
            <v/>
          </cell>
          <cell r="AL47" t="str">
            <v/>
          </cell>
          <cell r="AM47" t="str">
            <v/>
          </cell>
          <cell r="AN47" t="str">
            <v/>
          </cell>
          <cell r="AO47" t="str">
            <v/>
          </cell>
          <cell r="AP47" t="str">
            <v/>
          </cell>
          <cell r="AQ47"/>
          <cell r="AR47">
            <v>0.49677782181950736</v>
          </cell>
          <cell r="AS47" t="str">
            <v/>
          </cell>
          <cell r="AT47" t="str">
            <v/>
          </cell>
          <cell r="AU47" t="str">
            <v/>
          </cell>
          <cell r="AV47" t="str">
            <v/>
          </cell>
          <cell r="AW47" t="str">
            <v/>
          </cell>
          <cell r="AX47" t="str">
            <v/>
          </cell>
          <cell r="AY47">
            <v>0</v>
          </cell>
          <cell r="AZ47"/>
        </row>
        <row r="48">
          <cell r="Z48">
            <v>40057</v>
          </cell>
          <cell r="AA48" t="str">
            <v>TOTAL</v>
          </cell>
          <cell r="AB48">
            <v>0.58093226939901943</v>
          </cell>
          <cell r="AC48" t="str">
            <v/>
          </cell>
          <cell r="AD48" t="str">
            <v/>
          </cell>
          <cell r="AE48" t="str">
            <v/>
          </cell>
          <cell r="AF48" t="str">
            <v/>
          </cell>
          <cell r="AG48" t="str">
            <v/>
          </cell>
          <cell r="AH48" t="str">
            <v/>
          </cell>
          <cell r="AI48"/>
          <cell r="AJ48">
            <v>6816650.5700000077</v>
          </cell>
          <cell r="AK48" t="str">
            <v/>
          </cell>
          <cell r="AL48" t="str">
            <v/>
          </cell>
          <cell r="AM48" t="str">
            <v/>
          </cell>
          <cell r="AN48" t="str">
            <v/>
          </cell>
          <cell r="AO48" t="str">
            <v/>
          </cell>
          <cell r="AP48" t="str">
            <v/>
          </cell>
          <cell r="AQ48"/>
          <cell r="AR48">
            <v>0.50280136611518855</v>
          </cell>
          <cell r="AS48" t="str">
            <v/>
          </cell>
          <cell r="AT48" t="str">
            <v/>
          </cell>
          <cell r="AU48" t="str">
            <v/>
          </cell>
          <cell r="AV48" t="str">
            <v/>
          </cell>
          <cell r="AW48" t="str">
            <v/>
          </cell>
          <cell r="AX48" t="str">
            <v/>
          </cell>
          <cell r="AY48">
            <v>0</v>
          </cell>
          <cell r="AZ48"/>
        </row>
        <row r="49">
          <cell r="Z49">
            <v>40087</v>
          </cell>
          <cell r="AA49" t="str">
            <v>TOTAL</v>
          </cell>
          <cell r="AB49">
            <v>0.55975890182835364</v>
          </cell>
          <cell r="AC49" t="str">
            <v/>
          </cell>
          <cell r="AD49" t="str">
            <v/>
          </cell>
          <cell r="AE49" t="str">
            <v/>
          </cell>
          <cell r="AF49" t="str">
            <v/>
          </cell>
          <cell r="AG49" t="str">
            <v/>
          </cell>
          <cell r="AH49" t="str">
            <v/>
          </cell>
          <cell r="AI49"/>
          <cell r="AJ49">
            <v>7069877.7300000042</v>
          </cell>
          <cell r="AK49" t="str">
            <v/>
          </cell>
          <cell r="AL49" t="str">
            <v/>
          </cell>
          <cell r="AM49" t="str">
            <v/>
          </cell>
          <cell r="AN49" t="str">
            <v/>
          </cell>
          <cell r="AO49" t="str">
            <v/>
          </cell>
          <cell r="AP49" t="str">
            <v/>
          </cell>
          <cell r="AQ49"/>
          <cell r="AR49">
            <v>0.50687571424233535</v>
          </cell>
          <cell r="AS49" t="str">
            <v/>
          </cell>
          <cell r="AT49" t="str">
            <v/>
          </cell>
          <cell r="AU49" t="str">
            <v/>
          </cell>
          <cell r="AV49" t="str">
            <v/>
          </cell>
          <cell r="AW49" t="str">
            <v/>
          </cell>
          <cell r="AX49" t="str">
            <v/>
          </cell>
          <cell r="AY49">
            <v>0</v>
          </cell>
          <cell r="AZ49"/>
        </row>
        <row r="50"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  <cell r="AL50"/>
          <cell r="AM50"/>
          <cell r="AN50"/>
          <cell r="AO50"/>
          <cell r="AP50"/>
          <cell r="AQ50"/>
          <cell r="AR50"/>
          <cell r="AS50" t="str">
            <v/>
          </cell>
          <cell r="AT50" t="str">
            <v/>
          </cell>
          <cell r="AU50"/>
          <cell r="AV50" t="str">
            <v/>
          </cell>
          <cell r="AW50"/>
          <cell r="AX50"/>
          <cell r="AY50">
            <v>0</v>
          </cell>
          <cell r="AZ50"/>
        </row>
        <row r="51"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/>
          <cell r="AQ51"/>
          <cell r="AR51"/>
          <cell r="AS51" t="str">
            <v/>
          </cell>
          <cell r="AT51" t="str">
            <v/>
          </cell>
          <cell r="AU51"/>
          <cell r="AV51" t="str">
            <v/>
          </cell>
          <cell r="AW51"/>
          <cell r="AX51"/>
          <cell r="AY51">
            <v>0</v>
          </cell>
          <cell r="AZ51"/>
        </row>
        <row r="52"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/>
          <cell r="AM52"/>
          <cell r="AN52"/>
          <cell r="AO52"/>
          <cell r="AP52"/>
          <cell r="AQ52"/>
          <cell r="AR52"/>
          <cell r="AS52" t="str">
            <v/>
          </cell>
          <cell r="AT52" t="str">
            <v/>
          </cell>
          <cell r="AU52"/>
          <cell r="AV52" t="str">
            <v/>
          </cell>
          <cell r="AW52"/>
          <cell r="AX52"/>
          <cell r="AY52"/>
          <cell r="AZ52"/>
        </row>
      </sheetData>
      <sheetData sheetId="42"/>
      <sheetData sheetId="43">
        <row r="13">
          <cell r="B13"/>
          <cell r="C13"/>
          <cell r="D13"/>
          <cell r="E13" t="str">
            <v>Mensual</v>
          </cell>
          <cell r="F13"/>
          <cell r="G13"/>
          <cell r="H13"/>
          <cell r="I13"/>
          <cell r="J13"/>
          <cell r="K13" t="str">
            <v>Acumulado</v>
          </cell>
          <cell r="L13"/>
          <cell r="M13"/>
          <cell r="N13"/>
          <cell r="O13"/>
          <cell r="P13"/>
          <cell r="Q13"/>
          <cell r="R13" t="str">
            <v>Mes</v>
          </cell>
          <cell r="S13"/>
          <cell r="T13"/>
          <cell r="U13"/>
          <cell r="V13"/>
        </row>
        <row r="14">
          <cell r="B14"/>
          <cell r="C14"/>
          <cell r="D14"/>
          <cell r="E14" t="str">
            <v>%</v>
          </cell>
          <cell r="F14" t="str">
            <v>% del total de Stock con baja Rotación de inventarios</v>
          </cell>
          <cell r="G14"/>
          <cell r="H14"/>
          <cell r="I14"/>
          <cell r="J14"/>
          <cell r="K14" t="str">
            <v>%</v>
          </cell>
          <cell r="L14" t="str">
            <v>% del total de Stock con baja Rotación de inventarios</v>
          </cell>
          <cell r="M14"/>
          <cell r="N14"/>
          <cell r="O14"/>
          <cell r="P14"/>
          <cell r="Q14"/>
          <cell r="R14"/>
          <cell r="S14"/>
          <cell r="T14" t="str">
            <v>% del total de Stock con baja Rotación de inventarios</v>
          </cell>
          <cell r="U14"/>
          <cell r="V14"/>
        </row>
        <row r="15">
          <cell r="B15"/>
          <cell r="C15" t="str">
            <v>Fecha</v>
          </cell>
          <cell r="D15" t="str">
            <v>TIPO2</v>
          </cell>
          <cell r="E15"/>
          <cell r="F15" t="str">
            <v>Performance</v>
          </cell>
          <cell r="G15"/>
          <cell r="H15"/>
          <cell r="I15" t="str">
            <v>Sup</v>
          </cell>
          <cell r="J15" t="str">
            <v>Inf</v>
          </cell>
          <cell r="K15"/>
          <cell r="L15" t="str">
            <v>Performance</v>
          </cell>
          <cell r="M15"/>
          <cell r="N15"/>
          <cell r="O15" t="str">
            <v>Sup</v>
          </cell>
          <cell r="P15" t="str">
            <v>Inf</v>
          </cell>
          <cell r="Q15"/>
          <cell r="R15" t="str">
            <v>Fecha</v>
          </cell>
          <cell r="S15" t="str">
            <v>TIPO2</v>
          </cell>
          <cell r="T15" t="str">
            <v>Anteriores</v>
          </cell>
          <cell r="U15" t="str">
            <v>Real</v>
          </cell>
          <cell r="V15" t="str">
            <v>Programado</v>
          </cell>
        </row>
        <row r="16">
          <cell r="B16">
            <v>39083</v>
          </cell>
          <cell r="C16">
            <v>39083</v>
          </cell>
          <cell r="D16" t="str">
            <v>TOTAL</v>
          </cell>
          <cell r="E16">
            <v>0</v>
          </cell>
          <cell r="F16" t="str">
            <v>g</v>
          </cell>
          <cell r="G16" t="str">
            <v>c</v>
          </cell>
          <cell r="H16" t="str">
            <v>c</v>
          </cell>
          <cell r="I16">
            <v>0.03</v>
          </cell>
          <cell r="J16">
            <v>0.01</v>
          </cell>
          <cell r="K16">
            <v>0</v>
          </cell>
          <cell r="L16" t="str">
            <v>g</v>
          </cell>
          <cell r="M16" t="str">
            <v>c</v>
          </cell>
          <cell r="N16" t="str">
            <v>c</v>
          </cell>
          <cell r="O16">
            <v>0.03</v>
          </cell>
          <cell r="P16">
            <v>0.01</v>
          </cell>
          <cell r="Q16"/>
          <cell r="R16">
            <v>39083</v>
          </cell>
          <cell r="S16" t="str">
            <v>TOTAL</v>
          </cell>
          <cell r="T16"/>
          <cell r="U16"/>
          <cell r="V16"/>
          <cell r="W16" t="str">
            <v/>
          </cell>
          <cell r="X16"/>
          <cell r="Y16">
            <v>0</v>
          </cell>
          <cell r="Z16"/>
          <cell r="AA16"/>
          <cell r="AB16"/>
          <cell r="AC16">
            <v>0</v>
          </cell>
          <cell r="AD16">
            <v>8000</v>
          </cell>
          <cell r="AE16">
            <v>0</v>
          </cell>
          <cell r="AF16" t="e">
            <v>#DIV/0!</v>
          </cell>
          <cell r="AG16">
            <v>-8000</v>
          </cell>
          <cell r="AH16" t="e">
            <v>#DIV/0!</v>
          </cell>
          <cell r="AI16"/>
          <cell r="AJ16"/>
          <cell r="AK16">
            <v>0</v>
          </cell>
          <cell r="AL16">
            <v>0</v>
          </cell>
          <cell r="AM16">
            <v>0</v>
          </cell>
          <cell r="AN16"/>
          <cell r="AO16">
            <v>0</v>
          </cell>
          <cell r="AP16" t="e">
            <v>#DIV/0!</v>
          </cell>
          <cell r="AQ16">
            <v>0</v>
          </cell>
          <cell r="AR16" t="e">
            <v>#DIV/0!</v>
          </cell>
        </row>
        <row r="17">
          <cell r="B17">
            <v>39114</v>
          </cell>
          <cell r="C17">
            <v>39114</v>
          </cell>
          <cell r="D17" t="str">
            <v>TOTAL</v>
          </cell>
          <cell r="E17">
            <v>0</v>
          </cell>
          <cell r="F17" t="str">
            <v>g</v>
          </cell>
          <cell r="G17" t="str">
            <v>c</v>
          </cell>
          <cell r="H17" t="str">
            <v>c</v>
          </cell>
          <cell r="I17">
            <v>0.03</v>
          </cell>
          <cell r="J17">
            <v>0.01</v>
          </cell>
          <cell r="K17">
            <v>0</v>
          </cell>
          <cell r="L17" t="str">
            <v>g</v>
          </cell>
          <cell r="M17" t="str">
            <v>c</v>
          </cell>
          <cell r="N17" t="str">
            <v>c</v>
          </cell>
          <cell r="O17">
            <v>0.03</v>
          </cell>
          <cell r="P17">
            <v>0.01</v>
          </cell>
          <cell r="Q17"/>
          <cell r="R17">
            <v>39114</v>
          </cell>
          <cell r="S17" t="str">
            <v>TOTAL</v>
          </cell>
          <cell r="T17"/>
          <cell r="U17"/>
          <cell r="V17"/>
          <cell r="W17" t="str">
            <v/>
          </cell>
          <cell r="X17"/>
          <cell r="Y17">
            <v>0</v>
          </cell>
          <cell r="Z17"/>
          <cell r="AA17"/>
          <cell r="AB17"/>
          <cell r="AC17">
            <v>0</v>
          </cell>
          <cell r="AD17">
            <v>8000</v>
          </cell>
          <cell r="AE17">
            <v>0</v>
          </cell>
          <cell r="AF17" t="e">
            <v>#DIV/0!</v>
          </cell>
          <cell r="AG17">
            <v>-8000</v>
          </cell>
          <cell r="AH17" t="e">
            <v>#DIV/0!</v>
          </cell>
          <cell r="AI17"/>
          <cell r="AJ17"/>
          <cell r="AK17"/>
          <cell r="AL17">
            <v>0</v>
          </cell>
          <cell r="AM17" t="str">
            <v/>
          </cell>
          <cell r="AN17"/>
          <cell r="AO17">
            <v>0</v>
          </cell>
          <cell r="AP17" t="e">
            <v>#DIV/0!</v>
          </cell>
          <cell r="AQ17">
            <v>0</v>
          </cell>
          <cell r="AR17" t="e">
            <v>#DIV/0!</v>
          </cell>
        </row>
        <row r="18">
          <cell r="B18">
            <v>39142</v>
          </cell>
          <cell r="C18">
            <v>39142</v>
          </cell>
          <cell r="D18" t="str">
            <v>TOTAL</v>
          </cell>
          <cell r="E18">
            <v>0</v>
          </cell>
          <cell r="F18" t="str">
            <v>g</v>
          </cell>
          <cell r="G18" t="str">
            <v>c</v>
          </cell>
          <cell r="H18" t="str">
            <v>c</v>
          </cell>
          <cell r="I18">
            <v>0.03</v>
          </cell>
          <cell r="J18">
            <v>0.01</v>
          </cell>
          <cell r="K18">
            <v>0</v>
          </cell>
          <cell r="L18" t="str">
            <v>g</v>
          </cell>
          <cell r="M18" t="str">
            <v>c</v>
          </cell>
          <cell r="N18" t="str">
            <v>c</v>
          </cell>
          <cell r="O18">
            <v>0.03</v>
          </cell>
          <cell r="P18">
            <v>0.01</v>
          </cell>
          <cell r="Q18"/>
          <cell r="R18">
            <v>39142</v>
          </cell>
          <cell r="S18" t="str">
            <v>TOTAL</v>
          </cell>
          <cell r="T18"/>
          <cell r="U18"/>
          <cell r="V18"/>
          <cell r="W18" t="str">
            <v/>
          </cell>
          <cell r="X18"/>
          <cell r="Y18">
            <v>0</v>
          </cell>
          <cell r="Z18"/>
          <cell r="AA18"/>
          <cell r="AB18"/>
          <cell r="AC18">
            <v>0</v>
          </cell>
          <cell r="AD18">
            <v>8000</v>
          </cell>
          <cell r="AE18">
            <v>0</v>
          </cell>
          <cell r="AF18" t="e">
            <v>#DIV/0!</v>
          </cell>
          <cell r="AG18">
            <v>-8000</v>
          </cell>
          <cell r="AH18" t="e">
            <v>#DIV/0!</v>
          </cell>
          <cell r="AI18"/>
          <cell r="AJ18"/>
          <cell r="AK18"/>
          <cell r="AL18">
            <v>0</v>
          </cell>
          <cell r="AM18" t="str">
            <v/>
          </cell>
          <cell r="AN18"/>
          <cell r="AO18">
            <v>0</v>
          </cell>
          <cell r="AP18" t="e">
            <v>#DIV/0!</v>
          </cell>
          <cell r="AQ18">
            <v>0</v>
          </cell>
          <cell r="AR18" t="e">
            <v>#DIV/0!</v>
          </cell>
        </row>
        <row r="19">
          <cell r="B19">
            <v>39173</v>
          </cell>
          <cell r="C19">
            <v>39173</v>
          </cell>
          <cell r="D19" t="str">
            <v>TOTAL</v>
          </cell>
          <cell r="E19">
            <v>0</v>
          </cell>
          <cell r="F19" t="str">
            <v>g</v>
          </cell>
          <cell r="G19" t="str">
            <v>c</v>
          </cell>
          <cell r="H19" t="str">
            <v>c</v>
          </cell>
          <cell r="I19">
            <v>0.03</v>
          </cell>
          <cell r="J19">
            <v>0.01</v>
          </cell>
          <cell r="K19">
            <v>0</v>
          </cell>
          <cell r="L19" t="str">
            <v>g</v>
          </cell>
          <cell r="M19" t="str">
            <v>c</v>
          </cell>
          <cell r="N19" t="str">
            <v>c</v>
          </cell>
          <cell r="O19">
            <v>0.03</v>
          </cell>
          <cell r="P19">
            <v>0.01</v>
          </cell>
          <cell r="Q19"/>
          <cell r="R19">
            <v>39173</v>
          </cell>
          <cell r="S19" t="str">
            <v>TOTAL</v>
          </cell>
          <cell r="T19"/>
          <cell r="U19"/>
          <cell r="V19"/>
          <cell r="W19" t="str">
            <v/>
          </cell>
          <cell r="X19"/>
          <cell r="Y19">
            <v>0</v>
          </cell>
          <cell r="Z19"/>
          <cell r="AA19"/>
          <cell r="AB19"/>
          <cell r="AC19">
            <v>0</v>
          </cell>
          <cell r="AD19">
            <v>8000</v>
          </cell>
          <cell r="AE19">
            <v>0</v>
          </cell>
          <cell r="AF19" t="e">
            <v>#DIV/0!</v>
          </cell>
          <cell r="AG19">
            <v>-8000</v>
          </cell>
          <cell r="AH19" t="e">
            <v>#DIV/0!</v>
          </cell>
          <cell r="AI19"/>
          <cell r="AJ19"/>
          <cell r="AK19"/>
          <cell r="AL19">
            <v>0</v>
          </cell>
          <cell r="AM19" t="str">
            <v/>
          </cell>
          <cell r="AN19"/>
          <cell r="AO19">
            <v>0</v>
          </cell>
          <cell r="AP19" t="e">
            <v>#DIV/0!</v>
          </cell>
          <cell r="AQ19">
            <v>0</v>
          </cell>
          <cell r="AR19" t="e">
            <v>#DIV/0!</v>
          </cell>
        </row>
        <row r="20">
          <cell r="B20">
            <v>39203</v>
          </cell>
          <cell r="C20">
            <v>39203</v>
          </cell>
          <cell r="D20" t="str">
            <v>TOTAL</v>
          </cell>
          <cell r="E20">
            <v>0</v>
          </cell>
          <cell r="F20" t="str">
            <v>g</v>
          </cell>
          <cell r="G20" t="str">
            <v>c</v>
          </cell>
          <cell r="H20" t="str">
            <v>c</v>
          </cell>
          <cell r="I20">
            <v>0.03</v>
          </cell>
          <cell r="J20">
            <v>0.01</v>
          </cell>
          <cell r="K20">
            <v>0</v>
          </cell>
          <cell r="L20" t="str">
            <v>g</v>
          </cell>
          <cell r="M20" t="str">
            <v>c</v>
          </cell>
          <cell r="N20" t="str">
            <v>c</v>
          </cell>
          <cell r="O20">
            <v>0.03</v>
          </cell>
          <cell r="P20">
            <v>0.01</v>
          </cell>
          <cell r="Q20"/>
          <cell r="R20">
            <v>39203</v>
          </cell>
          <cell r="S20" t="str">
            <v>TOTAL</v>
          </cell>
          <cell r="T20"/>
          <cell r="U20"/>
          <cell r="V20"/>
          <cell r="W20" t="str">
            <v/>
          </cell>
          <cell r="X20"/>
          <cell r="Y20">
            <v>0</v>
          </cell>
          <cell r="Z20"/>
          <cell r="AA20"/>
          <cell r="AB20"/>
          <cell r="AC20">
            <v>0</v>
          </cell>
          <cell r="AD20">
            <v>8000</v>
          </cell>
          <cell r="AE20">
            <v>0</v>
          </cell>
          <cell r="AF20" t="e">
            <v>#DIV/0!</v>
          </cell>
          <cell r="AG20">
            <v>-8000</v>
          </cell>
          <cell r="AH20" t="e">
            <v>#DIV/0!</v>
          </cell>
          <cell r="AI20"/>
          <cell r="AJ20"/>
          <cell r="AK20"/>
          <cell r="AL20">
            <v>0</v>
          </cell>
          <cell r="AM20" t="str">
            <v/>
          </cell>
          <cell r="AN20"/>
          <cell r="AO20">
            <v>0</v>
          </cell>
          <cell r="AP20" t="e">
            <v>#DIV/0!</v>
          </cell>
          <cell r="AQ20">
            <v>0</v>
          </cell>
          <cell r="AR20" t="e">
            <v>#DIV/0!</v>
          </cell>
        </row>
        <row r="21">
          <cell r="B21">
            <v>39234</v>
          </cell>
          <cell r="C21">
            <v>39234</v>
          </cell>
          <cell r="D21" t="str">
            <v>TOTAL</v>
          </cell>
          <cell r="E21">
            <v>0</v>
          </cell>
          <cell r="F21" t="str">
            <v>g</v>
          </cell>
          <cell r="G21" t="str">
            <v>c</v>
          </cell>
          <cell r="H21" t="str">
            <v>c</v>
          </cell>
          <cell r="I21">
            <v>0.03</v>
          </cell>
          <cell r="J21">
            <v>0.01</v>
          </cell>
          <cell r="K21">
            <v>0</v>
          </cell>
          <cell r="L21" t="str">
            <v>g</v>
          </cell>
          <cell r="M21" t="str">
            <v>c</v>
          </cell>
          <cell r="N21" t="str">
            <v>c</v>
          </cell>
          <cell r="O21">
            <v>0.03</v>
          </cell>
          <cell r="P21">
            <v>0.01</v>
          </cell>
          <cell r="Q21"/>
          <cell r="R21">
            <v>39234</v>
          </cell>
          <cell r="S21" t="str">
            <v>TOTAL</v>
          </cell>
          <cell r="T21"/>
          <cell r="U21"/>
          <cell r="V21"/>
          <cell r="W21" t="str">
            <v/>
          </cell>
          <cell r="X21"/>
          <cell r="Y21">
            <v>0</v>
          </cell>
          <cell r="Z21"/>
          <cell r="AA21"/>
          <cell r="AB21"/>
          <cell r="AC21">
            <v>0</v>
          </cell>
          <cell r="AD21">
            <v>8000</v>
          </cell>
          <cell r="AE21">
            <v>0</v>
          </cell>
          <cell r="AF21" t="e">
            <v>#DIV/0!</v>
          </cell>
          <cell r="AG21">
            <v>-8000</v>
          </cell>
          <cell r="AH21" t="e">
            <v>#DIV/0!</v>
          </cell>
          <cell r="AI21"/>
          <cell r="AJ21"/>
          <cell r="AK21"/>
          <cell r="AL21">
            <v>0</v>
          </cell>
          <cell r="AM21" t="str">
            <v/>
          </cell>
          <cell r="AN21"/>
          <cell r="AO21">
            <v>0</v>
          </cell>
          <cell r="AP21" t="e">
            <v>#DIV/0!</v>
          </cell>
          <cell r="AQ21">
            <v>0</v>
          </cell>
          <cell r="AR21" t="e">
            <v>#DIV/0!</v>
          </cell>
        </row>
        <row r="22">
          <cell r="B22">
            <v>39264</v>
          </cell>
          <cell r="C22">
            <v>39264</v>
          </cell>
          <cell r="D22" t="str">
            <v>TOTAL</v>
          </cell>
          <cell r="E22">
            <v>0</v>
          </cell>
          <cell r="F22" t="str">
            <v>g</v>
          </cell>
          <cell r="G22" t="str">
            <v>c</v>
          </cell>
          <cell r="H22" t="str">
            <v>c</v>
          </cell>
          <cell r="I22">
            <v>0.03</v>
          </cell>
          <cell r="J22">
            <v>0.01</v>
          </cell>
          <cell r="K22">
            <v>0</v>
          </cell>
          <cell r="L22" t="str">
            <v>g</v>
          </cell>
          <cell r="M22" t="str">
            <v>c</v>
          </cell>
          <cell r="N22" t="str">
            <v>c</v>
          </cell>
          <cell r="O22">
            <v>0.03</v>
          </cell>
          <cell r="P22">
            <v>0.01</v>
          </cell>
          <cell r="Q22"/>
          <cell r="R22">
            <v>39264</v>
          </cell>
          <cell r="S22" t="str">
            <v>TOTAL</v>
          </cell>
          <cell r="T22"/>
          <cell r="U22"/>
          <cell r="V22"/>
          <cell r="W22" t="str">
            <v/>
          </cell>
          <cell r="X22"/>
          <cell r="Y22">
            <v>0</v>
          </cell>
          <cell r="Z22"/>
          <cell r="AA22"/>
          <cell r="AB22"/>
          <cell r="AC22">
            <v>0</v>
          </cell>
          <cell r="AD22">
            <v>8000</v>
          </cell>
          <cell r="AE22">
            <v>0</v>
          </cell>
          <cell r="AF22" t="e">
            <v>#DIV/0!</v>
          </cell>
          <cell r="AG22">
            <v>-8000</v>
          </cell>
          <cell r="AH22" t="e">
            <v>#DIV/0!</v>
          </cell>
          <cell r="AI22"/>
          <cell r="AJ22"/>
          <cell r="AK22"/>
          <cell r="AL22">
            <v>0</v>
          </cell>
          <cell r="AM22" t="str">
            <v/>
          </cell>
          <cell r="AN22"/>
          <cell r="AO22">
            <v>0</v>
          </cell>
          <cell r="AP22" t="e">
            <v>#DIV/0!</v>
          </cell>
          <cell r="AQ22">
            <v>0</v>
          </cell>
          <cell r="AR22" t="e">
            <v>#DIV/0!</v>
          </cell>
        </row>
        <row r="23">
          <cell r="B23">
            <v>39295</v>
          </cell>
          <cell r="C23">
            <v>39295</v>
          </cell>
          <cell r="D23" t="str">
            <v>TOTAL</v>
          </cell>
          <cell r="E23">
            <v>0</v>
          </cell>
          <cell r="F23" t="str">
            <v>g</v>
          </cell>
          <cell r="G23" t="str">
            <v>c</v>
          </cell>
          <cell r="H23" t="str">
            <v>c</v>
          </cell>
          <cell r="I23">
            <v>0.03</v>
          </cell>
          <cell r="J23">
            <v>0.01</v>
          </cell>
          <cell r="K23">
            <v>0</v>
          </cell>
          <cell r="L23" t="str">
            <v>g</v>
          </cell>
          <cell r="M23" t="str">
            <v>c</v>
          </cell>
          <cell r="N23" t="str">
            <v>c</v>
          </cell>
          <cell r="O23">
            <v>0.03</v>
          </cell>
          <cell r="P23">
            <v>0.01</v>
          </cell>
          <cell r="Q23"/>
          <cell r="R23">
            <v>39295</v>
          </cell>
          <cell r="S23" t="str">
            <v>TOTAL</v>
          </cell>
          <cell r="T23"/>
          <cell r="U23"/>
          <cell r="V23"/>
          <cell r="W23" t="str">
            <v/>
          </cell>
          <cell r="X23"/>
          <cell r="Y23">
            <v>0</v>
          </cell>
          <cell r="Z23"/>
          <cell r="AA23"/>
          <cell r="AB23"/>
          <cell r="AC23">
            <v>0</v>
          </cell>
          <cell r="AD23">
            <v>8000</v>
          </cell>
          <cell r="AE23">
            <v>0</v>
          </cell>
          <cell r="AF23" t="e">
            <v>#DIV/0!</v>
          </cell>
          <cell r="AG23">
            <v>-8000</v>
          </cell>
          <cell r="AH23" t="e">
            <v>#DIV/0!</v>
          </cell>
          <cell r="AI23"/>
          <cell r="AJ23"/>
          <cell r="AK23"/>
          <cell r="AL23">
            <v>0</v>
          </cell>
          <cell r="AM23" t="str">
            <v/>
          </cell>
          <cell r="AN23"/>
          <cell r="AO23">
            <v>0</v>
          </cell>
          <cell r="AP23" t="e">
            <v>#DIV/0!</v>
          </cell>
          <cell r="AQ23">
            <v>0</v>
          </cell>
          <cell r="AR23" t="e">
            <v>#DIV/0!</v>
          </cell>
        </row>
        <row r="24">
          <cell r="B24">
            <v>39326</v>
          </cell>
          <cell r="C24">
            <v>39326</v>
          </cell>
          <cell r="D24" t="str">
            <v>TOTAL</v>
          </cell>
          <cell r="E24">
            <v>0</v>
          </cell>
          <cell r="F24" t="str">
            <v>g</v>
          </cell>
          <cell r="G24" t="str">
            <v>c</v>
          </cell>
          <cell r="H24" t="str">
            <v>c</v>
          </cell>
          <cell r="I24">
            <v>0.03</v>
          </cell>
          <cell r="J24">
            <v>0.01</v>
          </cell>
          <cell r="K24">
            <v>0</v>
          </cell>
          <cell r="L24" t="str">
            <v>g</v>
          </cell>
          <cell r="M24" t="str">
            <v>c</v>
          </cell>
          <cell r="N24" t="str">
            <v>c</v>
          </cell>
          <cell r="O24">
            <v>0.03</v>
          </cell>
          <cell r="P24">
            <v>0.01</v>
          </cell>
          <cell r="Q24"/>
          <cell r="R24">
            <v>39326</v>
          </cell>
          <cell r="S24" t="str">
            <v>TOTAL</v>
          </cell>
          <cell r="T24"/>
          <cell r="U24"/>
          <cell r="V24"/>
          <cell r="W24" t="str">
            <v/>
          </cell>
          <cell r="X24"/>
          <cell r="Y24">
            <v>0</v>
          </cell>
          <cell r="Z24"/>
          <cell r="AA24"/>
          <cell r="AB24"/>
          <cell r="AC24">
            <v>0</v>
          </cell>
          <cell r="AD24">
            <v>8000</v>
          </cell>
          <cell r="AE24">
            <v>0</v>
          </cell>
          <cell r="AF24" t="e">
            <v>#DIV/0!</v>
          </cell>
          <cell r="AG24">
            <v>-8000</v>
          </cell>
          <cell r="AH24" t="e">
            <v>#DIV/0!</v>
          </cell>
          <cell r="AI24"/>
          <cell r="AJ24"/>
          <cell r="AK24"/>
          <cell r="AL24">
            <v>0</v>
          </cell>
          <cell r="AM24" t="str">
            <v/>
          </cell>
          <cell r="AN24"/>
          <cell r="AO24">
            <v>0</v>
          </cell>
          <cell r="AP24" t="e">
            <v>#DIV/0!</v>
          </cell>
          <cell r="AQ24">
            <v>0</v>
          </cell>
          <cell r="AR24" t="e">
            <v>#DIV/0!</v>
          </cell>
        </row>
        <row r="25">
          <cell r="B25">
            <v>39356</v>
          </cell>
          <cell r="C25">
            <v>39356</v>
          </cell>
          <cell r="D25" t="str">
            <v>TOTAL</v>
          </cell>
          <cell r="E25">
            <v>0</v>
          </cell>
          <cell r="F25" t="str">
            <v>g</v>
          </cell>
          <cell r="G25" t="str">
            <v>c</v>
          </cell>
          <cell r="H25" t="str">
            <v>c</v>
          </cell>
          <cell r="I25">
            <v>0.03</v>
          </cell>
          <cell r="J25">
            <v>0.01</v>
          </cell>
          <cell r="K25">
            <v>0</v>
          </cell>
          <cell r="L25" t="str">
            <v>g</v>
          </cell>
          <cell r="M25" t="str">
            <v>c</v>
          </cell>
          <cell r="N25" t="str">
            <v>c</v>
          </cell>
          <cell r="O25">
            <v>0.03</v>
          </cell>
          <cell r="P25">
            <v>0.01</v>
          </cell>
          <cell r="Q25"/>
          <cell r="R25">
            <v>39356</v>
          </cell>
          <cell r="S25" t="str">
            <v>TOTAL</v>
          </cell>
          <cell r="T25"/>
          <cell r="U25"/>
          <cell r="V25"/>
          <cell r="W25" t="str">
            <v/>
          </cell>
          <cell r="X25"/>
          <cell r="Y25">
            <v>0</v>
          </cell>
          <cell r="Z25"/>
          <cell r="AA25"/>
          <cell r="AB25"/>
          <cell r="AC25">
            <v>0</v>
          </cell>
          <cell r="AD25">
            <v>8000</v>
          </cell>
          <cell r="AE25">
            <v>0</v>
          </cell>
          <cell r="AF25" t="e">
            <v>#DIV/0!</v>
          </cell>
          <cell r="AG25">
            <v>-8000</v>
          </cell>
          <cell r="AH25" t="e">
            <v>#DIV/0!</v>
          </cell>
          <cell r="AI25"/>
          <cell r="AJ25"/>
          <cell r="AK25"/>
          <cell r="AL25">
            <v>0</v>
          </cell>
          <cell r="AM25" t="str">
            <v/>
          </cell>
          <cell r="AN25"/>
          <cell r="AO25">
            <v>0</v>
          </cell>
          <cell r="AP25" t="e">
            <v>#DIV/0!</v>
          </cell>
          <cell r="AQ25">
            <v>0</v>
          </cell>
          <cell r="AR25" t="e">
            <v>#DIV/0!</v>
          </cell>
        </row>
        <row r="26">
          <cell r="B26">
            <v>39387</v>
          </cell>
          <cell r="C26">
            <v>39387</v>
          </cell>
          <cell r="D26" t="str">
            <v>TOTAL</v>
          </cell>
          <cell r="E26">
            <v>0</v>
          </cell>
          <cell r="F26" t="str">
            <v>g</v>
          </cell>
          <cell r="G26" t="str">
            <v>c</v>
          </cell>
          <cell r="H26" t="str">
            <v>c</v>
          </cell>
          <cell r="I26">
            <v>0.03</v>
          </cell>
          <cell r="J26">
            <v>0.01</v>
          </cell>
          <cell r="K26">
            <v>0</v>
          </cell>
          <cell r="L26" t="str">
            <v>g</v>
          </cell>
          <cell r="M26" t="str">
            <v>c</v>
          </cell>
          <cell r="N26" t="str">
            <v>c</v>
          </cell>
          <cell r="O26">
            <v>0.03</v>
          </cell>
          <cell r="P26">
            <v>0.01</v>
          </cell>
          <cell r="Q26"/>
          <cell r="R26">
            <v>39387</v>
          </cell>
          <cell r="S26" t="str">
            <v>TOTAL</v>
          </cell>
          <cell r="T26"/>
          <cell r="U26"/>
          <cell r="V26"/>
          <cell r="W26" t="str">
            <v/>
          </cell>
          <cell r="X26"/>
          <cell r="Y26">
            <v>0</v>
          </cell>
          <cell r="Z26"/>
          <cell r="AA26"/>
          <cell r="AB26"/>
          <cell r="AC26">
            <v>0</v>
          </cell>
          <cell r="AD26">
            <v>8000</v>
          </cell>
          <cell r="AE26">
            <v>0</v>
          </cell>
          <cell r="AF26" t="e">
            <v>#DIV/0!</v>
          </cell>
          <cell r="AG26">
            <v>-8000</v>
          </cell>
          <cell r="AH26" t="e">
            <v>#DIV/0!</v>
          </cell>
          <cell r="AI26"/>
          <cell r="AJ26"/>
          <cell r="AK26"/>
          <cell r="AL26">
            <v>0</v>
          </cell>
          <cell r="AM26" t="str">
            <v/>
          </cell>
          <cell r="AN26"/>
          <cell r="AO26">
            <v>0</v>
          </cell>
          <cell r="AP26" t="e">
            <v>#DIV/0!</v>
          </cell>
          <cell r="AQ26">
            <v>0</v>
          </cell>
          <cell r="AR26" t="e">
            <v>#DIV/0!</v>
          </cell>
        </row>
        <row r="27">
          <cell r="B27">
            <v>39417</v>
          </cell>
          <cell r="C27">
            <v>39417</v>
          </cell>
          <cell r="D27" t="str">
            <v>TOTAL</v>
          </cell>
          <cell r="E27">
            <v>0</v>
          </cell>
          <cell r="F27"/>
          <cell r="G27"/>
          <cell r="H27"/>
          <cell r="I27">
            <v>0.03</v>
          </cell>
          <cell r="J27">
            <v>0.01</v>
          </cell>
          <cell r="K27">
            <v>0</v>
          </cell>
          <cell r="L27"/>
          <cell r="M27"/>
          <cell r="N27"/>
          <cell r="O27">
            <v>0.03</v>
          </cell>
          <cell r="P27">
            <v>0.01</v>
          </cell>
          <cell r="Q27"/>
          <cell r="R27">
            <v>39417</v>
          </cell>
          <cell r="S27" t="str">
            <v>TOTAL</v>
          </cell>
          <cell r="T27"/>
          <cell r="U27"/>
          <cell r="V27"/>
          <cell r="W27" t="str">
            <v/>
          </cell>
          <cell r="X27" t="str">
            <v/>
          </cell>
          <cell r="Y27">
            <v>0</v>
          </cell>
          <cell r="Z27"/>
          <cell r="AA27"/>
          <cell r="AB27"/>
          <cell r="AC27">
            <v>0</v>
          </cell>
          <cell r="AD27">
            <v>8000</v>
          </cell>
          <cell r="AE27">
            <v>0</v>
          </cell>
          <cell r="AF27" t="e">
            <v>#DIV/0!</v>
          </cell>
          <cell r="AG27">
            <v>-8000</v>
          </cell>
          <cell r="AH27" t="e">
            <v>#DIV/0!</v>
          </cell>
          <cell r="AI27"/>
          <cell r="AJ27"/>
          <cell r="AK27">
            <v>0</v>
          </cell>
          <cell r="AL27">
            <v>0</v>
          </cell>
          <cell r="AM27">
            <v>0</v>
          </cell>
          <cell r="AN27" t="str">
            <v/>
          </cell>
          <cell r="AO27">
            <v>0</v>
          </cell>
          <cell r="AP27" t="e">
            <v>#DIV/0!</v>
          </cell>
          <cell r="AQ27">
            <v>0</v>
          </cell>
          <cell r="AR27" t="e">
            <v>#DIV/0!</v>
          </cell>
        </row>
        <row r="28">
          <cell r="B28">
            <v>39448</v>
          </cell>
          <cell r="C28">
            <v>39448</v>
          </cell>
          <cell r="D28" t="str">
            <v>TOTAL</v>
          </cell>
          <cell r="E28">
            <v>0</v>
          </cell>
          <cell r="F28"/>
          <cell r="G28"/>
          <cell r="H28"/>
          <cell r="I28">
            <v>0.03</v>
          </cell>
          <cell r="J28">
            <v>0.01</v>
          </cell>
          <cell r="K28">
            <v>0</v>
          </cell>
          <cell r="L28"/>
          <cell r="M28"/>
          <cell r="N28"/>
          <cell r="O28">
            <v>0.03</v>
          </cell>
          <cell r="P28">
            <v>0.01</v>
          </cell>
          <cell r="Q28"/>
          <cell r="R28">
            <v>39448</v>
          </cell>
          <cell r="S28" t="str">
            <v>TOTAL</v>
          </cell>
          <cell r="T28"/>
          <cell r="U28"/>
          <cell r="V28"/>
          <cell r="W28" t="str">
            <v/>
          </cell>
          <cell r="X28" t="str">
            <v/>
          </cell>
          <cell r="Y28">
            <v>0</v>
          </cell>
          <cell r="Z28" t="e">
            <v>#DIV/0!</v>
          </cell>
          <cell r="AA28"/>
          <cell r="AB28">
            <v>0</v>
          </cell>
          <cell r="AC28">
            <v>0</v>
          </cell>
          <cell r="AD28">
            <v>8000</v>
          </cell>
          <cell r="AE28">
            <v>0</v>
          </cell>
          <cell r="AF28" t="e">
            <v>#DIV/0!</v>
          </cell>
          <cell r="AG28">
            <v>-8000</v>
          </cell>
          <cell r="AH28" t="e">
            <v>#DIV/0!</v>
          </cell>
          <cell r="AI28"/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 t="str">
            <v/>
          </cell>
          <cell r="AO28">
            <v>0</v>
          </cell>
          <cell r="AP28" t="e">
            <v>#DIV/0!</v>
          </cell>
          <cell r="AQ28">
            <v>0</v>
          </cell>
          <cell r="AR28" t="e">
            <v>#DIV/0!</v>
          </cell>
        </row>
        <row r="29">
          <cell r="B29">
            <v>39479</v>
          </cell>
          <cell r="C29">
            <v>39479</v>
          </cell>
          <cell r="D29" t="str">
            <v>TOTAL</v>
          </cell>
          <cell r="E29">
            <v>0</v>
          </cell>
          <cell r="F29"/>
          <cell r="G29"/>
          <cell r="H29"/>
          <cell r="I29">
            <v>0.03</v>
          </cell>
          <cell r="J29">
            <v>0.01</v>
          </cell>
          <cell r="K29">
            <v>0</v>
          </cell>
          <cell r="L29"/>
          <cell r="M29"/>
          <cell r="N29"/>
          <cell r="O29">
            <v>0.03</v>
          </cell>
          <cell r="P29">
            <v>0.01</v>
          </cell>
          <cell r="Q29"/>
          <cell r="R29">
            <v>39479</v>
          </cell>
          <cell r="S29" t="str">
            <v>TOTAL</v>
          </cell>
          <cell r="T29"/>
          <cell r="U29"/>
          <cell r="V29"/>
          <cell r="W29" t="str">
            <v/>
          </cell>
          <cell r="X29" t="str">
            <v/>
          </cell>
          <cell r="Y29">
            <v>0</v>
          </cell>
          <cell r="Z29" t="e">
            <v>#DIV/0!</v>
          </cell>
          <cell r="AA29"/>
          <cell r="AB29">
            <v>0</v>
          </cell>
          <cell r="AC29">
            <v>0</v>
          </cell>
          <cell r="AD29">
            <v>8000</v>
          </cell>
          <cell r="AE29">
            <v>0</v>
          </cell>
          <cell r="AF29" t="e">
            <v>#DIV/0!</v>
          </cell>
          <cell r="AG29">
            <v>-8000</v>
          </cell>
          <cell r="AH29" t="e">
            <v>#DIV/0!</v>
          </cell>
          <cell r="AI29"/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 t="str">
            <v/>
          </cell>
          <cell r="AO29">
            <v>0</v>
          </cell>
          <cell r="AP29" t="e">
            <v>#DIV/0!</v>
          </cell>
          <cell r="AQ29">
            <v>0</v>
          </cell>
          <cell r="AR29" t="e">
            <v>#DIV/0!</v>
          </cell>
        </row>
        <row r="30">
          <cell r="B30">
            <v>39508</v>
          </cell>
          <cell r="C30">
            <v>39508</v>
          </cell>
          <cell r="D30" t="str">
            <v>TOTAL</v>
          </cell>
          <cell r="E30">
            <v>0</v>
          </cell>
          <cell r="F30"/>
          <cell r="G30"/>
          <cell r="H30"/>
          <cell r="I30">
            <v>0.03</v>
          </cell>
          <cell r="J30">
            <v>0.01</v>
          </cell>
          <cell r="K30">
            <v>0</v>
          </cell>
          <cell r="L30"/>
          <cell r="M30"/>
          <cell r="N30"/>
          <cell r="O30">
            <v>0.03</v>
          </cell>
          <cell r="P30">
            <v>0.01</v>
          </cell>
          <cell r="Q30"/>
          <cell r="R30">
            <v>39508</v>
          </cell>
          <cell r="S30" t="str">
            <v>TOTAL</v>
          </cell>
          <cell r="T30"/>
          <cell r="U30"/>
          <cell r="V30"/>
          <cell r="W30" t="str">
            <v/>
          </cell>
          <cell r="X30" t="str">
            <v/>
          </cell>
          <cell r="Y30">
            <v>0</v>
          </cell>
          <cell r="Z30" t="e">
            <v>#DIV/0!</v>
          </cell>
          <cell r="AA30"/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 t="e">
            <v>#DIV/0!</v>
          </cell>
          <cell r="AG30">
            <v>0</v>
          </cell>
          <cell r="AH30" t="e">
            <v>#DIV/0!</v>
          </cell>
          <cell r="AI30"/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 t="str">
            <v/>
          </cell>
          <cell r="AO30">
            <v>0</v>
          </cell>
          <cell r="AP30" t="e">
            <v>#DIV/0!</v>
          </cell>
          <cell r="AQ30">
            <v>0</v>
          </cell>
          <cell r="AR30" t="e">
            <v>#DIV/0!</v>
          </cell>
        </row>
        <row r="31">
          <cell r="B31">
            <v>39539</v>
          </cell>
          <cell r="C31">
            <v>39539</v>
          </cell>
          <cell r="D31" t="str">
            <v>TOTAL</v>
          </cell>
          <cell r="E31">
            <v>6.2815309835721797E-2</v>
          </cell>
          <cell r="F31" t="str">
            <v>c</v>
          </cell>
          <cell r="G31" t="str">
            <v>c</v>
          </cell>
          <cell r="H31" t="str">
            <v>g</v>
          </cell>
          <cell r="I31">
            <v>0.03</v>
          </cell>
          <cell r="J31">
            <v>0.01</v>
          </cell>
          <cell r="K31">
            <v>6.2815278478015296E-2</v>
          </cell>
          <cell r="L31" t="str">
            <v>c</v>
          </cell>
          <cell r="M31" t="str">
            <v>c</v>
          </cell>
          <cell r="N31" t="str">
            <v>g</v>
          </cell>
          <cell r="O31">
            <v>0.03</v>
          </cell>
          <cell r="P31">
            <v>0.01</v>
          </cell>
          <cell r="Q31"/>
          <cell r="R31">
            <v>39539</v>
          </cell>
          <cell r="S31" t="str">
            <v>TOTAL</v>
          </cell>
          <cell r="T31"/>
          <cell r="U31">
            <v>6.2815309835721797E-2</v>
          </cell>
          <cell r="V31">
            <v>0</v>
          </cell>
          <cell r="W31">
            <v>6.2815309835721797E-2</v>
          </cell>
          <cell r="X31" t="str">
            <v/>
          </cell>
          <cell r="Y31">
            <v>6.2815309835721797E-2</v>
          </cell>
          <cell r="Z31" t="e">
            <v>#DIV/0!</v>
          </cell>
          <cell r="AA31"/>
          <cell r="AB31">
            <v>0</v>
          </cell>
          <cell r="AC31">
            <v>4152412.0700000003</v>
          </cell>
          <cell r="AD31">
            <v>0</v>
          </cell>
          <cell r="AE31">
            <v>4152412.0700000003</v>
          </cell>
          <cell r="AF31">
            <v>-1</v>
          </cell>
          <cell r="AG31">
            <v>4152412.0700000003</v>
          </cell>
          <cell r="AH31">
            <v>-1</v>
          </cell>
          <cell r="AI31"/>
          <cell r="AJ31">
            <v>0</v>
          </cell>
          <cell r="AK31">
            <v>6.2815278478015296E-2</v>
          </cell>
          <cell r="AL31">
            <v>0</v>
          </cell>
          <cell r="AM31">
            <v>6.2815278478015296E-2</v>
          </cell>
          <cell r="AN31" t="str">
            <v/>
          </cell>
          <cell r="AO31">
            <v>6.2815278478015296E-2</v>
          </cell>
          <cell r="AP31" t="e">
            <v>#DIV/0!</v>
          </cell>
          <cell r="AQ31">
            <v>0</v>
          </cell>
          <cell r="AR31" t="e">
            <v>#DIV/0!</v>
          </cell>
        </row>
        <row r="32">
          <cell r="B32">
            <v>39569</v>
          </cell>
          <cell r="C32">
            <v>39569</v>
          </cell>
          <cell r="D32" t="str">
            <v>TOTAL</v>
          </cell>
          <cell r="E32">
            <v>8.4234390522733876E-2</v>
          </cell>
          <cell r="F32" t="str">
            <v>c</v>
          </cell>
          <cell r="G32" t="str">
            <v>c</v>
          </cell>
          <cell r="H32" t="str">
            <v>g</v>
          </cell>
          <cell r="I32">
            <v>0.03</v>
          </cell>
          <cell r="J32">
            <v>0.01</v>
          </cell>
          <cell r="K32">
            <v>7.3671180389161525E-2</v>
          </cell>
          <cell r="L32" t="str">
            <v>c</v>
          </cell>
          <cell r="M32" t="str">
            <v>c</v>
          </cell>
          <cell r="N32" t="str">
            <v>g</v>
          </cell>
          <cell r="O32">
            <v>0.03</v>
          </cell>
          <cell r="P32">
            <v>0.01</v>
          </cell>
          <cell r="Q32"/>
          <cell r="R32">
            <v>39569</v>
          </cell>
          <cell r="S32" t="str">
            <v>TOTAL</v>
          </cell>
          <cell r="T32"/>
          <cell r="U32">
            <v>8.4234390522733876E-2</v>
          </cell>
          <cell r="V32">
            <v>0</v>
          </cell>
          <cell r="W32">
            <v>8.4234390522733876E-2</v>
          </cell>
          <cell r="X32" t="str">
            <v/>
          </cell>
          <cell r="Y32">
            <v>8.4234390522733876E-2</v>
          </cell>
          <cell r="Z32" t="e">
            <v>#DIV/0!</v>
          </cell>
          <cell r="AA32"/>
          <cell r="AB32">
            <v>0</v>
          </cell>
          <cell r="AC32">
            <v>5722613.9700000007</v>
          </cell>
          <cell r="AD32">
            <v>0</v>
          </cell>
          <cell r="AE32">
            <v>5722613.9700000007</v>
          </cell>
          <cell r="AF32">
            <v>-1</v>
          </cell>
          <cell r="AG32">
            <v>5722613.9700000007</v>
          </cell>
          <cell r="AH32">
            <v>-1</v>
          </cell>
          <cell r="AI32"/>
          <cell r="AJ32">
            <v>0</v>
          </cell>
          <cell r="AK32">
            <v>7.3671180389161525E-2</v>
          </cell>
          <cell r="AL32">
            <v>0</v>
          </cell>
          <cell r="AM32">
            <v>7.3671180389161525E-2</v>
          </cell>
          <cell r="AN32" t="str">
            <v/>
          </cell>
          <cell r="AO32">
            <v>7.3671180389161525E-2</v>
          </cell>
          <cell r="AP32" t="e">
            <v>#DIV/0!</v>
          </cell>
          <cell r="AQ32">
            <v>0</v>
          </cell>
          <cell r="AR32" t="e">
            <v>#DIV/0!</v>
          </cell>
        </row>
        <row r="33">
          <cell r="B33">
            <v>39600</v>
          </cell>
          <cell r="C33">
            <v>39600</v>
          </cell>
          <cell r="D33" t="str">
            <v>TOTAL</v>
          </cell>
          <cell r="E33">
            <v>7.5178614231142055E-2</v>
          </cell>
          <cell r="F33" t="str">
            <v>c</v>
          </cell>
          <cell r="G33" t="str">
            <v>c</v>
          </cell>
          <cell r="H33" t="str">
            <v>g</v>
          </cell>
          <cell r="I33">
            <v>0.03</v>
          </cell>
          <cell r="J33">
            <v>0.01</v>
          </cell>
          <cell r="K33">
            <v>7.4170127646449424E-2</v>
          </cell>
          <cell r="L33" t="str">
            <v>c</v>
          </cell>
          <cell r="M33" t="str">
            <v>c</v>
          </cell>
          <cell r="N33" t="str">
            <v>g</v>
          </cell>
          <cell r="O33">
            <v>0.03</v>
          </cell>
          <cell r="P33">
            <v>0.01</v>
          </cell>
          <cell r="Q33"/>
          <cell r="R33">
            <v>39600</v>
          </cell>
          <cell r="S33" t="str">
            <v>TOTAL</v>
          </cell>
          <cell r="T33"/>
          <cell r="U33">
            <v>7.5178614231142055E-2</v>
          </cell>
          <cell r="V33">
            <v>0</v>
          </cell>
          <cell r="W33">
            <v>7.5178614231142055E-2</v>
          </cell>
          <cell r="X33" t="str">
            <v/>
          </cell>
          <cell r="Y33">
            <v>7.5178614231142055E-2</v>
          </cell>
          <cell r="Z33" t="e">
            <v>#DIV/0!</v>
          </cell>
          <cell r="AA33"/>
          <cell r="AB33">
            <v>0</v>
          </cell>
          <cell r="AC33">
            <v>4985606.5999999996</v>
          </cell>
          <cell r="AD33">
            <v>0</v>
          </cell>
          <cell r="AE33">
            <v>4985606.5999999996</v>
          </cell>
          <cell r="AF33">
            <v>-1</v>
          </cell>
          <cell r="AG33">
            <v>4985606.5999999996</v>
          </cell>
          <cell r="AH33">
            <v>-1</v>
          </cell>
          <cell r="AI33"/>
          <cell r="AJ33">
            <v>0</v>
          </cell>
          <cell r="AK33">
            <v>7.4170127646449424E-2</v>
          </cell>
          <cell r="AL33">
            <v>0</v>
          </cell>
          <cell r="AM33">
            <v>7.4170127646449424E-2</v>
          </cell>
          <cell r="AN33" t="str">
            <v/>
          </cell>
          <cell r="AO33">
            <v>7.4170127646449424E-2</v>
          </cell>
          <cell r="AP33" t="e">
            <v>#DIV/0!</v>
          </cell>
          <cell r="AQ33">
            <v>0</v>
          </cell>
          <cell r="AR33" t="e">
            <v>#DIV/0!</v>
          </cell>
        </row>
        <row r="34">
          <cell r="B34">
            <v>39630</v>
          </cell>
          <cell r="C34">
            <v>39630</v>
          </cell>
          <cell r="D34" t="str">
            <v>TOTAL</v>
          </cell>
          <cell r="E34">
            <v>0.18958760093275501</v>
          </cell>
          <cell r="F34" t="str">
            <v>c</v>
          </cell>
          <cell r="G34" t="str">
            <v>c</v>
          </cell>
          <cell r="H34" t="str">
            <v>g</v>
          </cell>
          <cell r="I34">
            <v>0.03</v>
          </cell>
          <cell r="J34">
            <v>0.01</v>
          </cell>
          <cell r="K34">
            <v>9.989965467753098E-2</v>
          </cell>
          <cell r="L34" t="str">
            <v>c</v>
          </cell>
          <cell r="M34" t="str">
            <v>c</v>
          </cell>
          <cell r="N34" t="str">
            <v>g</v>
          </cell>
          <cell r="O34">
            <v>0.03</v>
          </cell>
          <cell r="P34">
            <v>0.01</v>
          </cell>
          <cell r="Q34"/>
          <cell r="R34">
            <v>39630</v>
          </cell>
          <cell r="S34" t="str">
            <v>TOTAL</v>
          </cell>
          <cell r="T34"/>
          <cell r="U34">
            <v>0.18958760093275501</v>
          </cell>
          <cell r="V34">
            <v>0</v>
          </cell>
          <cell r="W34">
            <v>0.18958760093275501</v>
          </cell>
          <cell r="X34" t="str">
            <v/>
          </cell>
          <cell r="Y34">
            <v>0.18958760093275501</v>
          </cell>
          <cell r="Z34" t="e">
            <v>#DIV/0!</v>
          </cell>
          <cell r="AA34"/>
          <cell r="AB34">
            <v>0</v>
          </cell>
          <cell r="AC34">
            <v>10897224.580000002</v>
          </cell>
          <cell r="AD34">
            <v>0</v>
          </cell>
          <cell r="AE34">
            <v>10897224.580000002</v>
          </cell>
          <cell r="AF34">
            <v>-1</v>
          </cell>
          <cell r="AG34">
            <v>10897224.580000002</v>
          </cell>
          <cell r="AH34">
            <v>-1</v>
          </cell>
          <cell r="AI34"/>
          <cell r="AJ34">
            <v>0</v>
          </cell>
          <cell r="AK34">
            <v>9.989965467753098E-2</v>
          </cell>
          <cell r="AL34">
            <v>0</v>
          </cell>
          <cell r="AM34">
            <v>9.989965467753098E-2</v>
          </cell>
          <cell r="AN34" t="str">
            <v/>
          </cell>
          <cell r="AO34">
            <v>9.989965467753098E-2</v>
          </cell>
          <cell r="AP34" t="e">
            <v>#DIV/0!</v>
          </cell>
          <cell r="AQ34">
            <v>0</v>
          </cell>
          <cell r="AR34" t="e">
            <v>#DIV/0!</v>
          </cell>
        </row>
        <row r="35">
          <cell r="B35">
            <v>39661</v>
          </cell>
          <cell r="C35">
            <v>39661</v>
          </cell>
          <cell r="D35" t="str">
            <v>TOTAL</v>
          </cell>
          <cell r="E35">
            <v>8.7473142025256856E-2</v>
          </cell>
          <cell r="F35" t="str">
            <v>c</v>
          </cell>
          <cell r="G35" t="str">
            <v>c</v>
          </cell>
          <cell r="H35" t="str">
            <v>g</v>
          </cell>
          <cell r="I35">
            <v>0.03</v>
          </cell>
          <cell r="J35">
            <v>0.01</v>
          </cell>
          <cell r="K35">
            <v>9.7846841269058321E-2</v>
          </cell>
          <cell r="L35" t="str">
            <v>c</v>
          </cell>
          <cell r="M35" t="str">
            <v>c</v>
          </cell>
          <cell r="N35" t="str">
            <v>g</v>
          </cell>
          <cell r="O35">
            <v>0.03</v>
          </cell>
          <cell r="P35">
            <v>0.01</v>
          </cell>
          <cell r="Q35"/>
          <cell r="R35">
            <v>39661</v>
          </cell>
          <cell r="S35" t="str">
            <v>TOTAL</v>
          </cell>
          <cell r="T35"/>
          <cell r="U35">
            <v>8.7473142025256856E-2</v>
          </cell>
          <cell r="V35">
            <v>0</v>
          </cell>
          <cell r="W35">
            <v>8.7473142025256856E-2</v>
          </cell>
          <cell r="X35" t="str">
            <v/>
          </cell>
          <cell r="Y35">
            <v>8.7473142025256856E-2</v>
          </cell>
          <cell r="Z35" t="e">
            <v>#DIV/0!</v>
          </cell>
          <cell r="AA35"/>
          <cell r="AB35">
            <v>0</v>
          </cell>
          <cell r="AC35">
            <v>4463099.1500000022</v>
          </cell>
          <cell r="AD35">
            <v>0</v>
          </cell>
          <cell r="AE35">
            <v>4463099.1500000022</v>
          </cell>
          <cell r="AF35">
            <v>-1</v>
          </cell>
          <cell r="AG35">
            <v>4463099.1500000022</v>
          </cell>
          <cell r="AH35">
            <v>-1</v>
          </cell>
          <cell r="AI35"/>
          <cell r="AJ35">
            <v>0</v>
          </cell>
          <cell r="AK35">
            <v>9.7846841269058321E-2</v>
          </cell>
          <cell r="AL35">
            <v>0</v>
          </cell>
          <cell r="AM35">
            <v>9.7846841269058321E-2</v>
          </cell>
          <cell r="AN35" t="str">
            <v/>
          </cell>
          <cell r="AO35">
            <v>9.7846841269058321E-2</v>
          </cell>
          <cell r="AP35" t="e">
            <v>#DIV/0!</v>
          </cell>
          <cell r="AQ35">
            <v>0</v>
          </cell>
          <cell r="AR35" t="e">
            <v>#DIV/0!</v>
          </cell>
        </row>
        <row r="36">
          <cell r="B36">
            <v>39692</v>
          </cell>
          <cell r="C36">
            <v>39692</v>
          </cell>
          <cell r="D36" t="str">
            <v>TOTAL</v>
          </cell>
          <cell r="E36">
            <v>6.3462034161644573E-2</v>
          </cell>
          <cell r="F36" t="str">
            <v>c</v>
          </cell>
          <cell r="G36" t="str">
            <v>c</v>
          </cell>
          <cell r="H36" t="str">
            <v>g</v>
          </cell>
          <cell r="I36">
            <v>0.03</v>
          </cell>
          <cell r="J36">
            <v>0.01</v>
          </cell>
          <cell r="K36">
            <v>9.3046975998040266E-2</v>
          </cell>
          <cell r="L36" t="str">
            <v>c</v>
          </cell>
          <cell r="M36" t="str">
            <v>c</v>
          </cell>
          <cell r="N36" t="str">
            <v>g</v>
          </cell>
          <cell r="O36">
            <v>0.03</v>
          </cell>
          <cell r="P36">
            <v>0.01</v>
          </cell>
          <cell r="Q36"/>
          <cell r="R36">
            <v>39692</v>
          </cell>
          <cell r="S36" t="str">
            <v>TOTAL</v>
          </cell>
          <cell r="T36"/>
          <cell r="U36">
            <v>6.3462034161644573E-2</v>
          </cell>
          <cell r="V36">
            <v>0</v>
          </cell>
          <cell r="W36">
            <v>6.3462034161644573E-2</v>
          </cell>
          <cell r="X36" t="str">
            <v/>
          </cell>
          <cell r="Y36">
            <v>6.3462034161644573E-2</v>
          </cell>
          <cell r="Z36" t="e">
            <v>#DIV/0!</v>
          </cell>
          <cell r="AA36"/>
          <cell r="AB36">
            <v>0</v>
          </cell>
          <cell r="AC36">
            <v>3180048.8500000015</v>
          </cell>
          <cell r="AD36">
            <v>0</v>
          </cell>
          <cell r="AE36">
            <v>3180048.8500000015</v>
          </cell>
          <cell r="AF36">
            <v>-1</v>
          </cell>
          <cell r="AG36">
            <v>3180048.8500000015</v>
          </cell>
          <cell r="AH36">
            <v>-1</v>
          </cell>
          <cell r="AI36"/>
          <cell r="AJ36">
            <v>0</v>
          </cell>
          <cell r="AK36">
            <v>9.3046975998040266E-2</v>
          </cell>
          <cell r="AL36">
            <v>0</v>
          </cell>
          <cell r="AM36">
            <v>9.3046975998040266E-2</v>
          </cell>
          <cell r="AN36" t="str">
            <v/>
          </cell>
          <cell r="AO36">
            <v>9.3046975998040266E-2</v>
          </cell>
          <cell r="AP36" t="e">
            <v>#DIV/0!</v>
          </cell>
          <cell r="AQ36">
            <v>0</v>
          </cell>
          <cell r="AR36" t="e">
            <v>#DIV/0!</v>
          </cell>
        </row>
        <row r="37">
          <cell r="B37">
            <v>39722</v>
          </cell>
          <cell r="C37">
            <v>39722</v>
          </cell>
          <cell r="D37" t="str">
            <v>TOTAL</v>
          </cell>
          <cell r="E37">
            <v>5.3246191063332331E-2</v>
          </cell>
          <cell r="F37" t="str">
            <v>c</v>
          </cell>
          <cell r="G37" t="str">
            <v>c</v>
          </cell>
          <cell r="H37" t="str">
            <v>g</v>
          </cell>
          <cell r="I37">
            <v>0.03</v>
          </cell>
          <cell r="J37">
            <v>0.01</v>
          </cell>
          <cell r="K37">
            <v>8.5838915911029517E-2</v>
          </cell>
          <cell r="L37" t="str">
            <v>c</v>
          </cell>
          <cell r="M37" t="str">
            <v>c</v>
          </cell>
          <cell r="N37" t="str">
            <v>g</v>
          </cell>
          <cell r="O37">
            <v>0.03</v>
          </cell>
          <cell r="P37">
            <v>0.01</v>
          </cell>
          <cell r="Q37"/>
          <cell r="R37">
            <v>39722</v>
          </cell>
          <cell r="S37" t="str">
            <v>TOTAL</v>
          </cell>
          <cell r="T37"/>
          <cell r="U37">
            <v>5.3246191063332331E-2</v>
          </cell>
          <cell r="V37">
            <v>0</v>
          </cell>
          <cell r="W37">
            <v>5.3246191063332331E-2</v>
          </cell>
          <cell r="X37" t="str">
            <v/>
          </cell>
          <cell r="Y37">
            <v>5.3246191063332331E-2</v>
          </cell>
          <cell r="Z37" t="e">
            <v>#DIV/0!</v>
          </cell>
          <cell r="AA37"/>
          <cell r="AB37">
            <v>0</v>
          </cell>
          <cell r="AC37">
            <v>4227110.4100000039</v>
          </cell>
          <cell r="AD37">
            <v>0</v>
          </cell>
          <cell r="AE37">
            <v>4227110.4100000039</v>
          </cell>
          <cell r="AF37">
            <v>-1</v>
          </cell>
          <cell r="AG37">
            <v>4227110.4100000039</v>
          </cell>
          <cell r="AH37">
            <v>-1</v>
          </cell>
          <cell r="AI37"/>
          <cell r="AJ37">
            <v>0</v>
          </cell>
          <cell r="AK37">
            <v>8.5838915911029517E-2</v>
          </cell>
          <cell r="AL37">
            <v>0</v>
          </cell>
          <cell r="AM37">
            <v>8.5838915911029517E-2</v>
          </cell>
          <cell r="AN37" t="str">
            <v/>
          </cell>
          <cell r="AO37">
            <v>8.5838915911029517E-2</v>
          </cell>
          <cell r="AP37" t="e">
            <v>#DIV/0!</v>
          </cell>
          <cell r="AQ37">
            <v>0</v>
          </cell>
          <cell r="AR37" t="e">
            <v>#DIV/0!</v>
          </cell>
        </row>
        <row r="38">
          <cell r="B38">
            <v>39753</v>
          </cell>
          <cell r="C38">
            <v>39753</v>
          </cell>
          <cell r="D38" t="str">
            <v>TOTAL</v>
          </cell>
          <cell r="E38">
            <v>6.5563943175992831E-2</v>
          </cell>
          <cell r="F38" t="str">
            <v>c</v>
          </cell>
          <cell r="G38" t="str">
            <v>c</v>
          </cell>
          <cell r="H38" t="str">
            <v>g</v>
          </cell>
          <cell r="I38">
            <v>0.03</v>
          </cell>
          <cell r="J38">
            <v>0.01</v>
          </cell>
          <cell r="K38">
            <v>8.2903112910005738E-2</v>
          </cell>
          <cell r="L38" t="str">
            <v>c</v>
          </cell>
          <cell r="M38" t="str">
            <v>c</v>
          </cell>
          <cell r="N38" t="str">
            <v>g</v>
          </cell>
          <cell r="O38">
            <v>0.03</v>
          </cell>
          <cell r="P38">
            <v>0.01</v>
          </cell>
          <cell r="Q38"/>
          <cell r="R38">
            <v>39753</v>
          </cell>
          <cell r="S38" t="str">
            <v>TOTAL</v>
          </cell>
          <cell r="T38"/>
          <cell r="U38">
            <v>6.5563943175992831E-2</v>
          </cell>
          <cell r="V38">
            <v>0</v>
          </cell>
          <cell r="W38">
            <v>6.5563943175992831E-2</v>
          </cell>
          <cell r="X38" t="str">
            <v/>
          </cell>
          <cell r="Y38">
            <v>6.5563943175992831E-2</v>
          </cell>
          <cell r="Z38" t="e">
            <v>#DIV/0!</v>
          </cell>
          <cell r="AA38"/>
          <cell r="AB38">
            <v>0</v>
          </cell>
          <cell r="AC38">
            <v>4866223</v>
          </cell>
          <cell r="AD38">
            <v>0</v>
          </cell>
          <cell r="AE38">
            <v>4866223</v>
          </cell>
          <cell r="AF38">
            <v>-1</v>
          </cell>
          <cell r="AG38">
            <v>4866223</v>
          </cell>
          <cell r="AH38">
            <v>-1</v>
          </cell>
          <cell r="AI38"/>
          <cell r="AJ38">
            <v>0</v>
          </cell>
          <cell r="AK38">
            <v>8.2903112910005738E-2</v>
          </cell>
          <cell r="AL38">
            <v>0</v>
          </cell>
          <cell r="AM38">
            <v>8.2903112910005738E-2</v>
          </cell>
          <cell r="AN38" t="str">
            <v/>
          </cell>
          <cell r="AO38">
            <v>8.2903112910005738E-2</v>
          </cell>
          <cell r="AP38" t="e">
            <v>#DIV/0!</v>
          </cell>
          <cell r="AQ38">
            <v>0</v>
          </cell>
          <cell r="AR38" t="e">
            <v>#DIV/0!</v>
          </cell>
        </row>
        <row r="39">
          <cell r="B39">
            <v>39783</v>
          </cell>
          <cell r="C39">
            <v>39783</v>
          </cell>
          <cell r="D39" t="str">
            <v>TOTAL</v>
          </cell>
          <cell r="E39">
            <v>5.3567653688982586E-2</v>
          </cell>
          <cell r="F39" t="str">
            <v>c</v>
          </cell>
          <cell r="G39" t="str">
            <v>c</v>
          </cell>
          <cell r="H39" t="str">
            <v>g</v>
          </cell>
          <cell r="I39">
            <v>0.03</v>
          </cell>
          <cell r="J39">
            <v>0.01</v>
          </cell>
          <cell r="K39">
            <v>7.8794378525131784E-2</v>
          </cell>
          <cell r="L39" t="str">
            <v>c</v>
          </cell>
          <cell r="M39" t="str">
            <v>c</v>
          </cell>
          <cell r="N39" t="str">
            <v>g</v>
          </cell>
          <cell r="O39">
            <v>0.03</v>
          </cell>
          <cell r="P39">
            <v>0.01</v>
          </cell>
          <cell r="Q39"/>
          <cell r="R39">
            <v>39783</v>
          </cell>
          <cell r="S39" t="str">
            <v>TOTAL</v>
          </cell>
          <cell r="T39"/>
          <cell r="U39">
            <v>5.3567653688982586E-2</v>
          </cell>
          <cell r="V39">
            <v>0</v>
          </cell>
          <cell r="W39">
            <v>5.3567653688982586E-2</v>
          </cell>
          <cell r="X39" t="str">
            <v/>
          </cell>
          <cell r="Y39">
            <v>5.3567653688982586E-2</v>
          </cell>
          <cell r="Z39" t="e">
            <v>#DIV/0!</v>
          </cell>
          <cell r="AA39"/>
          <cell r="AB39">
            <v>0</v>
          </cell>
          <cell r="AC39">
            <v>4472085.5800000057</v>
          </cell>
          <cell r="AD39">
            <v>0</v>
          </cell>
          <cell r="AE39">
            <v>4472085.5800000057</v>
          </cell>
          <cell r="AF39">
            <v>-1</v>
          </cell>
          <cell r="AG39">
            <v>4472085.5800000057</v>
          </cell>
          <cell r="AH39">
            <v>-1</v>
          </cell>
          <cell r="AI39"/>
          <cell r="AJ39">
            <v>0</v>
          </cell>
          <cell r="AK39">
            <v>7.8794378525131784E-2</v>
          </cell>
          <cell r="AL39">
            <v>0</v>
          </cell>
          <cell r="AM39">
            <v>7.8794378525131784E-2</v>
          </cell>
          <cell r="AN39" t="str">
            <v/>
          </cell>
          <cell r="AO39">
            <v>7.8794378525131784E-2</v>
          </cell>
          <cell r="AP39" t="e">
            <v>#DIV/0!</v>
          </cell>
          <cell r="AQ39">
            <v>0</v>
          </cell>
          <cell r="AR39" t="e">
            <v>#DIV/0!</v>
          </cell>
        </row>
        <row r="40">
          <cell r="B40">
            <v>39814</v>
          </cell>
          <cell r="C40"/>
          <cell r="D40" t="str">
            <v>TOTAL</v>
          </cell>
          <cell r="E40" t="str">
            <v/>
          </cell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  <cell r="L40" t="str">
            <v/>
          </cell>
          <cell r="M40" t="str">
            <v/>
          </cell>
          <cell r="N40" t="str">
            <v/>
          </cell>
          <cell r="O40" t="str">
            <v/>
          </cell>
          <cell r="P40" t="str">
            <v/>
          </cell>
          <cell r="Q40"/>
          <cell r="R40">
            <v>39814</v>
          </cell>
          <cell r="S40" t="str">
            <v>TOTAL</v>
          </cell>
          <cell r="T40"/>
          <cell r="U40" t="str">
            <v/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 t="str">
            <v/>
          </cell>
          <cell r="AA40"/>
          <cell r="AB40">
            <v>0</v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/>
          <cell r="AJ40">
            <v>0</v>
          </cell>
          <cell r="AK40" t="str">
            <v/>
          </cell>
          <cell r="AL40" t="str">
            <v/>
          </cell>
          <cell r="AM40" t="str">
            <v/>
          </cell>
          <cell r="AN40" t="str">
            <v/>
          </cell>
          <cell r="AO40" t="str">
            <v/>
          </cell>
          <cell r="AP40" t="str">
            <v/>
          </cell>
          <cell r="AQ40">
            <v>0</v>
          </cell>
          <cell r="AR40" t="str">
            <v/>
          </cell>
        </row>
        <row r="41">
          <cell r="B41">
            <v>39845</v>
          </cell>
          <cell r="C41"/>
          <cell r="D41" t="str">
            <v>TOTAL</v>
          </cell>
          <cell r="E41" t="str">
            <v/>
          </cell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  <cell r="J41" t="str">
            <v/>
          </cell>
          <cell r="K41" t="str">
            <v/>
          </cell>
          <cell r="L41" t="str">
            <v/>
          </cell>
          <cell r="M41" t="str">
            <v/>
          </cell>
          <cell r="N41" t="str">
            <v/>
          </cell>
          <cell r="O41"/>
          <cell r="P41"/>
          <cell r="Q41"/>
          <cell r="R41">
            <v>39845</v>
          </cell>
          <cell r="S41" t="str">
            <v>TOTAL</v>
          </cell>
          <cell r="T41"/>
          <cell r="U41" t="str">
            <v/>
          </cell>
          <cell r="V41" t="str">
            <v/>
          </cell>
          <cell r="W41" t="str">
            <v/>
          </cell>
          <cell r="X41" t="str">
            <v/>
          </cell>
          <cell r="Y41" t="str">
            <v/>
          </cell>
          <cell r="Z41" t="str">
            <v/>
          </cell>
          <cell r="AA41"/>
          <cell r="AB41">
            <v>0</v>
          </cell>
          <cell r="AC41" t="str">
            <v/>
          </cell>
          <cell r="AD41" t="str">
            <v/>
          </cell>
          <cell r="AE41" t="str">
            <v/>
          </cell>
          <cell r="AF41" t="str">
            <v/>
          </cell>
          <cell r="AG41" t="str">
            <v/>
          </cell>
          <cell r="AH41" t="str">
            <v/>
          </cell>
          <cell r="AI41"/>
          <cell r="AJ41">
            <v>0</v>
          </cell>
          <cell r="AK41" t="str">
            <v/>
          </cell>
          <cell r="AL41" t="str">
            <v/>
          </cell>
          <cell r="AM41" t="str">
            <v/>
          </cell>
          <cell r="AN41" t="str">
            <v/>
          </cell>
          <cell r="AO41" t="str">
            <v/>
          </cell>
          <cell r="AP41" t="str">
            <v/>
          </cell>
          <cell r="AQ41">
            <v>0</v>
          </cell>
          <cell r="AR41"/>
        </row>
        <row r="42">
          <cell r="B42">
            <v>39873</v>
          </cell>
          <cell r="C42"/>
          <cell r="D42" t="str">
            <v>TOTAL</v>
          </cell>
          <cell r="E42" t="str">
            <v/>
          </cell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  <cell r="J42" t="str">
            <v/>
          </cell>
          <cell r="K42" t="str">
            <v/>
          </cell>
          <cell r="L42" t="str">
            <v/>
          </cell>
          <cell r="M42" t="str">
            <v/>
          </cell>
          <cell r="N42" t="str">
            <v/>
          </cell>
          <cell r="O42"/>
          <cell r="P42"/>
          <cell r="Q42"/>
          <cell r="R42">
            <v>39873</v>
          </cell>
          <cell r="S42" t="str">
            <v>TOTAL</v>
          </cell>
          <cell r="T42"/>
          <cell r="U42" t="str">
            <v/>
          </cell>
          <cell r="V42" t="str">
            <v/>
          </cell>
          <cell r="W42" t="str">
            <v/>
          </cell>
          <cell r="X42" t="str">
            <v/>
          </cell>
          <cell r="Y42" t="str">
            <v/>
          </cell>
          <cell r="Z42" t="str">
            <v/>
          </cell>
          <cell r="AA42"/>
          <cell r="AB42">
            <v>0</v>
          </cell>
          <cell r="AC42" t="str">
            <v/>
          </cell>
          <cell r="AD42" t="str">
            <v/>
          </cell>
          <cell r="AE42" t="str">
            <v/>
          </cell>
          <cell r="AF42" t="str">
            <v/>
          </cell>
          <cell r="AG42" t="str">
            <v/>
          </cell>
          <cell r="AH42" t="str">
            <v/>
          </cell>
          <cell r="AI42"/>
          <cell r="AJ42">
            <v>0</v>
          </cell>
          <cell r="AK42" t="str">
            <v/>
          </cell>
          <cell r="AL42" t="str">
            <v/>
          </cell>
          <cell r="AM42" t="str">
            <v/>
          </cell>
          <cell r="AN42" t="str">
            <v/>
          </cell>
          <cell r="AO42" t="str">
            <v/>
          </cell>
          <cell r="AP42" t="str">
            <v/>
          </cell>
          <cell r="AQ42">
            <v>0</v>
          </cell>
          <cell r="AR42"/>
        </row>
        <row r="43">
          <cell r="B43">
            <v>39904</v>
          </cell>
          <cell r="C43"/>
          <cell r="D43" t="str">
            <v>TOTAL</v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 t="str">
            <v/>
          </cell>
          <cell r="L43" t="str">
            <v/>
          </cell>
          <cell r="M43" t="str">
            <v/>
          </cell>
          <cell r="N43" t="str">
            <v/>
          </cell>
          <cell r="O43"/>
          <cell r="P43"/>
          <cell r="Q43"/>
          <cell r="R43">
            <v>39904</v>
          </cell>
          <cell r="S43" t="str">
            <v>TOTAL</v>
          </cell>
          <cell r="T43">
            <v>6.2815309835721797E-2</v>
          </cell>
          <cell r="U43" t="str">
            <v/>
          </cell>
          <cell r="V43" t="str">
            <v/>
          </cell>
          <cell r="W43" t="str">
            <v/>
          </cell>
          <cell r="X43" t="str">
            <v/>
          </cell>
          <cell r="Y43" t="str">
            <v/>
          </cell>
          <cell r="Z43" t="str">
            <v/>
          </cell>
          <cell r="AA43"/>
          <cell r="AB43">
            <v>4152412.0700000003</v>
          </cell>
          <cell r="AC43" t="str">
            <v/>
          </cell>
          <cell r="AD43" t="str">
            <v/>
          </cell>
          <cell r="AE43" t="str">
            <v/>
          </cell>
          <cell r="AF43" t="str">
            <v/>
          </cell>
          <cell r="AG43" t="str">
            <v/>
          </cell>
          <cell r="AH43" t="str">
            <v/>
          </cell>
          <cell r="AI43"/>
          <cell r="AJ43">
            <v>6.2815278478015296E-2</v>
          </cell>
          <cell r="AK43" t="str">
            <v/>
          </cell>
          <cell r="AL43" t="str">
            <v/>
          </cell>
          <cell r="AM43" t="str">
            <v/>
          </cell>
          <cell r="AN43" t="str">
            <v/>
          </cell>
          <cell r="AO43" t="str">
            <v/>
          </cell>
          <cell r="AP43" t="str">
            <v/>
          </cell>
          <cell r="AQ43">
            <v>0</v>
          </cell>
          <cell r="AR43"/>
        </row>
        <row r="44">
          <cell r="B44">
            <v>39934</v>
          </cell>
          <cell r="C44"/>
          <cell r="D44" t="str">
            <v>TOTAL</v>
          </cell>
          <cell r="E44" t="str">
            <v/>
          </cell>
          <cell r="F44" t="str">
            <v/>
          </cell>
          <cell r="G44" t="str">
            <v/>
          </cell>
          <cell r="H44" t="str">
            <v/>
          </cell>
          <cell r="I44" t="str">
            <v/>
          </cell>
          <cell r="J44" t="str">
            <v/>
          </cell>
          <cell r="K44" t="str">
            <v/>
          </cell>
          <cell r="L44" t="str">
            <v/>
          </cell>
          <cell r="M44" t="str">
            <v/>
          </cell>
          <cell r="N44" t="str">
            <v/>
          </cell>
          <cell r="O44"/>
          <cell r="P44"/>
          <cell r="Q44"/>
          <cell r="R44">
            <v>39934</v>
          </cell>
          <cell r="S44" t="str">
            <v>TOTAL</v>
          </cell>
          <cell r="T44">
            <v>8.4234390522733876E-2</v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  <cell r="AA44"/>
          <cell r="AB44">
            <v>5722613.9700000007</v>
          </cell>
          <cell r="AC44" t="str">
            <v/>
          </cell>
          <cell r="AD44" t="str">
            <v/>
          </cell>
          <cell r="AE44" t="str">
            <v/>
          </cell>
          <cell r="AF44" t="str">
            <v/>
          </cell>
          <cell r="AG44" t="str">
            <v/>
          </cell>
          <cell r="AH44" t="str">
            <v/>
          </cell>
          <cell r="AI44"/>
          <cell r="AJ44">
            <v>7.3671180389161525E-2</v>
          </cell>
          <cell r="AK44" t="str">
            <v/>
          </cell>
          <cell r="AL44" t="str">
            <v/>
          </cell>
          <cell r="AM44" t="str">
            <v/>
          </cell>
          <cell r="AN44" t="str">
            <v/>
          </cell>
          <cell r="AO44" t="str">
            <v/>
          </cell>
          <cell r="AP44" t="str">
            <v/>
          </cell>
          <cell r="AQ44">
            <v>0</v>
          </cell>
          <cell r="AR44"/>
        </row>
        <row r="45">
          <cell r="B45">
            <v>39965</v>
          </cell>
          <cell r="C45"/>
          <cell r="D45" t="str">
            <v>TOTAL</v>
          </cell>
          <cell r="E45" t="str">
            <v/>
          </cell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  <cell r="M45" t="str">
            <v/>
          </cell>
          <cell r="N45" t="str">
            <v/>
          </cell>
          <cell r="O45"/>
          <cell r="P45"/>
          <cell r="Q45"/>
          <cell r="R45">
            <v>39965</v>
          </cell>
          <cell r="S45" t="str">
            <v>TOTAL</v>
          </cell>
          <cell r="T45">
            <v>7.5178614231142055E-2</v>
          </cell>
          <cell r="U45" t="str">
            <v/>
          </cell>
          <cell r="V45" t="str">
            <v/>
          </cell>
          <cell r="W45" t="str">
            <v/>
          </cell>
          <cell r="X45" t="str">
            <v/>
          </cell>
          <cell r="Y45" t="str">
            <v/>
          </cell>
          <cell r="Z45" t="str">
            <v/>
          </cell>
          <cell r="AA45"/>
          <cell r="AB45">
            <v>4985606.5999999996</v>
          </cell>
          <cell r="AC45" t="str">
            <v/>
          </cell>
          <cell r="AD45" t="str">
            <v/>
          </cell>
          <cell r="AE45" t="str">
            <v/>
          </cell>
          <cell r="AF45" t="str">
            <v/>
          </cell>
          <cell r="AG45" t="str">
            <v/>
          </cell>
          <cell r="AH45" t="str">
            <v/>
          </cell>
          <cell r="AI45"/>
          <cell r="AJ45">
            <v>7.4170127646449424E-2</v>
          </cell>
          <cell r="AK45" t="str">
            <v/>
          </cell>
          <cell r="AL45" t="str">
            <v/>
          </cell>
          <cell r="AM45" t="str">
            <v/>
          </cell>
          <cell r="AN45" t="str">
            <v/>
          </cell>
          <cell r="AO45" t="str">
            <v/>
          </cell>
          <cell r="AP45" t="str">
            <v/>
          </cell>
          <cell r="AQ45">
            <v>0</v>
          </cell>
          <cell r="AR45"/>
        </row>
        <row r="46">
          <cell r="B46">
            <v>39995</v>
          </cell>
          <cell r="C46"/>
          <cell r="D46" t="str">
            <v>TOTAL</v>
          </cell>
          <cell r="E46" t="str">
            <v/>
          </cell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  <cell r="M46" t="str">
            <v/>
          </cell>
          <cell r="N46" t="str">
            <v/>
          </cell>
          <cell r="O46"/>
          <cell r="P46"/>
          <cell r="Q46"/>
          <cell r="R46">
            <v>39995</v>
          </cell>
          <cell r="S46" t="str">
            <v>TOTAL</v>
          </cell>
          <cell r="T46">
            <v>0.18958760093275501</v>
          </cell>
          <cell r="U46" t="str">
            <v/>
          </cell>
          <cell r="V46" t="str">
            <v/>
          </cell>
          <cell r="W46" t="str">
            <v/>
          </cell>
          <cell r="X46" t="str">
            <v/>
          </cell>
          <cell r="Y46" t="str">
            <v/>
          </cell>
          <cell r="Z46" t="str">
            <v/>
          </cell>
          <cell r="AA46"/>
          <cell r="AB46">
            <v>10897224.580000002</v>
          </cell>
          <cell r="AC46" t="str">
            <v/>
          </cell>
          <cell r="AD46" t="str">
            <v/>
          </cell>
          <cell r="AE46" t="str">
            <v/>
          </cell>
          <cell r="AF46" t="str">
            <v/>
          </cell>
          <cell r="AG46" t="str">
            <v/>
          </cell>
          <cell r="AH46" t="str">
            <v/>
          </cell>
          <cell r="AI46"/>
          <cell r="AJ46">
            <v>9.989965467753098E-2</v>
          </cell>
          <cell r="AK46" t="str">
            <v/>
          </cell>
          <cell r="AL46" t="str">
            <v/>
          </cell>
          <cell r="AM46" t="str">
            <v/>
          </cell>
          <cell r="AN46" t="str">
            <v/>
          </cell>
          <cell r="AO46" t="str">
            <v/>
          </cell>
          <cell r="AP46" t="str">
            <v/>
          </cell>
          <cell r="AQ46">
            <v>0</v>
          </cell>
          <cell r="AR46"/>
        </row>
        <row r="47">
          <cell r="R47">
            <v>40026</v>
          </cell>
          <cell r="S47" t="str">
            <v>TOTAL</v>
          </cell>
          <cell r="T47">
            <v>8.7473142025256856E-2</v>
          </cell>
          <cell r="U47" t="str">
            <v/>
          </cell>
          <cell r="V47" t="str">
            <v/>
          </cell>
          <cell r="W47" t="str">
            <v/>
          </cell>
          <cell r="X47" t="str">
            <v/>
          </cell>
          <cell r="Y47" t="str">
            <v/>
          </cell>
          <cell r="Z47" t="str">
            <v/>
          </cell>
          <cell r="AA47"/>
          <cell r="AB47">
            <v>4463099.1500000022</v>
          </cell>
          <cell r="AC47" t="str">
            <v/>
          </cell>
          <cell r="AD47" t="str">
            <v/>
          </cell>
          <cell r="AE47" t="str">
            <v/>
          </cell>
          <cell r="AF47" t="str">
            <v/>
          </cell>
          <cell r="AG47" t="str">
            <v/>
          </cell>
          <cell r="AH47" t="str">
            <v/>
          </cell>
          <cell r="AI47"/>
          <cell r="AJ47">
            <v>9.7846841269058321E-2</v>
          </cell>
          <cell r="AK47" t="str">
            <v/>
          </cell>
          <cell r="AL47" t="str">
            <v/>
          </cell>
          <cell r="AM47" t="str">
            <v/>
          </cell>
          <cell r="AN47" t="str">
            <v/>
          </cell>
          <cell r="AO47" t="str">
            <v/>
          </cell>
          <cell r="AP47" t="str">
            <v/>
          </cell>
          <cell r="AQ47">
            <v>0</v>
          </cell>
          <cell r="AR47"/>
        </row>
        <row r="48">
          <cell r="R48">
            <v>40057</v>
          </cell>
          <cell r="S48" t="str">
            <v>TOTAL</v>
          </cell>
          <cell r="T48">
            <v>6.3462034161644573E-2</v>
          </cell>
          <cell r="U48" t="str">
            <v/>
          </cell>
          <cell r="V48" t="str">
            <v/>
          </cell>
          <cell r="W48" t="str">
            <v/>
          </cell>
          <cell r="X48" t="str">
            <v/>
          </cell>
          <cell r="Y48" t="str">
            <v/>
          </cell>
          <cell r="Z48" t="str">
            <v/>
          </cell>
          <cell r="AA48"/>
          <cell r="AB48">
            <v>3180048.8500000015</v>
          </cell>
          <cell r="AC48" t="str">
            <v/>
          </cell>
          <cell r="AD48" t="str">
            <v/>
          </cell>
          <cell r="AE48" t="str">
            <v/>
          </cell>
          <cell r="AF48" t="str">
            <v/>
          </cell>
          <cell r="AG48" t="str">
            <v/>
          </cell>
          <cell r="AH48" t="str">
            <v/>
          </cell>
          <cell r="AI48"/>
          <cell r="AJ48">
            <v>9.3046975998040266E-2</v>
          </cell>
          <cell r="AK48" t="str">
            <v/>
          </cell>
          <cell r="AL48" t="str">
            <v/>
          </cell>
          <cell r="AM48" t="str">
            <v/>
          </cell>
          <cell r="AN48" t="str">
            <v/>
          </cell>
          <cell r="AO48" t="str">
            <v/>
          </cell>
          <cell r="AP48" t="str">
            <v/>
          </cell>
          <cell r="AQ48">
            <v>0</v>
          </cell>
          <cell r="AR48"/>
        </row>
        <row r="49">
          <cell r="R49">
            <v>40087</v>
          </cell>
          <cell r="S49" t="str">
            <v>TOTAL</v>
          </cell>
          <cell r="T49">
            <v>5.3246191063332331E-2</v>
          </cell>
          <cell r="U49" t="str">
            <v/>
          </cell>
          <cell r="V49" t="str">
            <v/>
          </cell>
          <cell r="W49" t="str">
            <v/>
          </cell>
          <cell r="X49" t="str">
            <v/>
          </cell>
          <cell r="Y49" t="str">
            <v/>
          </cell>
          <cell r="Z49" t="str">
            <v/>
          </cell>
          <cell r="AA49"/>
          <cell r="AB49">
            <v>4227110.4100000039</v>
          </cell>
          <cell r="AC49" t="str">
            <v/>
          </cell>
          <cell r="AD49" t="str">
            <v/>
          </cell>
          <cell r="AE49" t="str">
            <v/>
          </cell>
          <cell r="AF49" t="str">
            <v/>
          </cell>
          <cell r="AG49" t="str">
            <v/>
          </cell>
          <cell r="AH49" t="str">
            <v/>
          </cell>
          <cell r="AI49"/>
          <cell r="AJ49">
            <v>8.5838915911029517E-2</v>
          </cell>
          <cell r="AK49" t="str">
            <v/>
          </cell>
          <cell r="AL49" t="str">
            <v/>
          </cell>
          <cell r="AM49" t="str">
            <v/>
          </cell>
          <cell r="AN49" t="str">
            <v/>
          </cell>
          <cell r="AO49" t="str">
            <v/>
          </cell>
          <cell r="AP49" t="str">
            <v/>
          </cell>
          <cell r="AQ49">
            <v>0</v>
          </cell>
          <cell r="AR49"/>
        </row>
        <row r="50">
          <cell r="R50"/>
          <cell r="S50"/>
          <cell r="T50"/>
          <cell r="U50"/>
          <cell r="V50"/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 t="str">
            <v/>
          </cell>
          <cell r="AL50" t="str">
            <v/>
          </cell>
          <cell r="AM50"/>
          <cell r="AN50"/>
          <cell r="AO50"/>
          <cell r="AP50"/>
          <cell r="AQ50">
            <v>0</v>
          </cell>
          <cell r="AR50"/>
        </row>
        <row r="51">
          <cell r="R51"/>
          <cell r="S51"/>
          <cell r="T51"/>
          <cell r="U51"/>
          <cell r="V51"/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 t="str">
            <v/>
          </cell>
          <cell r="AL51" t="str">
            <v/>
          </cell>
          <cell r="AM51"/>
          <cell r="AN51"/>
          <cell r="AO51"/>
          <cell r="AP51"/>
          <cell r="AQ51">
            <v>0</v>
          </cell>
          <cell r="AR51"/>
        </row>
        <row r="52">
          <cell r="R52"/>
          <cell r="S52"/>
          <cell r="T52"/>
          <cell r="U52"/>
          <cell r="V52"/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 t="str">
            <v/>
          </cell>
          <cell r="AL52" t="str">
            <v/>
          </cell>
          <cell r="AM52"/>
          <cell r="AN52"/>
          <cell r="AO52"/>
          <cell r="AP52"/>
          <cell r="AQ52"/>
          <cell r="AR52"/>
        </row>
      </sheetData>
      <sheetData sheetId="44"/>
      <sheetData sheetId="45">
        <row r="13">
          <cell r="B13"/>
          <cell r="C13"/>
          <cell r="D13"/>
          <cell r="E13" t="str">
            <v>Mensual</v>
          </cell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Acumulado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  <cell r="Z13" t="str">
            <v>Mes</v>
          </cell>
          <cell r="AA13"/>
          <cell r="AB13"/>
          <cell r="AC13"/>
          <cell r="AD13"/>
        </row>
        <row r="14">
          <cell r="B14"/>
          <cell r="C14"/>
          <cell r="D14"/>
          <cell r="E14" t="str">
            <v>Meses</v>
          </cell>
          <cell r="F14" t="str">
            <v>Cobertura de inventarios MERCADERIA</v>
          </cell>
          <cell r="G14"/>
          <cell r="H14"/>
          <cell r="I14"/>
          <cell r="J14"/>
          <cell r="K14"/>
          <cell r="L14"/>
          <cell r="M14"/>
          <cell r="N14"/>
          <cell r="O14" t="str">
            <v>Meses</v>
          </cell>
          <cell r="P14" t="str">
            <v>Cobertura de inventarios MERCADERIA</v>
          </cell>
          <cell r="Q14"/>
          <cell r="R14"/>
          <cell r="S14"/>
          <cell r="T14"/>
          <cell r="U14"/>
          <cell r="V14"/>
          <cell r="W14"/>
          <cell r="X14"/>
          <cell r="Y14"/>
          <cell r="Z14"/>
          <cell r="AA14"/>
          <cell r="AB14" t="str">
            <v>Cobertura de inventarios MERCADERIA</v>
          </cell>
          <cell r="AC14"/>
          <cell r="AD14"/>
        </row>
        <row r="15">
          <cell r="B15"/>
          <cell r="C15" t="str">
            <v>Fecha</v>
          </cell>
          <cell r="D15" t="str">
            <v>TIPO2</v>
          </cell>
          <cell r="E15"/>
          <cell r="F15" t="str">
            <v>Performance</v>
          </cell>
          <cell r="G15"/>
          <cell r="H15"/>
          <cell r="I15"/>
          <cell r="J15"/>
          <cell r="K15" t="str">
            <v>Lim. 
Sup 2</v>
          </cell>
          <cell r="L15" t="str">
            <v>Lim. 
Sup 1</v>
          </cell>
          <cell r="M15" t="str">
            <v>Lim. 
Inf. 2</v>
          </cell>
          <cell r="N15" t="str">
            <v>Lim. 
Inf. 1</v>
          </cell>
          <cell r="O15"/>
          <cell r="P15" t="str">
            <v>Performance</v>
          </cell>
          <cell r="Q15"/>
          <cell r="R15"/>
          <cell r="S15"/>
          <cell r="T15"/>
          <cell r="U15" t="str">
            <v>Lim. 
Sup 2</v>
          </cell>
          <cell r="V15" t="str">
            <v>Lim. 
Sup 1</v>
          </cell>
          <cell r="W15" t="str">
            <v>Lim. 
Inf. 2</v>
          </cell>
          <cell r="X15" t="str">
            <v>Lim. 
Inf. 1</v>
          </cell>
          <cell r="Y15"/>
          <cell r="Z15" t="str">
            <v>Fecha</v>
          </cell>
          <cell r="AA15" t="str">
            <v>TIPO2</v>
          </cell>
          <cell r="AB15" t="str">
            <v>Anteriores</v>
          </cell>
          <cell r="AC15" t="str">
            <v>Real</v>
          </cell>
          <cell r="AD15" t="str">
            <v>Programdo</v>
          </cell>
        </row>
        <row r="16">
          <cell r="B16">
            <v>39083</v>
          </cell>
          <cell r="C16">
            <v>39083</v>
          </cell>
          <cell r="D16" t="str">
            <v>TOTAL</v>
          </cell>
          <cell r="E16">
            <v>2.6000675261681345</v>
          </cell>
          <cell r="F16" t="str">
            <v>c</v>
          </cell>
          <cell r="G16" t="str">
            <v>c</v>
          </cell>
          <cell r="H16" t="str">
            <v>g</v>
          </cell>
          <cell r="I16" t="str">
            <v>c</v>
          </cell>
          <cell r="J16" t="str">
            <v>c</v>
          </cell>
          <cell r="K16">
            <v>3.5</v>
          </cell>
          <cell r="L16">
            <v>3</v>
          </cell>
          <cell r="M16">
            <v>2</v>
          </cell>
          <cell r="N16">
            <v>1</v>
          </cell>
          <cell r="O16">
            <v>2.6000675261681345</v>
          </cell>
          <cell r="P16" t="str">
            <v>c</v>
          </cell>
          <cell r="Q16" t="str">
            <v>c</v>
          </cell>
          <cell r="R16" t="str">
            <v>g</v>
          </cell>
          <cell r="S16" t="str">
            <v>c</v>
          </cell>
          <cell r="T16" t="str">
            <v>c</v>
          </cell>
          <cell r="U16">
            <v>3.5</v>
          </cell>
          <cell r="V16">
            <v>3</v>
          </cell>
          <cell r="W16">
            <v>2</v>
          </cell>
          <cell r="X16">
            <v>1</v>
          </cell>
          <cell r="Y16"/>
          <cell r="Z16">
            <v>39083</v>
          </cell>
          <cell r="AA16" t="str">
            <v>TOTAL</v>
          </cell>
          <cell r="AB16"/>
          <cell r="AC16">
            <v>3525655.41</v>
          </cell>
          <cell r="AD16">
            <v>3307478.6592282155</v>
          </cell>
          <cell r="AE16">
            <v>3525655.41</v>
          </cell>
          <cell r="AF16"/>
          <cell r="AG16">
            <v>218176.75077178469</v>
          </cell>
          <cell r="AH16">
            <v>6.5964673774401739E-2</v>
          </cell>
          <cell r="AI16"/>
          <cell r="AJ16"/>
          <cell r="AK16">
            <v>9166942.1400000006</v>
          </cell>
          <cell r="AL16">
            <v>2635176.2889216226</v>
          </cell>
          <cell r="AM16">
            <v>9166942.1400000006</v>
          </cell>
          <cell r="AN16">
            <v>-1</v>
          </cell>
          <cell r="AO16">
            <v>6531765.851078378</v>
          </cell>
          <cell r="AP16">
            <v>-0.71253486182453174</v>
          </cell>
          <cell r="AQ16"/>
          <cell r="AR16"/>
          <cell r="AS16">
            <v>3525655.41</v>
          </cell>
          <cell r="AT16">
            <v>3307478.6592282155</v>
          </cell>
          <cell r="AU16">
            <v>3525655.41</v>
          </cell>
          <cell r="AV16"/>
          <cell r="AW16">
            <v>218176.75077178469</v>
          </cell>
          <cell r="AX16">
            <v>6.5964673774401739E-2</v>
          </cell>
          <cell r="AY16">
            <v>37082792.817253277</v>
          </cell>
          <cell r="AZ16">
            <v>9.5075239542358331E-2</v>
          </cell>
        </row>
        <row r="17">
          <cell r="B17">
            <v>39114</v>
          </cell>
          <cell r="C17">
            <v>39114</v>
          </cell>
          <cell r="D17" t="str">
            <v>TOTAL</v>
          </cell>
          <cell r="E17">
            <v>1.9411263249973387</v>
          </cell>
          <cell r="F17" t="str">
            <v>c</v>
          </cell>
          <cell r="G17" t="str">
            <v>c</v>
          </cell>
          <cell r="H17" t="str">
            <v>c</v>
          </cell>
          <cell r="I17" t="str">
            <v>g</v>
          </cell>
          <cell r="J17" t="str">
            <v>c</v>
          </cell>
          <cell r="K17">
            <v>3.5</v>
          </cell>
          <cell r="L17">
            <v>3</v>
          </cell>
          <cell r="M17">
            <v>2</v>
          </cell>
          <cell r="N17">
            <v>1</v>
          </cell>
          <cell r="O17">
            <v>2.218858823821487</v>
          </cell>
          <cell r="P17" t="str">
            <v>c</v>
          </cell>
          <cell r="Q17" t="str">
            <v>c</v>
          </cell>
          <cell r="R17" t="str">
            <v>g</v>
          </cell>
          <cell r="S17" t="str">
            <v>c</v>
          </cell>
          <cell r="T17" t="str">
            <v>c</v>
          </cell>
          <cell r="U17">
            <v>3.5</v>
          </cell>
          <cell r="V17">
            <v>3</v>
          </cell>
          <cell r="W17">
            <v>2</v>
          </cell>
          <cell r="X17">
            <v>1</v>
          </cell>
          <cell r="Y17"/>
          <cell r="Z17">
            <v>39114</v>
          </cell>
          <cell r="AA17" t="str">
            <v>TOTAL</v>
          </cell>
          <cell r="AB17"/>
          <cell r="AC17">
            <v>4839226.7</v>
          </cell>
          <cell r="AD17">
            <v>2953133.6645737984</v>
          </cell>
          <cell r="AE17">
            <v>4839226.7</v>
          </cell>
          <cell r="AF17"/>
          <cell r="AG17">
            <v>1886093.0354262018</v>
          </cell>
          <cell r="AH17">
            <v>0.6386751328096103</v>
          </cell>
          <cell r="AI17"/>
          <cell r="AJ17"/>
          <cell r="AK17">
            <v>9393550.3399999999</v>
          </cell>
          <cell r="AL17">
            <v>2747730.8773849187</v>
          </cell>
          <cell r="AM17">
            <v>9393550.3399999999</v>
          </cell>
          <cell r="AN17">
            <v>-1</v>
          </cell>
          <cell r="AO17">
            <v>6645819.4626150811</v>
          </cell>
          <cell r="AP17">
            <v>-0.70748750175059816</v>
          </cell>
          <cell r="AQ17"/>
          <cell r="AR17"/>
          <cell r="AS17">
            <v>8364882.1100000003</v>
          </cell>
          <cell r="AT17">
            <v>6260612.3238020139</v>
          </cell>
          <cell r="AU17">
            <v>8364882.1100000003</v>
          </cell>
          <cell r="AV17"/>
          <cell r="AW17">
            <v>2104269.7861979865</v>
          </cell>
          <cell r="AX17">
            <v>0.33611245631642661</v>
          </cell>
          <cell r="AY17">
            <v>37082792.817253277</v>
          </cell>
          <cell r="AZ17">
            <v>0.22557314254141411</v>
          </cell>
        </row>
        <row r="18">
          <cell r="B18">
            <v>39142</v>
          </cell>
          <cell r="C18">
            <v>39142</v>
          </cell>
          <cell r="D18" t="str">
            <v>TOTAL</v>
          </cell>
          <cell r="E18">
            <v>1.3713190010012757</v>
          </cell>
          <cell r="F18" t="str">
            <v>c</v>
          </cell>
          <cell r="G18" t="str">
            <v>c</v>
          </cell>
          <cell r="H18" t="str">
            <v>c</v>
          </cell>
          <cell r="I18" t="str">
            <v>g</v>
          </cell>
          <cell r="J18" t="str">
            <v>c</v>
          </cell>
          <cell r="K18">
            <v>3.5</v>
          </cell>
          <cell r="L18">
            <v>3</v>
          </cell>
          <cell r="M18">
            <v>2</v>
          </cell>
          <cell r="N18">
            <v>1</v>
          </cell>
          <cell r="O18">
            <v>1.8626204789302079</v>
          </cell>
          <cell r="P18" t="str">
            <v>c</v>
          </cell>
          <cell r="Q18" t="str">
            <v>c</v>
          </cell>
          <cell r="R18" t="str">
            <v>c</v>
          </cell>
          <cell r="S18" t="str">
            <v>g</v>
          </cell>
          <cell r="T18" t="str">
            <v>c</v>
          </cell>
          <cell r="U18">
            <v>3.5</v>
          </cell>
          <cell r="V18">
            <v>3</v>
          </cell>
          <cell r="W18">
            <v>2</v>
          </cell>
          <cell r="X18">
            <v>1</v>
          </cell>
          <cell r="Y18"/>
          <cell r="Z18">
            <v>39142</v>
          </cell>
          <cell r="AA18" t="str">
            <v>TOTAL</v>
          </cell>
          <cell r="AB18"/>
          <cell r="AC18">
            <v>6065301.8400000008</v>
          </cell>
          <cell r="AD18">
            <v>3148499.4862040365</v>
          </cell>
          <cell r="AE18">
            <v>6065301.8400000008</v>
          </cell>
          <cell r="AF18"/>
          <cell r="AG18">
            <v>2916802.3537959643</v>
          </cell>
          <cell r="AH18">
            <v>0.92641030007363412</v>
          </cell>
          <cell r="AI18"/>
          <cell r="AJ18"/>
          <cell r="AK18">
            <v>8317463.6600000001</v>
          </cell>
          <cell r="AL18">
            <v>3451383.2815721231</v>
          </cell>
          <cell r="AM18">
            <v>8317463.6600000001</v>
          </cell>
          <cell r="AN18">
            <v>-1</v>
          </cell>
          <cell r="AO18">
            <v>4866080.3784278771</v>
          </cell>
          <cell r="AP18">
            <v>-0.5850437798519792</v>
          </cell>
          <cell r="AQ18"/>
          <cell r="AR18"/>
          <cell r="AS18">
            <v>14430183.950000001</v>
          </cell>
          <cell r="AT18">
            <v>9409111.8100060504</v>
          </cell>
          <cell r="AU18">
            <v>14430183.950000001</v>
          </cell>
          <cell r="AV18"/>
          <cell r="AW18">
            <v>5021072.1399939507</v>
          </cell>
          <cell r="AX18">
            <v>0.53363933189255208</v>
          </cell>
          <cell r="AY18">
            <v>37082792.817253277</v>
          </cell>
          <cell r="AZ18">
            <v>0.38913422786447088</v>
          </cell>
        </row>
        <row r="19">
          <cell r="B19">
            <v>39173</v>
          </cell>
          <cell r="C19">
            <v>39173</v>
          </cell>
          <cell r="D19" t="str">
            <v>TOTAL</v>
          </cell>
          <cell r="E19">
            <v>2.3994776146313828</v>
          </cell>
          <cell r="F19" t="str">
            <v>c</v>
          </cell>
          <cell r="G19" t="str">
            <v>c</v>
          </cell>
          <cell r="H19" t="str">
            <v>g</v>
          </cell>
          <cell r="I19" t="str">
            <v>c</v>
          </cell>
          <cell r="J19" t="str">
            <v>c</v>
          </cell>
          <cell r="K19">
            <v>3.5</v>
          </cell>
          <cell r="L19">
            <v>3</v>
          </cell>
          <cell r="M19">
            <v>2</v>
          </cell>
          <cell r="N19">
            <v>1</v>
          </cell>
          <cell r="O19">
            <v>1.9747584571102148</v>
          </cell>
          <cell r="P19" t="str">
            <v>c</v>
          </cell>
          <cell r="Q19" t="str">
            <v>c</v>
          </cell>
          <cell r="R19" t="str">
            <v>c</v>
          </cell>
          <cell r="S19" t="str">
            <v>g</v>
          </cell>
          <cell r="T19" t="str">
            <v>c</v>
          </cell>
          <cell r="U19">
            <v>3.5</v>
          </cell>
          <cell r="V19">
            <v>3</v>
          </cell>
          <cell r="W19">
            <v>2</v>
          </cell>
          <cell r="X19">
            <v>1</v>
          </cell>
          <cell r="Y19"/>
          <cell r="Z19">
            <v>39173</v>
          </cell>
          <cell r="AA19" t="str">
            <v>TOTAL</v>
          </cell>
          <cell r="AB19"/>
          <cell r="AC19">
            <v>3809980.3699999992</v>
          </cell>
          <cell r="AD19">
            <v>2175704.7267952058</v>
          </cell>
          <cell r="AE19">
            <v>3809980.3699999992</v>
          </cell>
          <cell r="AF19"/>
          <cell r="AG19">
            <v>1634275.6432047933</v>
          </cell>
          <cell r="AH19">
            <v>0.75114771920915357</v>
          </cell>
          <cell r="AI19"/>
          <cell r="AJ19"/>
          <cell r="AK19">
            <v>9141962.609999992</v>
          </cell>
          <cell r="AL19">
            <v>3324592.3389254753</v>
          </cell>
          <cell r="AM19">
            <v>9141962.609999992</v>
          </cell>
          <cell r="AN19">
            <v>-1</v>
          </cell>
          <cell r="AO19">
            <v>5817370.2710745167</v>
          </cell>
          <cell r="AP19">
            <v>-0.63633713232551958</v>
          </cell>
          <cell r="AQ19"/>
          <cell r="AR19"/>
          <cell r="AS19">
            <v>18240164.32</v>
          </cell>
          <cell r="AT19">
            <v>11584816.536801256</v>
          </cell>
          <cell r="AU19">
            <v>18240164.32</v>
          </cell>
          <cell r="AV19"/>
          <cell r="AW19">
            <v>6655347.7831987441</v>
          </cell>
          <cell r="AX19">
            <v>0.57448883735507006</v>
          </cell>
          <cell r="AY19">
            <v>37082792.817253277</v>
          </cell>
          <cell r="AZ19">
            <v>0.49187676909581401</v>
          </cell>
        </row>
        <row r="20">
          <cell r="B20">
            <v>39203</v>
          </cell>
          <cell r="C20">
            <v>39203</v>
          </cell>
          <cell r="D20" t="str">
            <v>TOTAL</v>
          </cell>
          <cell r="E20">
            <v>3.6397854359335065</v>
          </cell>
          <cell r="F20" t="str">
            <v>g</v>
          </cell>
          <cell r="G20" t="str">
            <v>c</v>
          </cell>
          <cell r="H20" t="str">
            <v>c</v>
          </cell>
          <cell r="I20" t="str">
            <v>c</v>
          </cell>
          <cell r="J20" t="str">
            <v>c</v>
          </cell>
          <cell r="K20">
            <v>3.5</v>
          </cell>
          <cell r="L20">
            <v>3</v>
          </cell>
          <cell r="M20">
            <v>2</v>
          </cell>
          <cell r="N20">
            <v>1</v>
          </cell>
          <cell r="O20">
            <v>2.2220937081706755</v>
          </cell>
          <cell r="P20" t="str">
            <v>c</v>
          </cell>
          <cell r="Q20" t="str">
            <v>c</v>
          </cell>
          <cell r="R20" t="str">
            <v>g</v>
          </cell>
          <cell r="S20" t="str">
            <v>c</v>
          </cell>
          <cell r="T20" t="str">
            <v>c</v>
          </cell>
          <cell r="U20">
            <v>3.5</v>
          </cell>
          <cell r="V20">
            <v>3</v>
          </cell>
          <cell r="W20">
            <v>2</v>
          </cell>
          <cell r="X20">
            <v>1</v>
          </cell>
          <cell r="Y20"/>
          <cell r="Z20">
            <v>39203</v>
          </cell>
          <cell r="AA20" t="str">
            <v>TOTAL</v>
          </cell>
          <cell r="AB20"/>
          <cell r="AC20">
            <v>3182240.2100000046</v>
          </cell>
          <cell r="AD20">
            <v>2505086.761092931</v>
          </cell>
          <cell r="AE20">
            <v>3182240.2100000046</v>
          </cell>
          <cell r="AF20"/>
          <cell r="AG20">
            <v>677153.44890707359</v>
          </cell>
          <cell r="AH20">
            <v>0.27031137580705655</v>
          </cell>
          <cell r="AI20"/>
          <cell r="AJ20"/>
          <cell r="AK20">
            <v>11582671.57</v>
          </cell>
          <cell r="AL20">
            <v>3279558.5903810225</v>
          </cell>
          <cell r="AM20">
            <v>11582671.57</v>
          </cell>
          <cell r="AN20">
            <v>-1</v>
          </cell>
          <cell r="AO20">
            <v>8303112.9796189778</v>
          </cell>
          <cell r="AP20">
            <v>-0.71685646350576593</v>
          </cell>
          <cell r="AQ20"/>
          <cell r="AR20"/>
          <cell r="AS20">
            <v>21422404.530000005</v>
          </cell>
          <cell r="AT20">
            <v>14089903.297894187</v>
          </cell>
          <cell r="AU20">
            <v>21422404.530000005</v>
          </cell>
          <cell r="AV20"/>
          <cell r="AW20">
            <v>7332501.2321058176</v>
          </cell>
          <cell r="AX20">
            <v>0.52040820132539167</v>
          </cell>
          <cell r="AY20">
            <v>37082792.817253277</v>
          </cell>
          <cell r="AZ20">
            <v>0.57769123904909714</v>
          </cell>
        </row>
        <row r="21">
          <cell r="B21">
            <v>39234</v>
          </cell>
          <cell r="C21">
            <v>39234</v>
          </cell>
          <cell r="D21" t="str">
            <v>TOTAL</v>
          </cell>
          <cell r="E21">
            <v>3.4427044737743775</v>
          </cell>
          <cell r="F21" t="str">
            <v>c</v>
          </cell>
          <cell r="G21" t="str">
            <v>g</v>
          </cell>
          <cell r="H21" t="str">
            <v>c</v>
          </cell>
          <cell r="I21" t="str">
            <v>c</v>
          </cell>
          <cell r="J21" t="str">
            <v>c</v>
          </cell>
          <cell r="K21">
            <v>3.5</v>
          </cell>
          <cell r="L21">
            <v>3</v>
          </cell>
          <cell r="M21">
            <v>2</v>
          </cell>
          <cell r="N21">
            <v>1</v>
          </cell>
          <cell r="O21">
            <v>2.3861350187874297</v>
          </cell>
          <cell r="P21" t="str">
            <v>c</v>
          </cell>
          <cell r="Q21" t="str">
            <v>c</v>
          </cell>
          <cell r="R21" t="str">
            <v>g</v>
          </cell>
          <cell r="S21" t="str">
            <v>c</v>
          </cell>
          <cell r="T21" t="str">
            <v>c</v>
          </cell>
          <cell r="U21">
            <v>3.5</v>
          </cell>
          <cell r="V21">
            <v>3</v>
          </cell>
          <cell r="W21">
            <v>2</v>
          </cell>
          <cell r="X21">
            <v>1</v>
          </cell>
          <cell r="Y21"/>
          <cell r="Z21">
            <v>39234</v>
          </cell>
          <cell r="AA21" t="str">
            <v>TOTAL</v>
          </cell>
          <cell r="AB21"/>
          <cell r="AC21">
            <v>3326008.8099999987</v>
          </cell>
          <cell r="AD21">
            <v>2684891.0820513796</v>
          </cell>
          <cell r="AE21">
            <v>3326008.8099999987</v>
          </cell>
          <cell r="AF21"/>
          <cell r="AG21">
            <v>641117.72794861905</v>
          </cell>
          <cell r="AH21">
            <v>0.23878723879509334</v>
          </cell>
          <cell r="AI21"/>
          <cell r="AJ21"/>
          <cell r="AK21">
            <v>11450465.409999989</v>
          </cell>
          <cell r="AL21">
            <v>3573234.2847314328</v>
          </cell>
          <cell r="AM21">
            <v>11450465.409999989</v>
          </cell>
          <cell r="AN21">
            <v>-1</v>
          </cell>
          <cell r="AO21">
            <v>7877231.1252685562</v>
          </cell>
          <cell r="AP21">
            <v>-0.68793982106519147</v>
          </cell>
          <cell r="AQ21"/>
          <cell r="AR21"/>
          <cell r="AS21">
            <v>24748413.340000004</v>
          </cell>
          <cell r="AT21">
            <v>16774794.379945567</v>
          </cell>
          <cell r="AU21">
            <v>24748413.340000004</v>
          </cell>
          <cell r="AV21"/>
          <cell r="AW21">
            <v>7973618.9600544367</v>
          </cell>
          <cell r="AX21">
            <v>0.47533333520838728</v>
          </cell>
          <cell r="AY21">
            <v>37082792.817253277</v>
          </cell>
          <cell r="AZ21">
            <v>0.66738267157929554</v>
          </cell>
        </row>
        <row r="22">
          <cell r="B22">
            <v>39264</v>
          </cell>
          <cell r="C22">
            <v>39264</v>
          </cell>
          <cell r="D22" t="str">
            <v>TOTAL</v>
          </cell>
          <cell r="E22">
            <v>2.5905282471261395</v>
          </cell>
          <cell r="F22" t="str">
            <v>c</v>
          </cell>
          <cell r="G22" t="str">
            <v>c</v>
          </cell>
          <cell r="H22" t="str">
            <v>g</v>
          </cell>
          <cell r="I22" t="str">
            <v>c</v>
          </cell>
          <cell r="J22" t="str">
            <v>c</v>
          </cell>
          <cell r="K22">
            <v>3.5</v>
          </cell>
          <cell r="L22">
            <v>3</v>
          </cell>
          <cell r="M22">
            <v>2</v>
          </cell>
          <cell r="N22">
            <v>1</v>
          </cell>
          <cell r="O22">
            <v>2.4164202618456136</v>
          </cell>
          <cell r="P22" t="str">
            <v>c</v>
          </cell>
          <cell r="Q22" t="str">
            <v>c</v>
          </cell>
          <cell r="R22" t="str">
            <v>g</v>
          </cell>
          <cell r="S22" t="str">
            <v>c</v>
          </cell>
          <cell r="T22" t="str">
            <v>c</v>
          </cell>
          <cell r="U22">
            <v>3.5</v>
          </cell>
          <cell r="V22">
            <v>3</v>
          </cell>
          <cell r="W22">
            <v>2</v>
          </cell>
          <cell r="X22">
            <v>1</v>
          </cell>
          <cell r="Y22"/>
          <cell r="Z22">
            <v>39264</v>
          </cell>
          <cell r="AA22" t="str">
            <v>TOTAL</v>
          </cell>
          <cell r="AB22"/>
          <cell r="AC22">
            <v>4304866.9599999934</v>
          </cell>
          <cell r="AD22">
            <v>3032444.2263932806</v>
          </cell>
          <cell r="AE22">
            <v>4304866.9599999934</v>
          </cell>
          <cell r="AF22"/>
          <cell r="AG22">
            <v>1272422.7336067129</v>
          </cell>
          <cell r="AH22">
            <v>0.41960301282114698</v>
          </cell>
          <cell r="AI22"/>
          <cell r="AJ22"/>
          <cell r="AK22">
            <v>11151879.460000016</v>
          </cell>
          <cell r="AL22">
            <v>4171495.7535999417</v>
          </cell>
          <cell r="AM22">
            <v>11151879.460000016</v>
          </cell>
          <cell r="AN22">
            <v>-1</v>
          </cell>
          <cell r="AO22">
            <v>6980383.7064000741</v>
          </cell>
          <cell r="AP22">
            <v>-0.6259378727538778</v>
          </cell>
          <cell r="AQ22"/>
          <cell r="AR22"/>
          <cell r="AS22">
            <v>29053280.299999997</v>
          </cell>
          <cell r="AT22">
            <v>19807238.606338847</v>
          </cell>
          <cell r="AU22">
            <v>29053280.299999997</v>
          </cell>
          <cell r="AV22"/>
          <cell r="AW22">
            <v>9246041.6936611496</v>
          </cell>
          <cell r="AX22">
            <v>0.46680114666272399</v>
          </cell>
          <cell r="AY22">
            <v>37082792.817253277</v>
          </cell>
          <cell r="AZ22">
            <v>0.78347066368967122</v>
          </cell>
        </row>
        <row r="23">
          <cell r="B23">
            <v>39295</v>
          </cell>
          <cell r="C23">
            <v>39295</v>
          </cell>
          <cell r="D23" t="str">
            <v>TOTAL</v>
          </cell>
          <cell r="E23">
            <v>2.1148759245862525</v>
          </cell>
          <cell r="F23" t="str">
            <v>c</v>
          </cell>
          <cell r="G23" t="str">
            <v>c</v>
          </cell>
          <cell r="H23" t="str">
            <v>g</v>
          </cell>
          <cell r="I23" t="str">
            <v>c</v>
          </cell>
          <cell r="J23" t="str">
            <v>c</v>
          </cell>
          <cell r="K23">
            <v>3.5</v>
          </cell>
          <cell r="L23">
            <v>3</v>
          </cell>
          <cell r="M23">
            <v>2</v>
          </cell>
          <cell r="N23">
            <v>1</v>
          </cell>
          <cell r="O23">
            <v>2.3648051825370224</v>
          </cell>
          <cell r="P23" t="str">
            <v>c</v>
          </cell>
          <cell r="Q23" t="str">
            <v>c</v>
          </cell>
          <cell r="R23" t="str">
            <v>g</v>
          </cell>
          <cell r="S23" t="str">
            <v>c</v>
          </cell>
          <cell r="T23" t="str">
            <v>c</v>
          </cell>
          <cell r="U23">
            <v>3.5</v>
          </cell>
          <cell r="V23">
            <v>3</v>
          </cell>
          <cell r="W23">
            <v>2</v>
          </cell>
          <cell r="X23">
            <v>1</v>
          </cell>
          <cell r="Y23"/>
          <cell r="Z23">
            <v>39295</v>
          </cell>
          <cell r="AA23" t="str">
            <v>TOTAL</v>
          </cell>
          <cell r="AB23"/>
          <cell r="AC23">
            <v>6000047.2899999991</v>
          </cell>
          <cell r="AD23">
            <v>2753542.4755285196</v>
          </cell>
          <cell r="AE23">
            <v>6000047.2899999991</v>
          </cell>
          <cell r="AF23"/>
          <cell r="AG23">
            <v>3246504.8144714795</v>
          </cell>
          <cell r="AH23">
            <v>1.1790284127897244</v>
          </cell>
          <cell r="AI23"/>
          <cell r="AJ23"/>
          <cell r="AK23">
            <v>12689355.559999987</v>
          </cell>
          <cell r="AL23">
            <v>4402923.5361599363</v>
          </cell>
          <cell r="AM23">
            <v>12689355.559999987</v>
          </cell>
          <cell r="AN23">
            <v>-1</v>
          </cell>
          <cell r="AO23">
            <v>8286432.0238400511</v>
          </cell>
          <cell r="AP23">
            <v>-0.65302228979704458</v>
          </cell>
          <cell r="AQ23"/>
          <cell r="AR23"/>
          <cell r="AS23">
            <v>35053327.589999996</v>
          </cell>
          <cell r="AT23">
            <v>22560781.081867367</v>
          </cell>
          <cell r="AU23">
            <v>35053327.589999996</v>
          </cell>
          <cell r="AV23"/>
          <cell r="AW23">
            <v>12492546.508132629</v>
          </cell>
          <cell r="AX23">
            <v>0.55372845748559585</v>
          </cell>
          <cell r="AY23">
            <v>37082792.817253277</v>
          </cell>
          <cell r="AZ23">
            <v>0.94527205010543203</v>
          </cell>
        </row>
        <row r="24">
          <cell r="B24">
            <v>39326</v>
          </cell>
          <cell r="C24">
            <v>39326</v>
          </cell>
          <cell r="D24" t="str">
            <v>TOTAL</v>
          </cell>
          <cell r="E24">
            <v>1.7708396992777917</v>
          </cell>
          <cell r="F24" t="str">
            <v>c</v>
          </cell>
          <cell r="G24" t="str">
            <v>c</v>
          </cell>
          <cell r="H24" t="str">
            <v>c</v>
          </cell>
          <cell r="I24" t="str">
            <v>g</v>
          </cell>
          <cell r="J24" t="str">
            <v>c</v>
          </cell>
          <cell r="K24">
            <v>3.5</v>
          </cell>
          <cell r="L24">
            <v>3</v>
          </cell>
          <cell r="M24">
            <v>2</v>
          </cell>
          <cell r="N24">
            <v>1</v>
          </cell>
          <cell r="O24">
            <v>2.2666830233504593</v>
          </cell>
          <cell r="P24" t="str">
            <v>c</v>
          </cell>
          <cell r="Q24" t="str">
            <v>c</v>
          </cell>
          <cell r="R24" t="str">
            <v>g</v>
          </cell>
          <cell r="S24" t="str">
            <v>c</v>
          </cell>
          <cell r="T24" t="str">
            <v>c</v>
          </cell>
          <cell r="U24">
            <v>3.5</v>
          </cell>
          <cell r="V24">
            <v>3</v>
          </cell>
          <cell r="W24">
            <v>2</v>
          </cell>
          <cell r="X24">
            <v>1</v>
          </cell>
          <cell r="Y24"/>
          <cell r="Z24">
            <v>39326</v>
          </cell>
          <cell r="AA24" t="str">
            <v>TOTAL</v>
          </cell>
          <cell r="AB24"/>
          <cell r="AC24">
            <v>6936683.4699999914</v>
          </cell>
          <cell r="AD24">
            <v>3477129.0936205946</v>
          </cell>
          <cell r="AE24">
            <v>6936683.4699999914</v>
          </cell>
          <cell r="AF24"/>
          <cell r="AG24">
            <v>3459554.3763793968</v>
          </cell>
          <cell r="AH24">
            <v>0.99494562417212462</v>
          </cell>
          <cell r="AI24"/>
          <cell r="AJ24"/>
          <cell r="AK24">
            <v>12283754.470000014</v>
          </cell>
          <cell r="AL24">
            <v>3942023.3373289071</v>
          </cell>
          <cell r="AM24">
            <v>12283754.470000014</v>
          </cell>
          <cell r="AN24">
            <v>-1</v>
          </cell>
          <cell r="AO24">
            <v>8341731.1326711066</v>
          </cell>
          <cell r="AP24">
            <v>-0.67908644324043521</v>
          </cell>
          <cell r="AQ24"/>
          <cell r="AR24"/>
          <cell r="AS24">
            <v>41990011.059999987</v>
          </cell>
          <cell r="AT24">
            <v>26037910.175487962</v>
          </cell>
          <cell r="AU24">
            <v>41990011.059999987</v>
          </cell>
          <cell r="AV24"/>
          <cell r="AW24">
            <v>15952100.884512026</v>
          </cell>
          <cell r="AX24">
            <v>0.6126490481378688</v>
          </cell>
          <cell r="AY24">
            <v>37082792.817253277</v>
          </cell>
          <cell r="AZ24">
            <v>1.1323314095281292</v>
          </cell>
        </row>
        <row r="25">
          <cell r="B25">
            <v>39356</v>
          </cell>
          <cell r="C25">
            <v>39356</v>
          </cell>
          <cell r="D25" t="str">
            <v>TOTAL</v>
          </cell>
          <cell r="E25">
            <v>2.1447130158805421</v>
          </cell>
          <cell r="F25" t="str">
            <v>c</v>
          </cell>
          <cell r="G25" t="str">
            <v>c</v>
          </cell>
          <cell r="H25" t="str">
            <v>g</v>
          </cell>
          <cell r="I25" t="str">
            <v>c</v>
          </cell>
          <cell r="J25" t="str">
            <v>c</v>
          </cell>
          <cell r="K25">
            <v>3.5</v>
          </cell>
          <cell r="L25">
            <v>3</v>
          </cell>
          <cell r="M25">
            <v>2</v>
          </cell>
          <cell r="N25">
            <v>1</v>
          </cell>
          <cell r="O25">
            <v>2.2509880246525995</v>
          </cell>
          <cell r="P25" t="str">
            <v>c</v>
          </cell>
          <cell r="Q25" t="str">
            <v>c</v>
          </cell>
          <cell r="R25" t="str">
            <v>g</v>
          </cell>
          <cell r="S25" t="str">
            <v>c</v>
          </cell>
          <cell r="T25" t="str">
            <v>c</v>
          </cell>
          <cell r="U25">
            <v>3.5</v>
          </cell>
          <cell r="V25">
            <v>3</v>
          </cell>
          <cell r="W25">
            <v>2</v>
          </cell>
          <cell r="X25">
            <v>1</v>
          </cell>
          <cell r="Y25"/>
          <cell r="Z25">
            <v>39356</v>
          </cell>
          <cell r="AA25" t="str">
            <v>TOTAL</v>
          </cell>
          <cell r="AB25"/>
          <cell r="AC25">
            <v>6201205.5</v>
          </cell>
          <cell r="AD25">
            <v>3813255.1490148976</v>
          </cell>
          <cell r="AE25">
            <v>6201205.5</v>
          </cell>
          <cell r="AF25"/>
          <cell r="AG25">
            <v>2387950.3509851024</v>
          </cell>
          <cell r="AH25">
            <v>0.62622359576489317</v>
          </cell>
          <cell r="AI25"/>
          <cell r="AJ25"/>
          <cell r="AK25">
            <v>13299806.150000006</v>
          </cell>
          <cell r="AL25">
            <v>1232091.1079703085</v>
          </cell>
          <cell r="AM25">
            <v>13299806.150000006</v>
          </cell>
          <cell r="AN25">
            <v>-1</v>
          </cell>
          <cell r="AO25">
            <v>12067715.042029697</v>
          </cell>
          <cell r="AP25">
            <v>-0.90736022058710175</v>
          </cell>
          <cell r="AQ25"/>
          <cell r="AR25"/>
          <cell r="AS25">
            <v>48191216.559999987</v>
          </cell>
          <cell r="AT25">
            <v>29851165.324502859</v>
          </cell>
          <cell r="AU25">
            <v>48191216.559999987</v>
          </cell>
          <cell r="AV25"/>
          <cell r="AW25">
            <v>18340051.235497128</v>
          </cell>
          <cell r="AX25">
            <v>0.61438309145147452</v>
          </cell>
          <cell r="AY25">
            <v>37082792.817253277</v>
          </cell>
          <cell r="AZ25">
            <v>1.2995573660670554</v>
          </cell>
        </row>
        <row r="26">
          <cell r="B26">
            <v>39387</v>
          </cell>
          <cell r="C26">
            <v>39387</v>
          </cell>
          <cell r="D26" t="str">
            <v>TOTAL</v>
          </cell>
          <cell r="E26">
            <v>2.1684395948264146</v>
          </cell>
          <cell r="F26" t="str">
            <v>c</v>
          </cell>
          <cell r="G26" t="str">
            <v>c</v>
          </cell>
          <cell r="H26" t="str">
            <v>g</v>
          </cell>
          <cell r="I26" t="str">
            <v>c</v>
          </cell>
          <cell r="J26" t="str">
            <v>c</v>
          </cell>
          <cell r="K26">
            <v>3.5</v>
          </cell>
          <cell r="L26">
            <v>3</v>
          </cell>
          <cell r="M26">
            <v>2</v>
          </cell>
          <cell r="N26">
            <v>1</v>
          </cell>
          <cell r="O26">
            <v>2.2409480540212496</v>
          </cell>
          <cell r="P26" t="str">
            <v>c</v>
          </cell>
          <cell r="Q26" t="str">
            <v>c</v>
          </cell>
          <cell r="R26" t="str">
            <v>g</v>
          </cell>
          <cell r="S26" t="str">
            <v>c</v>
          </cell>
          <cell r="T26" t="str">
            <v>c</v>
          </cell>
          <cell r="U26">
            <v>3.5</v>
          </cell>
          <cell r="V26">
            <v>3</v>
          </cell>
          <cell r="W26">
            <v>2</v>
          </cell>
          <cell r="X26">
            <v>1</v>
          </cell>
          <cell r="Y26"/>
          <cell r="Z26">
            <v>39387</v>
          </cell>
          <cell r="AA26" t="str">
            <v>TOTAL</v>
          </cell>
          <cell r="AB26"/>
          <cell r="AC26">
            <v>6672854.5099999905</v>
          </cell>
          <cell r="AD26">
            <v>3573468.8491685018</v>
          </cell>
          <cell r="AE26">
            <v>6672854.5099999905</v>
          </cell>
          <cell r="AF26"/>
          <cell r="AG26">
            <v>3099385.6608314887</v>
          </cell>
          <cell r="AH26">
            <v>0.86733249726037887</v>
          </cell>
          <cell r="AI26"/>
          <cell r="AJ26"/>
          <cell r="AK26">
            <v>14469681.929999992</v>
          </cell>
          <cell r="AL26">
            <v>3606915.9813292995</v>
          </cell>
          <cell r="AM26">
            <v>14469681.929999992</v>
          </cell>
          <cell r="AN26">
            <v>-1</v>
          </cell>
          <cell r="AO26">
            <v>10862765.948670693</v>
          </cell>
          <cell r="AP26">
            <v>-0.75072596628049715</v>
          </cell>
          <cell r="AQ26"/>
          <cell r="AR26"/>
          <cell r="AS26">
            <v>54864071.069999978</v>
          </cell>
          <cell r="AT26">
            <v>33424634.173671361</v>
          </cell>
          <cell r="AU26">
            <v>54864071.069999978</v>
          </cell>
          <cell r="AV26"/>
          <cell r="AW26">
            <v>21439436.896328617</v>
          </cell>
          <cell r="AX26">
            <v>0.64142622429107976</v>
          </cell>
          <cell r="AY26">
            <v>37082792.817253277</v>
          </cell>
          <cell r="AZ26">
            <v>1.4795021329804943</v>
          </cell>
        </row>
        <row r="27">
          <cell r="B27">
            <v>39417</v>
          </cell>
          <cell r="C27">
            <v>39417</v>
          </cell>
          <cell r="D27" t="str">
            <v>TOTAL</v>
          </cell>
          <cell r="E27">
            <v>1.7693428340792352</v>
          </cell>
          <cell r="F27" t="str">
            <v>c</v>
          </cell>
          <cell r="G27" t="str">
            <v>c</v>
          </cell>
          <cell r="H27" t="str">
            <v>c</v>
          </cell>
          <cell r="I27" t="str">
            <v>g</v>
          </cell>
          <cell r="J27" t="str">
            <v>c</v>
          </cell>
          <cell r="K27">
            <v>3.5</v>
          </cell>
          <cell r="L27">
            <v>3</v>
          </cell>
          <cell r="M27">
            <v>2</v>
          </cell>
          <cell r="N27">
            <v>1</v>
          </cell>
          <cell r="O27">
            <v>2.1887355884673867</v>
          </cell>
          <cell r="P27" t="str">
            <v>c</v>
          </cell>
          <cell r="Q27" t="str">
            <v>c</v>
          </cell>
          <cell r="R27" t="str">
            <v>g</v>
          </cell>
          <cell r="S27" t="str">
            <v>c</v>
          </cell>
          <cell r="T27" t="str">
            <v>c</v>
          </cell>
          <cell r="U27">
            <v>3.5</v>
          </cell>
          <cell r="V27">
            <v>3</v>
          </cell>
          <cell r="W27">
            <v>2</v>
          </cell>
          <cell r="X27">
            <v>1</v>
          </cell>
          <cell r="Y27"/>
          <cell r="Z27">
            <v>39417</v>
          </cell>
          <cell r="AA27" t="str">
            <v>TOTAL</v>
          </cell>
          <cell r="AB27"/>
          <cell r="AC27">
            <v>6830324.0600000024</v>
          </cell>
          <cell r="AD27">
            <v>3658158.6435819156</v>
          </cell>
          <cell r="AE27">
            <v>6830324.0600000024</v>
          </cell>
          <cell r="AF27"/>
          <cell r="AG27">
            <v>3172165.4164180867</v>
          </cell>
          <cell r="AH27">
            <v>0.86714812710036959</v>
          </cell>
          <cell r="AI27"/>
          <cell r="AJ27"/>
          <cell r="AK27">
            <v>12085184.929999992</v>
          </cell>
          <cell r="AL27">
            <v>3518206.4375941753</v>
          </cell>
          <cell r="AM27">
            <v>12085184.929999992</v>
          </cell>
          <cell r="AN27">
            <v>-1</v>
          </cell>
          <cell r="AO27">
            <v>8566978.4924058169</v>
          </cell>
          <cell r="AP27">
            <v>-0.7088826974537511</v>
          </cell>
          <cell r="AQ27"/>
          <cell r="AR27"/>
          <cell r="AS27">
            <v>61694395.12999998</v>
          </cell>
          <cell r="AT27">
            <v>37082792.817253277</v>
          </cell>
          <cell r="AU27">
            <v>61694395.12999998</v>
          </cell>
          <cell r="AV27"/>
          <cell r="AW27">
            <v>24611602.312746704</v>
          </cell>
          <cell r="AX27">
            <v>0.66369333167635158</v>
          </cell>
          <cell r="AY27">
            <v>37082792.817253277</v>
          </cell>
          <cell r="AZ27">
            <v>1.6636933316763516</v>
          </cell>
        </row>
        <row r="28">
          <cell r="B28">
            <v>39448</v>
          </cell>
          <cell r="C28">
            <v>39448</v>
          </cell>
          <cell r="D28" t="str">
            <v>TOTAL</v>
          </cell>
          <cell r="E28">
            <v>2.2824881348245309</v>
          </cell>
          <cell r="F28" t="str">
            <v>c</v>
          </cell>
          <cell r="G28" t="str">
            <v>c</v>
          </cell>
          <cell r="H28" t="str">
            <v>g</v>
          </cell>
          <cell r="I28" t="str">
            <v>c</v>
          </cell>
          <cell r="J28" t="str">
            <v>c</v>
          </cell>
          <cell r="K28">
            <v>3.5</v>
          </cell>
          <cell r="L28">
            <v>3</v>
          </cell>
          <cell r="M28">
            <v>2</v>
          </cell>
          <cell r="N28">
            <v>1</v>
          </cell>
          <cell r="O28">
            <v>2.1763492894121819</v>
          </cell>
          <cell r="P28" t="str">
            <v>c</v>
          </cell>
          <cell r="Q28" t="str">
            <v>c</v>
          </cell>
          <cell r="R28" t="str">
            <v>g</v>
          </cell>
          <cell r="S28" t="str">
            <v>c</v>
          </cell>
          <cell r="T28" t="str">
            <v>c</v>
          </cell>
          <cell r="U28">
            <v>3.5</v>
          </cell>
          <cell r="V28">
            <v>3</v>
          </cell>
          <cell r="W28">
            <v>2</v>
          </cell>
          <cell r="X28">
            <v>1</v>
          </cell>
          <cell r="Y28"/>
          <cell r="Z28">
            <v>39448</v>
          </cell>
          <cell r="AA28" t="str">
            <v>TOTAL</v>
          </cell>
          <cell r="AB28">
            <v>3525655.41</v>
          </cell>
          <cell r="AC28">
            <v>6875138.5300000161</v>
          </cell>
          <cell r="AD28">
            <v>4398214.8738999292</v>
          </cell>
          <cell r="AE28">
            <v>3349483.1200000159</v>
          </cell>
          <cell r="AF28">
            <v>0.95003133615942792</v>
          </cell>
          <cell r="AG28">
            <v>2476923.6561000869</v>
          </cell>
          <cell r="AH28">
            <v>0.56316567678372209</v>
          </cell>
          <cell r="AI28"/>
          <cell r="AJ28">
            <v>9166942.1400000006</v>
          </cell>
          <cell r="AK28">
            <v>15692422.120000005</v>
          </cell>
          <cell r="AL28">
            <v>3446486.3533790633</v>
          </cell>
          <cell r="AM28">
            <v>6525479.9800000042</v>
          </cell>
          <cell r="AN28">
            <v>-0.41583637822763353</v>
          </cell>
          <cell r="AO28">
            <v>12245935.766620941</v>
          </cell>
          <cell r="AP28">
            <v>-0.78037256919143705</v>
          </cell>
          <cell r="AQ28"/>
          <cell r="AR28">
            <v>3525655.41</v>
          </cell>
          <cell r="AS28">
            <v>6875138.5300000161</v>
          </cell>
          <cell r="AT28">
            <v>4398214.8738999292</v>
          </cell>
          <cell r="AU28">
            <v>3349483.1200000159</v>
          </cell>
          <cell r="AV28">
            <v>0.95003133615942792</v>
          </cell>
          <cell r="AW28">
            <v>2476923.6561000869</v>
          </cell>
          <cell r="AX28">
            <v>0.56316567678372209</v>
          </cell>
          <cell r="AY28">
            <v>38231728.570211396</v>
          </cell>
          <cell r="AZ28">
            <v>0.17982808486867224</v>
          </cell>
        </row>
        <row r="29">
          <cell r="B29">
            <v>39479</v>
          </cell>
          <cell r="C29">
            <v>39479</v>
          </cell>
          <cell r="D29" t="str">
            <v>TOTAL</v>
          </cell>
          <cell r="E29">
            <v>3.002854697096756</v>
          </cell>
          <cell r="F29" t="str">
            <v>c</v>
          </cell>
          <cell r="G29" t="str">
            <v>g</v>
          </cell>
          <cell r="H29" t="str">
            <v>c</v>
          </cell>
          <cell r="I29" t="str">
            <v>c</v>
          </cell>
          <cell r="J29" t="str">
            <v>c</v>
          </cell>
          <cell r="K29">
            <v>3.5</v>
          </cell>
          <cell r="L29">
            <v>3</v>
          </cell>
          <cell r="M29">
            <v>2</v>
          </cell>
          <cell r="N29">
            <v>1</v>
          </cell>
          <cell r="O29">
            <v>2.2779224485519696</v>
          </cell>
          <cell r="P29" t="str">
            <v>c</v>
          </cell>
          <cell r="Q29" t="str">
            <v>c</v>
          </cell>
          <cell r="R29" t="str">
            <v>g</v>
          </cell>
          <cell r="S29" t="str">
            <v>c</v>
          </cell>
          <cell r="T29" t="str">
            <v>c</v>
          </cell>
          <cell r="U29">
            <v>3.5</v>
          </cell>
          <cell r="V29">
            <v>3</v>
          </cell>
          <cell r="W29">
            <v>2</v>
          </cell>
          <cell r="X29">
            <v>1</v>
          </cell>
          <cell r="Y29"/>
          <cell r="Z29">
            <v>39479</v>
          </cell>
          <cell r="AA29" t="str">
            <v>TOTAL</v>
          </cell>
          <cell r="AB29">
            <v>4839226.7</v>
          </cell>
          <cell r="AC29">
            <v>6865302.8099999875</v>
          </cell>
          <cell r="AD29">
            <v>4398639.6513999254</v>
          </cell>
          <cell r="AE29">
            <v>2026076.1099999873</v>
          </cell>
          <cell r="AF29">
            <v>0.41867765980047755</v>
          </cell>
          <cell r="AG29">
            <v>2466663.1586000621</v>
          </cell>
          <cell r="AH29">
            <v>0.56077863932659588</v>
          </cell>
          <cell r="AI29"/>
          <cell r="AJ29">
            <v>9393550.3399999999</v>
          </cell>
          <cell r="AK29">
            <v>20615506.790000021</v>
          </cell>
          <cell r="AL29">
            <v>1753646.5195894539</v>
          </cell>
          <cell r="AM29">
            <v>11221956.450000022</v>
          </cell>
          <cell r="AN29">
            <v>-0.54434540777059448</v>
          </cell>
          <cell r="AO29">
            <v>18861860.270410568</v>
          </cell>
          <cell r="AP29">
            <v>-0.91493556100982698</v>
          </cell>
          <cell r="AQ29"/>
          <cell r="AR29">
            <v>8364882.1100000003</v>
          </cell>
          <cell r="AS29">
            <v>13740441.340000004</v>
          </cell>
          <cell r="AT29">
            <v>8796854.5252998546</v>
          </cell>
          <cell r="AU29">
            <v>5375559.2300000032</v>
          </cell>
          <cell r="AV29">
            <v>0.64263418889952573</v>
          </cell>
          <cell r="AW29">
            <v>4943586.814700149</v>
          </cell>
          <cell r="AX29">
            <v>0.56197210042320656</v>
          </cell>
          <cell r="AY29">
            <v>38231728.570211396</v>
          </cell>
          <cell r="AZ29">
            <v>0.35939890383889145</v>
          </cell>
        </row>
        <row r="30">
          <cell r="B30">
            <v>39508</v>
          </cell>
          <cell r="C30">
            <v>39508</v>
          </cell>
          <cell r="D30" t="str">
            <v>TOTAL</v>
          </cell>
          <cell r="E30">
            <v>2.085693326136719</v>
          </cell>
          <cell r="F30" t="str">
            <v>c</v>
          </cell>
          <cell r="G30" t="str">
            <v>c</v>
          </cell>
          <cell r="H30" t="str">
            <v>g</v>
          </cell>
          <cell r="I30" t="str">
            <v>c</v>
          </cell>
          <cell r="J30" t="str">
            <v>c</v>
          </cell>
          <cell r="K30">
            <v>3.5</v>
          </cell>
          <cell r="L30">
            <v>3</v>
          </cell>
          <cell r="M30">
            <v>2</v>
          </cell>
          <cell r="N30">
            <v>1</v>
          </cell>
          <cell r="O30">
            <v>2.3301385355620767</v>
          </cell>
          <cell r="P30" t="str">
            <v>c</v>
          </cell>
          <cell r="Q30" t="str">
            <v>c</v>
          </cell>
          <cell r="R30" t="str">
            <v>g</v>
          </cell>
          <cell r="S30" t="str">
            <v>c</v>
          </cell>
          <cell r="T30" t="str">
            <v>c</v>
          </cell>
          <cell r="U30">
            <v>3.5</v>
          </cell>
          <cell r="V30">
            <v>3</v>
          </cell>
          <cell r="W30">
            <v>2</v>
          </cell>
          <cell r="X30">
            <v>1</v>
          </cell>
          <cell r="Y30"/>
          <cell r="Z30">
            <v>39508</v>
          </cell>
          <cell r="AA30" t="str">
            <v>TOTAL</v>
          </cell>
          <cell r="AB30">
            <v>6065301.8400000008</v>
          </cell>
          <cell r="AC30">
            <v>9463876.6699999869</v>
          </cell>
          <cell r="AD30">
            <v>3790455.4426184371</v>
          </cell>
          <cell r="AE30">
            <v>3398574.8299999861</v>
          </cell>
          <cell r="AF30">
            <v>0.56033070070590019</v>
          </cell>
          <cell r="AG30">
            <v>5673421.2273815498</v>
          </cell>
          <cell r="AH30">
            <v>1.4967650492845168</v>
          </cell>
          <cell r="AI30"/>
          <cell r="AJ30">
            <v>8317463.6600000001</v>
          </cell>
          <cell r="AK30">
            <v>19738744.409999967</v>
          </cell>
          <cell r="AL30">
            <v>2300545.8604447767</v>
          </cell>
          <cell r="AM30">
            <v>11421280.749999966</v>
          </cell>
          <cell r="AN30">
            <v>-0.57862245504398757</v>
          </cell>
          <cell r="AO30">
            <v>17438198.54955519</v>
          </cell>
          <cell r="AP30">
            <v>-0.8834502432039556</v>
          </cell>
          <cell r="AQ30"/>
          <cell r="AR30">
            <v>14430183.950000001</v>
          </cell>
          <cell r="AS30">
            <v>23204318.00999999</v>
          </cell>
          <cell r="AT30">
            <v>12587309.967918292</v>
          </cell>
          <cell r="AU30">
            <v>8774134.0599999893</v>
          </cell>
          <cell r="AV30">
            <v>0.60804034726113021</v>
          </cell>
          <cell r="AW30">
            <v>10617008.042081699</v>
          </cell>
          <cell r="AX30">
            <v>0.84346918198897392</v>
          </cell>
          <cell r="AY30">
            <v>38231728.570211396</v>
          </cell>
          <cell r="AZ30">
            <v>0.60693876206475916</v>
          </cell>
        </row>
        <row r="31">
          <cell r="B31">
            <v>39539</v>
          </cell>
          <cell r="C31">
            <v>39539</v>
          </cell>
          <cell r="D31" t="str">
            <v>TOTAL</v>
          </cell>
          <cell r="E31">
            <v>3.6187297202559443</v>
          </cell>
          <cell r="F31" t="str">
            <v>g</v>
          </cell>
          <cell r="G31" t="str">
            <v>c</v>
          </cell>
          <cell r="H31" t="str">
            <v>c</v>
          </cell>
          <cell r="I31" t="str">
            <v>c</v>
          </cell>
          <cell r="J31" t="str">
            <v>c</v>
          </cell>
          <cell r="K31">
            <v>3.5</v>
          </cell>
          <cell r="L31">
            <v>3</v>
          </cell>
          <cell r="M31">
            <v>2</v>
          </cell>
          <cell r="N31">
            <v>1</v>
          </cell>
          <cell r="O31">
            <v>2.4248744453972462</v>
          </cell>
          <cell r="P31" t="str">
            <v>c</v>
          </cell>
          <cell r="Q31" t="str">
            <v>c</v>
          </cell>
          <cell r="R31" t="str">
            <v>g</v>
          </cell>
          <cell r="S31" t="str">
            <v>c</v>
          </cell>
          <cell r="T31" t="str">
            <v>c</v>
          </cell>
          <cell r="U31">
            <v>3.5</v>
          </cell>
          <cell r="V31">
            <v>3</v>
          </cell>
          <cell r="W31">
            <v>2</v>
          </cell>
          <cell r="X31">
            <v>1</v>
          </cell>
          <cell r="Y31"/>
          <cell r="Z31">
            <v>39539</v>
          </cell>
          <cell r="AA31" t="str">
            <v>TOTAL</v>
          </cell>
          <cell r="AB31">
            <v>3809980.3699999992</v>
          </cell>
          <cell r="AC31">
            <v>5510834.4700000286</v>
          </cell>
          <cell r="AD31">
            <v>3594690.3800398931</v>
          </cell>
          <cell r="AE31">
            <v>1700854.1000000294</v>
          </cell>
          <cell r="AF31">
            <v>0.44642069901269066</v>
          </cell>
          <cell r="AG31">
            <v>1916144.0899601355</v>
          </cell>
          <cell r="AH31">
            <v>0.53304843738415952</v>
          </cell>
          <cell r="AI31"/>
          <cell r="AJ31">
            <v>9141962.609999992</v>
          </cell>
          <cell r="AK31">
            <v>19942220.480000019</v>
          </cell>
          <cell r="AL31">
            <v>2182873.1373591125</v>
          </cell>
          <cell r="AM31">
            <v>10800257.870000027</v>
          </cell>
          <cell r="AN31">
            <v>-0.54157749789355536</v>
          </cell>
          <cell r="AO31">
            <v>17759347.342640907</v>
          </cell>
          <cell r="AP31">
            <v>-0.89054011615465245</v>
          </cell>
          <cell r="AQ31"/>
          <cell r="AR31">
            <v>18240164.32</v>
          </cell>
          <cell r="AS31">
            <v>28715152.480000019</v>
          </cell>
          <cell r="AT31">
            <v>16182000.347958185</v>
          </cell>
          <cell r="AU31">
            <v>10474988.160000019</v>
          </cell>
          <cell r="AV31">
            <v>0.57428145800826957</v>
          </cell>
          <cell r="AW31">
            <v>12533152.132041834</v>
          </cell>
          <cell r="AX31">
            <v>0.77451191833791078</v>
          </cell>
          <cell r="AY31">
            <v>38231728.570211396</v>
          </cell>
          <cell r="AZ31">
            <v>0.75108172070393109</v>
          </cell>
        </row>
        <row r="32">
          <cell r="B32">
            <v>39569</v>
          </cell>
          <cell r="C32">
            <v>39569</v>
          </cell>
          <cell r="D32" t="str">
            <v>TOTAL</v>
          </cell>
          <cell r="E32">
            <v>3.5118890299029721</v>
          </cell>
          <cell r="F32" t="str">
            <v>g</v>
          </cell>
          <cell r="G32" t="str">
            <v>c</v>
          </cell>
          <cell r="H32" t="str">
            <v>c</v>
          </cell>
          <cell r="I32" t="str">
            <v>c</v>
          </cell>
          <cell r="J32" t="str">
            <v>c</v>
          </cell>
          <cell r="K32">
            <v>3.5</v>
          </cell>
          <cell r="L32">
            <v>3</v>
          </cell>
          <cell r="M32">
            <v>2</v>
          </cell>
          <cell r="N32">
            <v>1</v>
          </cell>
          <cell r="O32">
            <v>2.4576974521822947</v>
          </cell>
          <cell r="P32" t="str">
            <v>c</v>
          </cell>
          <cell r="Q32" t="str">
            <v>c</v>
          </cell>
          <cell r="R32" t="str">
            <v>g</v>
          </cell>
          <cell r="S32" t="str">
            <v>c</v>
          </cell>
          <cell r="T32" t="str">
            <v>c</v>
          </cell>
          <cell r="U32">
            <v>3.5</v>
          </cell>
          <cell r="V32">
            <v>3</v>
          </cell>
          <cell r="W32">
            <v>2</v>
          </cell>
          <cell r="X32">
            <v>1</v>
          </cell>
          <cell r="Y32"/>
          <cell r="Z32">
            <v>39569</v>
          </cell>
          <cell r="AA32" t="str">
            <v>TOTAL</v>
          </cell>
          <cell r="AB32">
            <v>3182240.2100000046</v>
          </cell>
          <cell r="AC32">
            <v>5815360.5100000054</v>
          </cell>
          <cell r="AD32">
            <v>3635491.1050489992</v>
          </cell>
          <cell r="AE32">
            <v>2633120.3000000007</v>
          </cell>
          <cell r="AF32">
            <v>0.82744234446085296</v>
          </cell>
          <cell r="AG32">
            <v>2179869.4049510062</v>
          </cell>
          <cell r="AH32">
            <v>0.59960795995995864</v>
          </cell>
          <cell r="AI32"/>
          <cell r="AJ32">
            <v>11582671.57</v>
          </cell>
          <cell r="AK32">
            <v>20422900.779999971</v>
          </cell>
          <cell r="AL32">
            <v>0</v>
          </cell>
          <cell r="AM32">
            <v>8840229.2099999711</v>
          </cell>
          <cell r="AN32">
            <v>-0.43285864751676983</v>
          </cell>
          <cell r="AO32">
            <v>20422900.779999971</v>
          </cell>
          <cell r="AP32">
            <v>-1</v>
          </cell>
          <cell r="AQ32"/>
          <cell r="AR32">
            <v>21422404.530000005</v>
          </cell>
          <cell r="AS32">
            <v>34530512.990000024</v>
          </cell>
          <cell r="AT32">
            <v>19817491.453007184</v>
          </cell>
          <cell r="AU32">
            <v>13108108.46000002</v>
          </cell>
          <cell r="AV32">
            <v>0.61188782247312079</v>
          </cell>
          <cell r="AW32">
            <v>14713021.53699284</v>
          </cell>
          <cell r="AX32">
            <v>0.74242603166407473</v>
          </cell>
          <cell r="AY32">
            <v>38231728.570211396</v>
          </cell>
          <cell r="AZ32">
            <v>0.90318994932666452</v>
          </cell>
        </row>
        <row r="33">
          <cell r="B33">
            <v>39600</v>
          </cell>
          <cell r="C33">
            <v>39600</v>
          </cell>
          <cell r="D33" t="str">
            <v>TOTAL</v>
          </cell>
          <cell r="E33">
            <v>3.2347150733579477</v>
          </cell>
          <cell r="F33" t="str">
            <v>c</v>
          </cell>
          <cell r="G33" t="str">
            <v>g</v>
          </cell>
          <cell r="H33" t="str">
            <v>c</v>
          </cell>
          <cell r="I33" t="str">
            <v>c</v>
          </cell>
          <cell r="J33" t="str">
            <v>c</v>
          </cell>
          <cell r="K33">
            <v>3.5</v>
          </cell>
          <cell r="L33">
            <v>3</v>
          </cell>
          <cell r="M33">
            <v>2</v>
          </cell>
          <cell r="N33">
            <v>1</v>
          </cell>
          <cell r="O33">
            <v>2.4799333518517077</v>
          </cell>
          <cell r="P33" t="str">
            <v>c</v>
          </cell>
          <cell r="Q33" t="str">
            <v>c</v>
          </cell>
          <cell r="R33" t="str">
            <v>g</v>
          </cell>
          <cell r="S33" t="str">
            <v>c</v>
          </cell>
          <cell r="T33" t="str">
            <v>c</v>
          </cell>
          <cell r="U33">
            <v>3.5</v>
          </cell>
          <cell r="V33">
            <v>3</v>
          </cell>
          <cell r="W33">
            <v>2</v>
          </cell>
          <cell r="X33">
            <v>1</v>
          </cell>
          <cell r="Y33"/>
          <cell r="Z33">
            <v>39600</v>
          </cell>
          <cell r="AA33" t="str">
            <v>TOTAL</v>
          </cell>
          <cell r="AB33">
            <v>3326008.8099999987</v>
          </cell>
          <cell r="AC33">
            <v>6446216.25</v>
          </cell>
          <cell r="AD33">
            <v>3679213.8621622249</v>
          </cell>
          <cell r="AE33">
            <v>3120207.4400000013</v>
          </cell>
          <cell r="AF33">
            <v>0.93812362451319031</v>
          </cell>
          <cell r="AG33">
            <v>2767002.3878377751</v>
          </cell>
          <cell r="AH33">
            <v>0.75206348190144201</v>
          </cell>
          <cell r="AI33"/>
          <cell r="AJ33">
            <v>11450465.409999989</v>
          </cell>
          <cell r="AK33">
            <v>20851672.869999945</v>
          </cell>
          <cell r="AL33">
            <v>0</v>
          </cell>
          <cell r="AM33">
            <v>9401207.4599999562</v>
          </cell>
          <cell r="AN33">
            <v>-0.45086106609344578</v>
          </cell>
          <cell r="AO33">
            <v>20851672.869999945</v>
          </cell>
          <cell r="AP33">
            <v>-1</v>
          </cell>
          <cell r="AQ33"/>
          <cell r="AR33">
            <v>24748413.340000004</v>
          </cell>
          <cell r="AS33">
            <v>40976729.240000024</v>
          </cell>
          <cell r="AT33">
            <v>23496705.315169409</v>
          </cell>
          <cell r="AU33">
            <v>16228315.900000021</v>
          </cell>
          <cell r="AV33">
            <v>0.65573156860810777</v>
          </cell>
          <cell r="AW33">
            <v>17480023.924830616</v>
          </cell>
          <cell r="AX33">
            <v>0.74393510453338152</v>
          </cell>
          <cell r="AY33">
            <v>38231728.570211396</v>
          </cell>
          <cell r="AZ33">
            <v>1.0717990206680694</v>
          </cell>
        </row>
        <row r="34">
          <cell r="B34">
            <v>39630</v>
          </cell>
          <cell r="C34">
            <v>39630</v>
          </cell>
          <cell r="D34" t="str">
            <v>TOTAL</v>
          </cell>
          <cell r="E34">
            <v>4.3245628505665659</v>
          </cell>
          <cell r="F34" t="str">
            <v>g</v>
          </cell>
          <cell r="G34" t="str">
            <v>c</v>
          </cell>
          <cell r="H34" t="str">
            <v>c</v>
          </cell>
          <cell r="I34" t="str">
            <v>c</v>
          </cell>
          <cell r="J34" t="str">
            <v>c</v>
          </cell>
          <cell r="K34">
            <v>3.5</v>
          </cell>
          <cell r="L34">
            <v>3</v>
          </cell>
          <cell r="M34">
            <v>2</v>
          </cell>
          <cell r="N34">
            <v>1</v>
          </cell>
          <cell r="O34">
            <v>2.592864663246746</v>
          </cell>
          <cell r="P34" t="str">
            <v>c</v>
          </cell>
          <cell r="Q34" t="str">
            <v>c</v>
          </cell>
          <cell r="R34" t="str">
            <v>g</v>
          </cell>
          <cell r="S34" t="str">
            <v>c</v>
          </cell>
          <cell r="T34" t="str">
            <v>c</v>
          </cell>
          <cell r="U34">
            <v>3.5</v>
          </cell>
          <cell r="V34">
            <v>3</v>
          </cell>
          <cell r="W34">
            <v>2</v>
          </cell>
          <cell r="X34">
            <v>1</v>
          </cell>
          <cell r="Y34"/>
          <cell r="Z34">
            <v>39630</v>
          </cell>
          <cell r="AA34" t="str">
            <v>TOTAL</v>
          </cell>
          <cell r="AB34">
            <v>4304866.9599999934</v>
          </cell>
          <cell r="AC34">
            <v>5075859.0889999866</v>
          </cell>
          <cell r="AD34">
            <v>3718811.5366929322</v>
          </cell>
          <cell r="AE34">
            <v>770992.12899999321</v>
          </cell>
          <cell r="AF34">
            <v>0.17909778308224289</v>
          </cell>
          <cell r="AG34">
            <v>1357047.5523070544</v>
          </cell>
          <cell r="AH34">
            <v>0.36491431171418021</v>
          </cell>
          <cell r="AI34"/>
          <cell r="AJ34">
            <v>11151879.460000016</v>
          </cell>
          <cell r="AK34">
            <v>21950871.650999993</v>
          </cell>
          <cell r="AL34">
            <v>0</v>
          </cell>
          <cell r="AM34">
            <v>10798992.190999977</v>
          </cell>
          <cell r="AN34">
            <v>-0.49196188482601866</v>
          </cell>
          <cell r="AO34">
            <v>21950871.650999993</v>
          </cell>
          <cell r="AP34">
            <v>-1</v>
          </cell>
          <cell r="AQ34"/>
          <cell r="AR34">
            <v>29053280.299999997</v>
          </cell>
          <cell r="AS34">
            <v>46052588.329000011</v>
          </cell>
          <cell r="AT34">
            <v>27215516.851862341</v>
          </cell>
          <cell r="AU34">
            <v>16999308.029000014</v>
          </cell>
          <cell r="AV34">
            <v>0.58510804471879263</v>
          </cell>
          <cell r="AW34">
            <v>18837071.47713767</v>
          </cell>
          <cell r="AX34">
            <v>0.69214454311745555</v>
          </cell>
          <cell r="AY34">
            <v>38231728.570211396</v>
          </cell>
          <cell r="AZ34">
            <v>1.2045646391432667</v>
          </cell>
        </row>
        <row r="35">
          <cell r="B35">
            <v>39661</v>
          </cell>
          <cell r="C35">
            <v>39661</v>
          </cell>
          <cell r="D35" t="str">
            <v>TOTAL</v>
          </cell>
          <cell r="E35">
            <v>2.0958534201779004</v>
          </cell>
          <cell r="F35" t="str">
            <v>c</v>
          </cell>
          <cell r="G35" t="str">
            <v>c</v>
          </cell>
          <cell r="H35" t="str">
            <v>g</v>
          </cell>
          <cell r="I35" t="str">
            <v>c</v>
          </cell>
          <cell r="J35" t="str">
            <v>c</v>
          </cell>
          <cell r="K35">
            <v>3.5</v>
          </cell>
          <cell r="L35">
            <v>3</v>
          </cell>
          <cell r="M35">
            <v>2</v>
          </cell>
          <cell r="N35">
            <v>1</v>
          </cell>
          <cell r="O35">
            <v>2.5804561727585154</v>
          </cell>
          <cell r="P35" t="str">
            <v>c</v>
          </cell>
          <cell r="Q35" t="str">
            <v>c</v>
          </cell>
          <cell r="R35" t="str">
            <v>g</v>
          </cell>
          <cell r="S35" t="str">
            <v>c</v>
          </cell>
          <cell r="T35" t="str">
            <v>c</v>
          </cell>
          <cell r="U35">
            <v>3.5</v>
          </cell>
          <cell r="V35">
            <v>3</v>
          </cell>
          <cell r="W35">
            <v>2</v>
          </cell>
          <cell r="X35">
            <v>1</v>
          </cell>
          <cell r="Y35"/>
          <cell r="Z35">
            <v>39661</v>
          </cell>
          <cell r="AA35" t="str">
            <v>TOTAL</v>
          </cell>
          <cell r="AB35">
            <v>6000047.2899999991</v>
          </cell>
          <cell r="AC35">
            <v>7779513.3299999982</v>
          </cell>
          <cell r="AD35">
            <v>3487098.3501717299</v>
          </cell>
          <cell r="AE35">
            <v>1779466.0399999991</v>
          </cell>
          <cell r="AF35">
            <v>0.29657533582539464</v>
          </cell>
          <cell r="AG35">
            <v>4292414.9798282683</v>
          </cell>
          <cell r="AH35">
            <v>1.2309417598207055</v>
          </cell>
          <cell r="AI35"/>
          <cell r="AJ35">
            <v>12689355.559999987</v>
          </cell>
          <cell r="AK35">
            <v>16304719.620000064</v>
          </cell>
          <cell r="AL35">
            <v>0</v>
          </cell>
          <cell r="AM35">
            <v>3615364.0600000769</v>
          </cell>
          <cell r="AN35">
            <v>-0.22173727265848331</v>
          </cell>
          <cell r="AO35">
            <v>16304719.620000064</v>
          </cell>
          <cell r="AP35">
            <v>-1</v>
          </cell>
          <cell r="AQ35"/>
          <cell r="AR35">
            <v>35053327.589999996</v>
          </cell>
          <cell r="AS35">
            <v>53832101.659000009</v>
          </cell>
          <cell r="AT35">
            <v>30702615.202034071</v>
          </cell>
          <cell r="AU35">
            <v>18778774.069000013</v>
          </cell>
          <cell r="AV35">
            <v>0.53572015440717302</v>
          </cell>
          <cell r="AW35">
            <v>23129486.456965938</v>
          </cell>
          <cell r="AX35">
            <v>0.75333929389290577</v>
          </cell>
          <cell r="AY35">
            <v>38231728.570211396</v>
          </cell>
          <cell r="AZ35">
            <v>1.4080478092989965</v>
          </cell>
        </row>
        <row r="36">
          <cell r="B36">
            <v>39692</v>
          </cell>
          <cell r="C36">
            <v>39692</v>
          </cell>
          <cell r="D36" t="str">
            <v>TOTAL</v>
          </cell>
          <cell r="E36">
            <v>3.092495172534671</v>
          </cell>
          <cell r="F36" t="str">
            <v>c</v>
          </cell>
          <cell r="G36" t="str">
            <v>g</v>
          </cell>
          <cell r="H36" t="str">
            <v>c</v>
          </cell>
          <cell r="I36" t="str">
            <v>c</v>
          </cell>
          <cell r="J36" t="str">
            <v>c</v>
          </cell>
          <cell r="K36">
            <v>3.5</v>
          </cell>
          <cell r="L36">
            <v>3</v>
          </cell>
          <cell r="M36">
            <v>2</v>
          </cell>
          <cell r="N36">
            <v>1</v>
          </cell>
          <cell r="O36">
            <v>2.6896602081738314</v>
          </cell>
          <cell r="P36" t="str">
            <v>c</v>
          </cell>
          <cell r="Q36" t="str">
            <v>c</v>
          </cell>
          <cell r="R36" t="str">
            <v>g</v>
          </cell>
          <cell r="S36" t="str">
            <v>c</v>
          </cell>
          <cell r="T36" t="str">
            <v>c</v>
          </cell>
          <cell r="U36">
            <v>3.5</v>
          </cell>
          <cell r="V36">
            <v>3</v>
          </cell>
          <cell r="W36">
            <v>2</v>
          </cell>
          <cell r="X36">
            <v>1</v>
          </cell>
          <cell r="Y36"/>
          <cell r="Z36">
            <v>39692</v>
          </cell>
          <cell r="AA36" t="str">
            <v>TOTAL</v>
          </cell>
          <cell r="AB36">
            <v>6936683.4699999914</v>
          </cell>
          <cell r="AC36">
            <v>5993590.4200000018</v>
          </cell>
          <cell r="AD36">
            <v>3764556.6840886623</v>
          </cell>
          <cell r="AE36">
            <v>-943093.04999998957</v>
          </cell>
          <cell r="AF36">
            <v>-0.13595734245028057</v>
          </cell>
          <cell r="AG36">
            <v>2229033.7359113395</v>
          </cell>
          <cell r="AH36">
            <v>0.59211055190976691</v>
          </cell>
          <cell r="AI36"/>
          <cell r="AJ36">
            <v>12283754.470000014</v>
          </cell>
          <cell r="AK36">
            <v>18535149.440000057</v>
          </cell>
          <cell r="AL36">
            <v>0</v>
          </cell>
          <cell r="AM36">
            <v>6251394.9700000435</v>
          </cell>
          <cell r="AN36">
            <v>-0.33727243420595932</v>
          </cell>
          <cell r="AO36">
            <v>18535149.440000057</v>
          </cell>
          <cell r="AP36">
            <v>-1</v>
          </cell>
          <cell r="AQ36"/>
          <cell r="AR36">
            <v>41990011.059999987</v>
          </cell>
          <cell r="AS36">
            <v>59825692.079000011</v>
          </cell>
          <cell r="AT36">
            <v>34467171.886122733</v>
          </cell>
          <cell r="AU36">
            <v>17835681.019000024</v>
          </cell>
          <cell r="AV36">
            <v>0.42476009338302911</v>
          </cell>
          <cell r="AW36">
            <v>25358520.192877278</v>
          </cell>
          <cell r="AX36">
            <v>0.73572964665218721</v>
          </cell>
          <cell r="AY36">
            <v>38231728.570211396</v>
          </cell>
          <cell r="AZ36">
            <v>1.5648178702967082</v>
          </cell>
        </row>
        <row r="37">
          <cell r="B37">
            <v>39722</v>
          </cell>
          <cell r="C37">
            <v>39722</v>
          </cell>
          <cell r="D37" t="str">
            <v>TOTAL</v>
          </cell>
          <cell r="E37">
            <v>3.7960252351005379</v>
          </cell>
          <cell r="F37" t="str">
            <v>g</v>
          </cell>
          <cell r="G37" t="str">
            <v>c</v>
          </cell>
          <cell r="H37" t="str">
            <v>c</v>
          </cell>
          <cell r="I37" t="str">
            <v>c</v>
          </cell>
          <cell r="J37" t="str">
            <v>c</v>
          </cell>
          <cell r="K37">
            <v>3.5</v>
          </cell>
          <cell r="L37">
            <v>3</v>
          </cell>
          <cell r="M37">
            <v>2</v>
          </cell>
          <cell r="N37">
            <v>1</v>
          </cell>
          <cell r="O37">
            <v>2.8298004443970193</v>
          </cell>
          <cell r="P37" t="str">
            <v>c</v>
          </cell>
          <cell r="Q37" t="str">
            <v>c</v>
          </cell>
          <cell r="R37" t="str">
            <v>g</v>
          </cell>
          <cell r="S37" t="str">
            <v>c</v>
          </cell>
          <cell r="T37" t="str">
            <v>c</v>
          </cell>
          <cell r="U37">
            <v>3.5</v>
          </cell>
          <cell r="V37">
            <v>3</v>
          </cell>
          <cell r="W37">
            <v>2</v>
          </cell>
          <cell r="X37">
            <v>1</v>
          </cell>
          <cell r="Y37"/>
          <cell r="Z37">
            <v>39722</v>
          </cell>
          <cell r="AA37" t="str">
            <v>TOTAL</v>
          </cell>
          <cell r="AB37">
            <v>6201205.5</v>
          </cell>
          <cell r="AC37">
            <v>7138086.0800000131</v>
          </cell>
          <cell r="AD37">
            <v>3764556.6840886623</v>
          </cell>
          <cell r="AE37">
            <v>936880.58000001311</v>
          </cell>
          <cell r="AF37">
            <v>0.15108039557792652</v>
          </cell>
          <cell r="AG37">
            <v>3373529.3959113508</v>
          </cell>
          <cell r="AH37">
            <v>0.89612926009853067</v>
          </cell>
          <cell r="AI37"/>
          <cell r="AJ37">
            <v>13299806.150000006</v>
          </cell>
          <cell r="AK37">
            <v>27096354.889999926</v>
          </cell>
          <cell r="AL37">
            <v>0</v>
          </cell>
          <cell r="AM37">
            <v>13796548.73999992</v>
          </cell>
          <cell r="AN37">
            <v>-0.50916622534684985</v>
          </cell>
          <cell r="AO37">
            <v>27096354.889999926</v>
          </cell>
          <cell r="AP37">
            <v>-1</v>
          </cell>
          <cell r="AQ37"/>
          <cell r="AR37">
            <v>48191216.559999987</v>
          </cell>
          <cell r="AS37">
            <v>66963778.159000024</v>
          </cell>
          <cell r="AT37">
            <v>38231728.570211396</v>
          </cell>
          <cell r="AU37">
            <v>18772561.599000037</v>
          </cell>
          <cell r="AV37">
            <v>0.38954321843333117</v>
          </cell>
          <cell r="AW37">
            <v>28732049.588788629</v>
          </cell>
          <cell r="AX37">
            <v>0.75152368630215349</v>
          </cell>
          <cell r="AY37">
            <v>38231728.570211396</v>
          </cell>
          <cell r="AZ37">
            <v>1.7515236863021535</v>
          </cell>
        </row>
        <row r="38">
          <cell r="B38">
            <v>39753</v>
          </cell>
          <cell r="C38">
            <v>39753</v>
          </cell>
          <cell r="D38" t="str">
            <v>TOTAL</v>
          </cell>
          <cell r="E38">
            <v>5.1400900212767038</v>
          </cell>
          <cell r="F38" t="str">
            <v>g</v>
          </cell>
          <cell r="G38" t="str">
            <v>c</v>
          </cell>
          <cell r="H38" t="str">
            <v>c</v>
          </cell>
          <cell r="I38" t="str">
            <v>c</v>
          </cell>
          <cell r="J38" t="str">
            <v>c</v>
          </cell>
          <cell r="K38">
            <v>3.5</v>
          </cell>
          <cell r="L38">
            <v>3</v>
          </cell>
          <cell r="M38">
            <v>2</v>
          </cell>
          <cell r="N38">
            <v>1</v>
          </cell>
          <cell r="O38">
            <v>3.0510122587828894</v>
          </cell>
          <cell r="P38" t="str">
            <v>c</v>
          </cell>
          <cell r="Q38" t="str">
            <v>g</v>
          </cell>
          <cell r="R38" t="str">
            <v>c</v>
          </cell>
          <cell r="S38" t="str">
            <v>c</v>
          </cell>
          <cell r="T38" t="str">
            <v>c</v>
          </cell>
          <cell r="U38">
            <v>3.5</v>
          </cell>
          <cell r="V38">
            <v>3</v>
          </cell>
          <cell r="W38">
            <v>2</v>
          </cell>
          <cell r="X38">
            <v>1</v>
          </cell>
          <cell r="Y38"/>
          <cell r="Z38">
            <v>39753</v>
          </cell>
          <cell r="AA38" t="str">
            <v>TOTAL</v>
          </cell>
          <cell r="AB38">
            <v>6672854.5099999905</v>
          </cell>
          <cell r="AC38">
            <v>5701541</v>
          </cell>
          <cell r="AD38">
            <v>0</v>
          </cell>
          <cell r="AE38">
            <v>-971313.50999999046</v>
          </cell>
          <cell r="AF38">
            <v>-0.14556191934716589</v>
          </cell>
          <cell r="AG38">
            <v>5701541</v>
          </cell>
          <cell r="AH38" t="e">
            <v>#DIV/0!</v>
          </cell>
          <cell r="AI38"/>
          <cell r="AJ38">
            <v>14469681.929999992</v>
          </cell>
          <cell r="AK38">
            <v>29306434</v>
          </cell>
          <cell r="AL38">
            <v>0</v>
          </cell>
          <cell r="AM38">
            <v>14836752.070000008</v>
          </cell>
          <cell r="AN38">
            <v>-0.50626262035155856</v>
          </cell>
          <cell r="AO38">
            <v>29306434</v>
          </cell>
          <cell r="AP38">
            <v>-1</v>
          </cell>
          <cell r="AQ38"/>
          <cell r="AR38">
            <v>54864071.069999978</v>
          </cell>
          <cell r="AS38">
            <v>72665319.159000024</v>
          </cell>
          <cell r="AT38">
            <v>38231728.570211396</v>
          </cell>
          <cell r="AU38">
            <v>17801248.089000046</v>
          </cell>
          <cell r="AV38">
            <v>0.32446094031716655</v>
          </cell>
          <cell r="AW38">
            <v>34433590.588788629</v>
          </cell>
          <cell r="AX38">
            <v>0.90065481934860459</v>
          </cell>
          <cell r="AY38">
            <v>38231728.570211396</v>
          </cell>
          <cell r="AZ38">
            <v>1.9006548193486046</v>
          </cell>
        </row>
        <row r="39">
          <cell r="B39">
            <v>39783</v>
          </cell>
          <cell r="C39">
            <v>39783</v>
          </cell>
          <cell r="D39" t="str">
            <v>TOTAL</v>
          </cell>
          <cell r="E39">
            <v>4.0454557976488408</v>
          </cell>
          <cell r="F39" t="str">
            <v>g</v>
          </cell>
          <cell r="G39" t="str">
            <v>c</v>
          </cell>
          <cell r="H39" t="str">
            <v>c</v>
          </cell>
          <cell r="I39" t="str">
            <v>c</v>
          </cell>
          <cell r="J39" t="str">
            <v>c</v>
          </cell>
          <cell r="K39">
            <v>3.5</v>
          </cell>
          <cell r="L39">
            <v>3</v>
          </cell>
          <cell r="M39">
            <v>2</v>
          </cell>
          <cell r="N39">
            <v>1</v>
          </cell>
          <cell r="O39">
            <v>3.2592985423211598</v>
          </cell>
          <cell r="P39" t="str">
            <v>c</v>
          </cell>
          <cell r="Q39" t="str">
            <v>g</v>
          </cell>
          <cell r="R39" t="str">
            <v>c</v>
          </cell>
          <cell r="S39" t="str">
            <v>c</v>
          </cell>
          <cell r="T39" t="str">
            <v>c</v>
          </cell>
          <cell r="U39">
            <v>3.5</v>
          </cell>
          <cell r="V39">
            <v>3</v>
          </cell>
          <cell r="W39">
            <v>2</v>
          </cell>
          <cell r="X39">
            <v>1</v>
          </cell>
          <cell r="Y39"/>
          <cell r="Z39">
            <v>39783</v>
          </cell>
          <cell r="AA39" t="str">
            <v>TOTAL</v>
          </cell>
          <cell r="AB39">
            <v>6830324.0600000024</v>
          </cell>
          <cell r="AC39">
            <v>8116660.780000031</v>
          </cell>
          <cell r="AD39">
            <v>0</v>
          </cell>
          <cell r="AE39">
            <v>1286336.7200000286</v>
          </cell>
          <cell r="AF39">
            <v>0.18832733391569545</v>
          </cell>
          <cell r="AG39">
            <v>8116660.780000031</v>
          </cell>
          <cell r="AH39" t="e">
            <v>#DIV/0!</v>
          </cell>
          <cell r="AI39"/>
          <cell r="AJ39">
            <v>12085184.929999992</v>
          </cell>
          <cell r="AK39">
            <v>32835592.410000086</v>
          </cell>
          <cell r="AL39">
            <v>0</v>
          </cell>
          <cell r="AM39">
            <v>20750407.480000094</v>
          </cell>
          <cell r="AN39">
            <v>-0.63194862516567696</v>
          </cell>
          <cell r="AO39">
            <v>32835592.410000086</v>
          </cell>
          <cell r="AP39">
            <v>-1</v>
          </cell>
          <cell r="AQ39"/>
          <cell r="AR39">
            <v>61694395.12999998</v>
          </cell>
          <cell r="AS39">
            <v>80781979.939000055</v>
          </cell>
          <cell r="AT39">
            <v>38231728.570211396</v>
          </cell>
          <cell r="AU39">
            <v>19087584.809000075</v>
          </cell>
          <cell r="AV39">
            <v>0.3093892851818949</v>
          </cell>
          <cell r="AW39">
            <v>42550251.36878866</v>
          </cell>
          <cell r="AX39">
            <v>1.11295651439475</v>
          </cell>
          <cell r="AY39">
            <v>38231728.570211396</v>
          </cell>
          <cell r="AZ39">
            <v>2.11295651439475</v>
          </cell>
        </row>
        <row r="40">
          <cell r="B40">
            <v>39814</v>
          </cell>
          <cell r="C40"/>
          <cell r="D40" t="str">
            <v>TOTAL</v>
          </cell>
          <cell r="E40" t="str">
            <v/>
          </cell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  <cell r="L40" t="str">
            <v/>
          </cell>
          <cell r="M40" t="str">
            <v/>
          </cell>
          <cell r="N40" t="str">
            <v/>
          </cell>
          <cell r="O40" t="str">
            <v/>
          </cell>
          <cell r="P40" t="str">
            <v/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/>
          </cell>
          <cell r="V40"/>
          <cell r="W40"/>
          <cell r="X40" t="str">
            <v/>
          </cell>
          <cell r="Y40"/>
          <cell r="Z40">
            <v>39814</v>
          </cell>
          <cell r="AA40" t="str">
            <v>TOTAL</v>
          </cell>
          <cell r="AB40">
            <v>6875138.5300000161</v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/>
          <cell r="AJ40">
            <v>15692422.120000005</v>
          </cell>
          <cell r="AK40" t="str">
            <v/>
          </cell>
          <cell r="AL40" t="str">
            <v/>
          </cell>
          <cell r="AM40" t="str">
            <v/>
          </cell>
          <cell r="AN40" t="str">
            <v/>
          </cell>
          <cell r="AO40" t="str">
            <v/>
          </cell>
          <cell r="AP40" t="str">
            <v/>
          </cell>
          <cell r="AQ40"/>
          <cell r="AR40">
            <v>6875138.5300000161</v>
          </cell>
          <cell r="AS40" t="str">
            <v/>
          </cell>
          <cell r="AT40" t="str">
            <v/>
          </cell>
          <cell r="AU40" t="str">
            <v/>
          </cell>
          <cell r="AV40" t="str">
            <v/>
          </cell>
          <cell r="AW40" t="str">
            <v/>
          </cell>
          <cell r="AX40" t="str">
            <v/>
          </cell>
          <cell r="AY40">
            <v>0</v>
          </cell>
          <cell r="AZ40" t="str">
            <v/>
          </cell>
        </row>
        <row r="41">
          <cell r="B41">
            <v>39845</v>
          </cell>
          <cell r="C41"/>
          <cell r="D41" t="str">
            <v>TOTAL</v>
          </cell>
          <cell r="E41" t="str">
            <v/>
          </cell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  <cell r="J41" t="str">
            <v/>
          </cell>
          <cell r="K41" t="str">
            <v/>
          </cell>
          <cell r="L41" t="str">
            <v/>
          </cell>
          <cell r="M41" t="str">
            <v/>
          </cell>
          <cell r="N41" t="str">
            <v/>
          </cell>
          <cell r="O41" t="str">
            <v/>
          </cell>
          <cell r="P41" t="str">
            <v/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/>
          <cell r="V41"/>
          <cell r="W41"/>
          <cell r="X41"/>
          <cell r="Y41"/>
          <cell r="Z41">
            <v>39845</v>
          </cell>
          <cell r="AA41" t="str">
            <v>TOTAL</v>
          </cell>
          <cell r="AB41">
            <v>6865302.8099999875</v>
          </cell>
          <cell r="AC41" t="str">
            <v/>
          </cell>
          <cell r="AD41" t="str">
            <v/>
          </cell>
          <cell r="AE41" t="str">
            <v/>
          </cell>
          <cell r="AF41" t="str">
            <v/>
          </cell>
          <cell r="AG41" t="str">
            <v/>
          </cell>
          <cell r="AH41" t="str">
            <v/>
          </cell>
          <cell r="AI41"/>
          <cell r="AJ41">
            <v>20615506.790000021</v>
          </cell>
          <cell r="AK41" t="str">
            <v/>
          </cell>
          <cell r="AL41" t="str">
            <v/>
          </cell>
          <cell r="AM41" t="str">
            <v/>
          </cell>
          <cell r="AN41" t="str">
            <v/>
          </cell>
          <cell r="AO41" t="str">
            <v/>
          </cell>
          <cell r="AP41" t="str">
            <v/>
          </cell>
          <cell r="AQ41"/>
          <cell r="AR41">
            <v>13740441.340000004</v>
          </cell>
          <cell r="AS41" t="str">
            <v/>
          </cell>
          <cell r="AT41" t="str">
            <v/>
          </cell>
          <cell r="AU41" t="str">
            <v/>
          </cell>
          <cell r="AV41" t="str">
            <v/>
          </cell>
          <cell r="AW41" t="str">
            <v/>
          </cell>
          <cell r="AX41" t="str">
            <v/>
          </cell>
          <cell r="AY41">
            <v>0</v>
          </cell>
          <cell r="AZ41"/>
        </row>
        <row r="42">
          <cell r="B42">
            <v>39873</v>
          </cell>
          <cell r="C42"/>
          <cell r="D42" t="str">
            <v>TOTAL</v>
          </cell>
          <cell r="E42" t="str">
            <v/>
          </cell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  <cell r="J42" t="str">
            <v/>
          </cell>
          <cell r="K42" t="str">
            <v/>
          </cell>
          <cell r="L42" t="str">
            <v/>
          </cell>
          <cell r="M42" t="str">
            <v/>
          </cell>
          <cell r="N42" t="str">
            <v/>
          </cell>
          <cell r="O42" t="str">
            <v/>
          </cell>
          <cell r="P42" t="str">
            <v/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/>
          <cell r="V42"/>
          <cell r="W42"/>
          <cell r="X42"/>
          <cell r="Y42"/>
          <cell r="Z42">
            <v>39873</v>
          </cell>
          <cell r="AA42" t="str">
            <v>TOTAL</v>
          </cell>
          <cell r="AB42">
            <v>9463876.6699999869</v>
          </cell>
          <cell r="AC42" t="str">
            <v/>
          </cell>
          <cell r="AD42" t="str">
            <v/>
          </cell>
          <cell r="AE42" t="str">
            <v/>
          </cell>
          <cell r="AF42" t="str">
            <v/>
          </cell>
          <cell r="AG42" t="str">
            <v/>
          </cell>
          <cell r="AH42" t="str">
            <v/>
          </cell>
          <cell r="AI42"/>
          <cell r="AJ42">
            <v>19738744.409999967</v>
          </cell>
          <cell r="AK42" t="str">
            <v/>
          </cell>
          <cell r="AL42" t="str">
            <v/>
          </cell>
          <cell r="AM42" t="str">
            <v/>
          </cell>
          <cell r="AN42" t="str">
            <v/>
          </cell>
          <cell r="AO42" t="str">
            <v/>
          </cell>
          <cell r="AP42" t="str">
            <v/>
          </cell>
          <cell r="AQ42"/>
          <cell r="AR42">
            <v>23204318.00999999</v>
          </cell>
          <cell r="AS42" t="str">
            <v/>
          </cell>
          <cell r="AT42" t="str">
            <v/>
          </cell>
          <cell r="AU42" t="str">
            <v/>
          </cell>
          <cell r="AV42" t="str">
            <v/>
          </cell>
          <cell r="AW42" t="str">
            <v/>
          </cell>
          <cell r="AX42" t="str">
            <v/>
          </cell>
          <cell r="AY42">
            <v>0</v>
          </cell>
          <cell r="AZ42"/>
        </row>
        <row r="43">
          <cell r="B43">
            <v>39904</v>
          </cell>
          <cell r="C43"/>
          <cell r="D43" t="str">
            <v>TOTAL</v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 t="str">
            <v/>
          </cell>
          <cell r="L43" t="str">
            <v/>
          </cell>
          <cell r="M43" t="str">
            <v/>
          </cell>
          <cell r="N43" t="str">
            <v/>
          </cell>
          <cell r="O43" t="str">
            <v/>
          </cell>
          <cell r="P43" t="str">
            <v/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/>
          <cell r="V43"/>
          <cell r="W43"/>
          <cell r="X43"/>
          <cell r="Y43"/>
          <cell r="Z43">
            <v>39904</v>
          </cell>
          <cell r="AA43" t="str">
            <v>TOTAL</v>
          </cell>
          <cell r="AB43">
            <v>5510834.4700000286</v>
          </cell>
          <cell r="AC43" t="str">
            <v/>
          </cell>
          <cell r="AD43" t="str">
            <v/>
          </cell>
          <cell r="AE43" t="str">
            <v/>
          </cell>
          <cell r="AF43" t="str">
            <v/>
          </cell>
          <cell r="AG43" t="str">
            <v/>
          </cell>
          <cell r="AH43" t="str">
            <v/>
          </cell>
          <cell r="AI43"/>
          <cell r="AJ43">
            <v>19942220.480000019</v>
          </cell>
          <cell r="AK43" t="str">
            <v/>
          </cell>
          <cell r="AL43" t="str">
            <v/>
          </cell>
          <cell r="AM43" t="str">
            <v/>
          </cell>
          <cell r="AN43" t="str">
            <v/>
          </cell>
          <cell r="AO43" t="str">
            <v/>
          </cell>
          <cell r="AP43" t="str">
            <v/>
          </cell>
          <cell r="AQ43"/>
          <cell r="AR43">
            <v>28715152.480000019</v>
          </cell>
          <cell r="AS43" t="str">
            <v/>
          </cell>
          <cell r="AT43" t="str">
            <v/>
          </cell>
          <cell r="AU43" t="str">
            <v/>
          </cell>
          <cell r="AV43" t="str">
            <v/>
          </cell>
          <cell r="AW43" t="str">
            <v/>
          </cell>
          <cell r="AX43" t="str">
            <v/>
          </cell>
          <cell r="AY43">
            <v>0</v>
          </cell>
          <cell r="AZ43"/>
        </row>
        <row r="44">
          <cell r="B44">
            <v>39934</v>
          </cell>
          <cell r="C44"/>
          <cell r="D44" t="str">
            <v>TOTAL</v>
          </cell>
          <cell r="E44" t="str">
            <v/>
          </cell>
          <cell r="F44" t="str">
            <v/>
          </cell>
          <cell r="G44" t="str">
            <v/>
          </cell>
          <cell r="H44" t="str">
            <v/>
          </cell>
          <cell r="I44" t="str">
            <v/>
          </cell>
          <cell r="J44" t="str">
            <v/>
          </cell>
          <cell r="K44" t="str">
            <v/>
          </cell>
          <cell r="L44" t="str">
            <v/>
          </cell>
          <cell r="M44" t="str">
            <v/>
          </cell>
          <cell r="N44" t="str">
            <v/>
          </cell>
          <cell r="O44" t="str">
            <v/>
          </cell>
          <cell r="P44" t="str">
            <v/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/>
          <cell r="V44"/>
          <cell r="W44"/>
          <cell r="X44"/>
          <cell r="Y44"/>
          <cell r="Z44">
            <v>39934</v>
          </cell>
          <cell r="AA44" t="str">
            <v>TOTAL</v>
          </cell>
          <cell r="AB44">
            <v>5815360.5100000054</v>
          </cell>
          <cell r="AC44" t="str">
            <v/>
          </cell>
          <cell r="AD44" t="str">
            <v/>
          </cell>
          <cell r="AE44" t="str">
            <v/>
          </cell>
          <cell r="AF44" t="str">
            <v/>
          </cell>
          <cell r="AG44" t="str">
            <v/>
          </cell>
          <cell r="AH44" t="str">
            <v/>
          </cell>
          <cell r="AI44"/>
          <cell r="AJ44">
            <v>20422900.779999971</v>
          </cell>
          <cell r="AK44" t="str">
            <v/>
          </cell>
          <cell r="AL44" t="str">
            <v/>
          </cell>
          <cell r="AM44" t="str">
            <v/>
          </cell>
          <cell r="AN44" t="str">
            <v/>
          </cell>
          <cell r="AO44" t="str">
            <v/>
          </cell>
          <cell r="AP44" t="str">
            <v/>
          </cell>
          <cell r="AQ44"/>
          <cell r="AR44">
            <v>34530512.990000024</v>
          </cell>
          <cell r="AS44" t="str">
            <v/>
          </cell>
          <cell r="AT44" t="str">
            <v/>
          </cell>
          <cell r="AU44" t="str">
            <v/>
          </cell>
          <cell r="AV44" t="str">
            <v/>
          </cell>
          <cell r="AW44" t="str">
            <v/>
          </cell>
          <cell r="AX44" t="str">
            <v/>
          </cell>
          <cell r="AY44">
            <v>0</v>
          </cell>
          <cell r="AZ44"/>
        </row>
        <row r="45">
          <cell r="B45">
            <v>39965</v>
          </cell>
          <cell r="C45"/>
          <cell r="D45" t="str">
            <v>TOTAL</v>
          </cell>
          <cell r="E45" t="str">
            <v/>
          </cell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  <cell r="M45" t="str">
            <v/>
          </cell>
          <cell r="N45" t="str">
            <v/>
          </cell>
          <cell r="O45" t="str">
            <v/>
          </cell>
          <cell r="P45" t="str">
            <v/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/>
          <cell r="V45"/>
          <cell r="W45"/>
          <cell r="X45"/>
          <cell r="Y45"/>
          <cell r="Z45">
            <v>39965</v>
          </cell>
          <cell r="AA45" t="str">
            <v>TOTAL</v>
          </cell>
          <cell r="AB45">
            <v>6446216.25</v>
          </cell>
          <cell r="AC45" t="str">
            <v/>
          </cell>
          <cell r="AD45" t="str">
            <v/>
          </cell>
          <cell r="AE45" t="str">
            <v/>
          </cell>
          <cell r="AF45" t="str">
            <v/>
          </cell>
          <cell r="AG45" t="str">
            <v/>
          </cell>
          <cell r="AH45" t="str">
            <v/>
          </cell>
          <cell r="AI45"/>
          <cell r="AJ45">
            <v>20851672.869999945</v>
          </cell>
          <cell r="AK45" t="str">
            <v/>
          </cell>
          <cell r="AL45" t="str">
            <v/>
          </cell>
          <cell r="AM45" t="str">
            <v/>
          </cell>
          <cell r="AN45" t="str">
            <v/>
          </cell>
          <cell r="AO45" t="str">
            <v/>
          </cell>
          <cell r="AP45" t="str">
            <v/>
          </cell>
          <cell r="AQ45"/>
          <cell r="AR45">
            <v>40976729.240000024</v>
          </cell>
          <cell r="AS45" t="str">
            <v/>
          </cell>
          <cell r="AT45" t="str">
            <v/>
          </cell>
          <cell r="AU45" t="str">
            <v/>
          </cell>
          <cell r="AV45" t="str">
            <v/>
          </cell>
          <cell r="AW45" t="str">
            <v/>
          </cell>
          <cell r="AX45" t="str">
            <v/>
          </cell>
          <cell r="AY45">
            <v>0</v>
          </cell>
          <cell r="AZ45"/>
        </row>
        <row r="46">
          <cell r="B46">
            <v>39995</v>
          </cell>
          <cell r="C46"/>
          <cell r="D46" t="str">
            <v>TOTAL</v>
          </cell>
          <cell r="E46" t="str">
            <v/>
          </cell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  <cell r="M46" t="str">
            <v/>
          </cell>
          <cell r="N46" t="str">
            <v/>
          </cell>
          <cell r="O46" t="str">
            <v/>
          </cell>
          <cell r="P46" t="str">
            <v/>
          </cell>
          <cell r="Q46" t="str">
            <v/>
          </cell>
          <cell r="R46"/>
          <cell r="S46"/>
          <cell r="T46" t="str">
            <v/>
          </cell>
          <cell r="U46"/>
          <cell r="V46"/>
          <cell r="W46"/>
          <cell r="X46"/>
          <cell r="Y46"/>
          <cell r="Z46">
            <v>39995</v>
          </cell>
          <cell r="AA46" t="str">
            <v>TOTAL</v>
          </cell>
          <cell r="AB46">
            <v>5075859.0889999866</v>
          </cell>
          <cell r="AC46" t="str">
            <v/>
          </cell>
          <cell r="AD46" t="str">
            <v/>
          </cell>
          <cell r="AE46" t="str">
            <v/>
          </cell>
          <cell r="AF46" t="str">
            <v/>
          </cell>
          <cell r="AG46" t="str">
            <v/>
          </cell>
          <cell r="AH46" t="str">
            <v/>
          </cell>
          <cell r="AI46"/>
          <cell r="AJ46">
            <v>21950871.650999993</v>
          </cell>
          <cell r="AK46" t="str">
            <v/>
          </cell>
          <cell r="AL46" t="str">
            <v/>
          </cell>
          <cell r="AM46" t="str">
            <v/>
          </cell>
          <cell r="AN46" t="str">
            <v/>
          </cell>
          <cell r="AO46" t="str">
            <v/>
          </cell>
          <cell r="AP46" t="str">
            <v/>
          </cell>
          <cell r="AQ46"/>
          <cell r="AR46">
            <v>46052588.329000011</v>
          </cell>
          <cell r="AS46" t="str">
            <v/>
          </cell>
          <cell r="AT46" t="str">
            <v/>
          </cell>
          <cell r="AU46" t="str">
            <v/>
          </cell>
          <cell r="AV46" t="str">
            <v/>
          </cell>
          <cell r="AW46" t="str">
            <v/>
          </cell>
          <cell r="AX46" t="str">
            <v/>
          </cell>
          <cell r="AY46">
            <v>0</v>
          </cell>
          <cell r="AZ46"/>
        </row>
        <row r="47">
          <cell r="Z47">
            <v>40026</v>
          </cell>
          <cell r="AA47" t="str">
            <v>TOTAL</v>
          </cell>
          <cell r="AB47">
            <v>7779513.3299999982</v>
          </cell>
          <cell r="AC47" t="str">
            <v/>
          </cell>
          <cell r="AD47" t="str">
            <v/>
          </cell>
          <cell r="AE47" t="str">
            <v/>
          </cell>
          <cell r="AF47" t="str">
            <v/>
          </cell>
          <cell r="AG47" t="str">
            <v/>
          </cell>
          <cell r="AH47" t="str">
            <v/>
          </cell>
          <cell r="AI47"/>
          <cell r="AJ47">
            <v>16304719.620000064</v>
          </cell>
          <cell r="AK47" t="str">
            <v/>
          </cell>
          <cell r="AL47" t="str">
            <v/>
          </cell>
          <cell r="AM47" t="str">
            <v/>
          </cell>
          <cell r="AN47" t="str">
            <v/>
          </cell>
          <cell r="AO47" t="str">
            <v/>
          </cell>
          <cell r="AP47" t="str">
            <v/>
          </cell>
          <cell r="AQ47"/>
          <cell r="AR47">
            <v>53832101.659000009</v>
          </cell>
          <cell r="AS47" t="str">
            <v/>
          </cell>
          <cell r="AT47" t="str">
            <v/>
          </cell>
          <cell r="AU47" t="str">
            <v/>
          </cell>
          <cell r="AV47" t="str">
            <v/>
          </cell>
          <cell r="AW47" t="str">
            <v/>
          </cell>
          <cell r="AX47" t="str">
            <v/>
          </cell>
          <cell r="AY47">
            <v>0</v>
          </cell>
          <cell r="AZ47"/>
        </row>
        <row r="48">
          <cell r="Z48">
            <v>40057</v>
          </cell>
          <cell r="AA48" t="str">
            <v>TOTAL</v>
          </cell>
          <cell r="AB48">
            <v>5993590.4200000018</v>
          </cell>
          <cell r="AC48" t="str">
            <v/>
          </cell>
          <cell r="AD48" t="str">
            <v/>
          </cell>
          <cell r="AE48" t="str">
            <v/>
          </cell>
          <cell r="AF48" t="str">
            <v/>
          </cell>
          <cell r="AG48" t="str">
            <v/>
          </cell>
          <cell r="AH48" t="str">
            <v/>
          </cell>
          <cell r="AI48"/>
          <cell r="AJ48">
            <v>18535149.440000057</v>
          </cell>
          <cell r="AK48" t="str">
            <v/>
          </cell>
          <cell r="AL48" t="str">
            <v/>
          </cell>
          <cell r="AM48" t="str">
            <v/>
          </cell>
          <cell r="AN48" t="str">
            <v/>
          </cell>
          <cell r="AO48" t="str">
            <v/>
          </cell>
          <cell r="AP48" t="str">
            <v/>
          </cell>
          <cell r="AQ48"/>
          <cell r="AR48">
            <v>59825692.079000011</v>
          </cell>
          <cell r="AS48" t="str">
            <v/>
          </cell>
          <cell r="AT48" t="str">
            <v/>
          </cell>
          <cell r="AU48" t="str">
            <v/>
          </cell>
          <cell r="AV48" t="str">
            <v/>
          </cell>
          <cell r="AW48" t="str">
            <v/>
          </cell>
          <cell r="AX48" t="str">
            <v/>
          </cell>
          <cell r="AY48">
            <v>0</v>
          </cell>
          <cell r="AZ48"/>
        </row>
        <row r="49">
          <cell r="Z49">
            <v>40087</v>
          </cell>
          <cell r="AA49" t="str">
            <v>TOTAL</v>
          </cell>
          <cell r="AB49">
            <v>7138086.0800000131</v>
          </cell>
          <cell r="AC49" t="str">
            <v/>
          </cell>
          <cell r="AD49" t="str">
            <v/>
          </cell>
          <cell r="AE49" t="str">
            <v/>
          </cell>
          <cell r="AF49" t="str">
            <v/>
          </cell>
          <cell r="AG49" t="str">
            <v/>
          </cell>
          <cell r="AH49" t="str">
            <v/>
          </cell>
          <cell r="AI49"/>
          <cell r="AJ49">
            <v>27096354.889999926</v>
          </cell>
          <cell r="AK49" t="str">
            <v/>
          </cell>
          <cell r="AL49" t="str">
            <v/>
          </cell>
          <cell r="AM49" t="str">
            <v/>
          </cell>
          <cell r="AN49" t="str">
            <v/>
          </cell>
          <cell r="AO49" t="str">
            <v/>
          </cell>
          <cell r="AP49" t="str">
            <v/>
          </cell>
          <cell r="AQ49"/>
          <cell r="AR49">
            <v>66963778.159000024</v>
          </cell>
          <cell r="AS49" t="str">
            <v/>
          </cell>
          <cell r="AT49" t="str">
            <v/>
          </cell>
          <cell r="AU49" t="str">
            <v/>
          </cell>
          <cell r="AV49" t="str">
            <v/>
          </cell>
          <cell r="AW49" t="str">
            <v/>
          </cell>
          <cell r="AX49" t="str">
            <v/>
          </cell>
          <cell r="AY49">
            <v>0</v>
          </cell>
          <cell r="AZ49"/>
        </row>
        <row r="50"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  <cell r="AL50"/>
          <cell r="AM50"/>
          <cell r="AN50"/>
          <cell r="AO50"/>
          <cell r="AP50"/>
          <cell r="AQ50"/>
          <cell r="AR50"/>
          <cell r="AS50" t="str">
            <v/>
          </cell>
          <cell r="AT50" t="str">
            <v/>
          </cell>
          <cell r="AU50"/>
          <cell r="AV50"/>
          <cell r="AW50"/>
          <cell r="AX50"/>
          <cell r="AY50">
            <v>0</v>
          </cell>
          <cell r="AZ50"/>
        </row>
        <row r="51"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/>
          <cell r="AQ51"/>
          <cell r="AR51"/>
          <cell r="AS51" t="str">
            <v/>
          </cell>
          <cell r="AT51" t="str">
            <v/>
          </cell>
          <cell r="AU51"/>
          <cell r="AV51"/>
          <cell r="AW51"/>
          <cell r="AX51"/>
          <cell r="AY51">
            <v>0</v>
          </cell>
          <cell r="AZ51"/>
        </row>
        <row r="52"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/>
          <cell r="AM52"/>
          <cell r="AN52"/>
          <cell r="AO52"/>
          <cell r="AP52"/>
          <cell r="AQ52"/>
          <cell r="AR52"/>
          <cell r="AS52" t="str">
            <v/>
          </cell>
          <cell r="AT52" t="str">
            <v/>
          </cell>
          <cell r="AU52"/>
          <cell r="AV52"/>
          <cell r="AW52"/>
          <cell r="AX52"/>
          <cell r="AY52"/>
          <cell r="AZ52"/>
        </row>
      </sheetData>
      <sheetData sheetId="46"/>
      <sheetData sheetId="47"/>
      <sheetData sheetId="48">
        <row r="13">
          <cell r="B13"/>
          <cell r="C13"/>
          <cell r="D13"/>
          <cell r="E13" t="str">
            <v>Mensual</v>
          </cell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Acumulado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  <cell r="Z13" t="str">
            <v>Mes</v>
          </cell>
          <cell r="AA13"/>
          <cell r="AB13"/>
          <cell r="AC13"/>
          <cell r="AD13"/>
        </row>
        <row r="14">
          <cell r="B14"/>
          <cell r="C14"/>
          <cell r="D14"/>
          <cell r="E14" t="str">
            <v>Meses</v>
          </cell>
          <cell r="F14" t="str">
            <v>Cobertura de inventarios MP</v>
          </cell>
          <cell r="G14"/>
          <cell r="H14"/>
          <cell r="I14"/>
          <cell r="J14"/>
          <cell r="K14"/>
          <cell r="L14"/>
          <cell r="M14"/>
          <cell r="N14"/>
          <cell r="O14" t="str">
            <v>Meses</v>
          </cell>
          <cell r="P14" t="str">
            <v>Cobertura de inventarios MP</v>
          </cell>
          <cell r="Q14"/>
          <cell r="R14"/>
          <cell r="S14"/>
          <cell r="T14"/>
          <cell r="U14"/>
          <cell r="V14"/>
          <cell r="W14"/>
          <cell r="X14"/>
          <cell r="Y14"/>
          <cell r="Z14"/>
          <cell r="AA14"/>
          <cell r="AB14" t="str">
            <v>Cobertura de inventarios MP</v>
          </cell>
          <cell r="AC14"/>
          <cell r="AD14"/>
        </row>
        <row r="15">
          <cell r="B15" t="str">
            <v>Meses</v>
          </cell>
          <cell r="C15" t="str">
            <v>Fecha</v>
          </cell>
          <cell r="D15" t="str">
            <v>TIPO2</v>
          </cell>
          <cell r="E15"/>
          <cell r="F15" t="str">
            <v>Performance</v>
          </cell>
          <cell r="G15"/>
          <cell r="H15"/>
          <cell r="I15"/>
          <cell r="J15"/>
          <cell r="K15" t="str">
            <v>Lim. 
Sup 2</v>
          </cell>
          <cell r="L15" t="str">
            <v>Lim. 
Sup 1</v>
          </cell>
          <cell r="M15" t="str">
            <v>Lim. 
Inf. 2</v>
          </cell>
          <cell r="N15" t="str">
            <v>Lim. 
Inf. 1</v>
          </cell>
          <cell r="O15"/>
          <cell r="P15" t="str">
            <v>Performance</v>
          </cell>
          <cell r="Q15"/>
          <cell r="R15"/>
          <cell r="S15"/>
          <cell r="T15"/>
          <cell r="U15" t="str">
            <v>Lim. 
Sup 2</v>
          </cell>
          <cell r="V15" t="str">
            <v>Lim. 
Sup 1</v>
          </cell>
          <cell r="W15" t="str">
            <v>Lim. 
Inf. 2</v>
          </cell>
          <cell r="X15" t="str">
            <v>Lim. 
Inf. 1</v>
          </cell>
          <cell r="Y15"/>
          <cell r="Z15" t="str">
            <v>Fecha</v>
          </cell>
          <cell r="AA15" t="str">
            <v>TIPO2</v>
          </cell>
          <cell r="AB15" t="str">
            <v>Anteriores</v>
          </cell>
          <cell r="AC15" t="str">
            <v>Real</v>
          </cell>
          <cell r="AD15" t="str">
            <v>Programado</v>
          </cell>
        </row>
        <row r="16">
          <cell r="B16">
            <v>39083</v>
          </cell>
          <cell r="C16">
            <v>39083</v>
          </cell>
          <cell r="D16" t="str">
            <v>TOTAL</v>
          </cell>
          <cell r="E16">
            <v>3.0658029094169787</v>
          </cell>
          <cell r="F16" t="str">
            <v>c</v>
          </cell>
          <cell r="G16" t="str">
            <v>g</v>
          </cell>
          <cell r="H16" t="str">
            <v>c</v>
          </cell>
          <cell r="I16" t="str">
            <v>c</v>
          </cell>
          <cell r="J16" t="str">
            <v>c</v>
          </cell>
          <cell r="K16">
            <v>3.5</v>
          </cell>
          <cell r="L16">
            <v>3</v>
          </cell>
          <cell r="M16">
            <v>2</v>
          </cell>
          <cell r="N16">
            <v>1</v>
          </cell>
          <cell r="O16">
            <v>3.0658029094169787</v>
          </cell>
          <cell r="P16" t="str">
            <v>c</v>
          </cell>
          <cell r="Q16" t="str">
            <v>g</v>
          </cell>
          <cell r="R16" t="str">
            <v>c</v>
          </cell>
          <cell r="S16" t="str">
            <v>c</v>
          </cell>
          <cell r="T16" t="str">
            <v>c</v>
          </cell>
          <cell r="U16">
            <v>3.5</v>
          </cell>
          <cell r="V16">
            <v>3</v>
          </cell>
          <cell r="W16">
            <v>2</v>
          </cell>
          <cell r="X16">
            <v>1</v>
          </cell>
          <cell r="Y16"/>
          <cell r="Z16">
            <v>39083</v>
          </cell>
          <cell r="AA16" t="str">
            <v>TOTAL</v>
          </cell>
          <cell r="AB16"/>
          <cell r="AC16">
            <v>8466856.4800000004</v>
          </cell>
          <cell r="AD16">
            <v>150846344.59440398</v>
          </cell>
          <cell r="AE16">
            <v>8466856.4800000004</v>
          </cell>
          <cell r="AF16"/>
          <cell r="AG16">
            <v>-142379488.11440399</v>
          </cell>
          <cell r="AH16">
            <v>-0.94387098671322989</v>
          </cell>
          <cell r="AI16"/>
          <cell r="AJ16"/>
          <cell r="AK16">
            <v>25957713.23</v>
          </cell>
          <cell r="AL16">
            <v>1617428.5034998073</v>
          </cell>
          <cell r="AM16">
            <v>25957713.23</v>
          </cell>
          <cell r="AN16">
            <v>-1</v>
          </cell>
          <cell r="AO16">
            <v>24340284.726500195</v>
          </cell>
          <cell r="AP16">
            <v>-0.9376898693205955</v>
          </cell>
          <cell r="AQ16"/>
          <cell r="AR16"/>
          <cell r="AS16">
            <v>8466856.4800000004</v>
          </cell>
          <cell r="AT16">
            <v>150846344.59440398</v>
          </cell>
          <cell r="AU16">
            <v>8466856.4800000004</v>
          </cell>
          <cell r="AV16"/>
          <cell r="AW16">
            <v>-142379488.11440399</v>
          </cell>
          <cell r="AX16">
            <v>-0.94387098671322989</v>
          </cell>
          <cell r="AY16">
            <v>455639699.20582306</v>
          </cell>
          <cell r="AZ16">
            <v>1.8582350253407844E-2</v>
          </cell>
        </row>
        <row r="17">
          <cell r="B17">
            <v>39114</v>
          </cell>
          <cell r="C17">
            <v>39114</v>
          </cell>
          <cell r="D17" t="str">
            <v>TOTAL</v>
          </cell>
          <cell r="E17">
            <v>2.9382221097574872</v>
          </cell>
          <cell r="F17" t="str">
            <v>c</v>
          </cell>
          <cell r="G17" t="str">
            <v>c</v>
          </cell>
          <cell r="H17" t="str">
            <v>g</v>
          </cell>
          <cell r="I17" t="str">
            <v>c</v>
          </cell>
          <cell r="J17" t="str">
            <v>c</v>
          </cell>
          <cell r="K17">
            <v>3.5</v>
          </cell>
          <cell r="L17">
            <v>3</v>
          </cell>
          <cell r="M17">
            <v>2</v>
          </cell>
          <cell r="N17">
            <v>1</v>
          </cell>
          <cell r="O17">
            <v>3.0046494685103839</v>
          </cell>
          <cell r="P17" t="str">
            <v>c</v>
          </cell>
          <cell r="Q17" t="str">
            <v>g</v>
          </cell>
          <cell r="R17" t="str">
            <v>c</v>
          </cell>
          <cell r="S17" t="str">
            <v>c</v>
          </cell>
          <cell r="T17" t="str">
            <v>c</v>
          </cell>
          <cell r="U17">
            <v>3.5</v>
          </cell>
          <cell r="V17">
            <v>3</v>
          </cell>
          <cell r="W17">
            <v>2</v>
          </cell>
          <cell r="X17">
            <v>1</v>
          </cell>
          <cell r="Y17"/>
          <cell r="Z17">
            <v>39114</v>
          </cell>
          <cell r="AA17" t="str">
            <v>TOTAL</v>
          </cell>
          <cell r="AB17"/>
          <cell r="AC17">
            <v>7794640.9000000004</v>
          </cell>
          <cell r="AD17">
            <v>13480586.416716129</v>
          </cell>
          <cell r="AE17">
            <v>7794640.9000000004</v>
          </cell>
          <cell r="AF17"/>
          <cell r="AG17">
            <v>-5685945.5167161282</v>
          </cell>
          <cell r="AH17">
            <v>-0.42178769832041363</v>
          </cell>
          <cell r="AI17"/>
          <cell r="AJ17"/>
          <cell r="AK17">
            <v>22902386.23</v>
          </cell>
          <cell r="AL17">
            <v>1644295.7173495255</v>
          </cell>
          <cell r="AM17">
            <v>22902386.23</v>
          </cell>
          <cell r="AN17">
            <v>-1</v>
          </cell>
          <cell r="AO17">
            <v>21258090.512650475</v>
          </cell>
          <cell r="AP17">
            <v>-0.92820417484726325</v>
          </cell>
          <cell r="AQ17"/>
          <cell r="AR17"/>
          <cell r="AS17">
            <v>16261497.380000001</v>
          </cell>
          <cell r="AT17">
            <v>164326931.01112011</v>
          </cell>
          <cell r="AU17">
            <v>16261497.380000001</v>
          </cell>
          <cell r="AV17"/>
          <cell r="AW17">
            <v>-148065433.63112012</v>
          </cell>
          <cell r="AX17">
            <v>-0.90104179953984798</v>
          </cell>
          <cell r="AY17">
            <v>455639699.20582306</v>
          </cell>
          <cell r="AZ17">
            <v>3.5689377831527154E-2</v>
          </cell>
        </row>
        <row r="18">
          <cell r="B18">
            <v>39142</v>
          </cell>
          <cell r="C18">
            <v>39142</v>
          </cell>
          <cell r="D18" t="str">
            <v>TOTAL</v>
          </cell>
          <cell r="E18">
            <v>4.1441544827171679</v>
          </cell>
          <cell r="F18" t="str">
            <v>g</v>
          </cell>
          <cell r="G18" t="str">
            <v>c</v>
          </cell>
          <cell r="H18" t="str">
            <v>c</v>
          </cell>
          <cell r="I18" t="str">
            <v>c</v>
          </cell>
          <cell r="J18" t="str">
            <v>c</v>
          </cell>
          <cell r="K18">
            <v>3.5</v>
          </cell>
          <cell r="L18">
            <v>3</v>
          </cell>
          <cell r="M18">
            <v>2</v>
          </cell>
          <cell r="N18">
            <v>1</v>
          </cell>
          <cell r="O18">
            <v>3.3000730642887093</v>
          </cell>
          <cell r="P18" t="str">
            <v>c</v>
          </cell>
          <cell r="Q18" t="str">
            <v>g</v>
          </cell>
          <cell r="R18" t="str">
            <v>c</v>
          </cell>
          <cell r="S18" t="str">
            <v>c</v>
          </cell>
          <cell r="T18" t="str">
            <v>c</v>
          </cell>
          <cell r="U18">
            <v>3.5</v>
          </cell>
          <cell r="V18">
            <v>3</v>
          </cell>
          <cell r="W18">
            <v>2</v>
          </cell>
          <cell r="X18">
            <v>1</v>
          </cell>
          <cell r="Y18"/>
          <cell r="Z18">
            <v>39142</v>
          </cell>
          <cell r="AA18" t="str">
            <v>TOTAL</v>
          </cell>
          <cell r="AB18"/>
          <cell r="AC18">
            <v>5691429.6699999999</v>
          </cell>
          <cell r="AD18">
            <v>10792779.767862022</v>
          </cell>
          <cell r="AE18">
            <v>5691429.6699999999</v>
          </cell>
          <cell r="AF18"/>
          <cell r="AG18">
            <v>-5101350.097862022</v>
          </cell>
          <cell r="AH18">
            <v>-0.47266322556237661</v>
          </cell>
          <cell r="AI18"/>
          <cell r="AJ18"/>
          <cell r="AK18">
            <v>23586163.779999994</v>
          </cell>
          <cell r="AL18">
            <v>1641081.9570340696</v>
          </cell>
          <cell r="AM18">
            <v>23586163.779999994</v>
          </cell>
          <cell r="AN18">
            <v>-1</v>
          </cell>
          <cell r="AO18">
            <v>21945081.822965924</v>
          </cell>
          <cell r="AP18">
            <v>-0.93042183661822808</v>
          </cell>
          <cell r="AQ18"/>
          <cell r="AR18"/>
          <cell r="AS18">
            <v>21952927.050000001</v>
          </cell>
          <cell r="AT18">
            <v>175119710.77898213</v>
          </cell>
          <cell r="AU18">
            <v>21952927.050000001</v>
          </cell>
          <cell r="AV18"/>
          <cell r="AW18">
            <v>-153166783.72898212</v>
          </cell>
          <cell r="AX18">
            <v>-0.87464045622079234</v>
          </cell>
          <cell r="AY18">
            <v>455639699.20582306</v>
          </cell>
          <cell r="AZ18">
            <v>4.8180452862785675E-2</v>
          </cell>
        </row>
        <row r="19">
          <cell r="B19">
            <v>39173</v>
          </cell>
          <cell r="C19">
            <v>39173</v>
          </cell>
          <cell r="D19" t="str">
            <v>TOTAL</v>
          </cell>
          <cell r="E19">
            <v>4.4789462362467569</v>
          </cell>
          <cell r="F19" t="str">
            <v>g</v>
          </cell>
          <cell r="G19" t="str">
            <v>c</v>
          </cell>
          <cell r="H19" t="str">
            <v>c</v>
          </cell>
          <cell r="I19" t="str">
            <v>c</v>
          </cell>
          <cell r="J19" t="str">
            <v>c</v>
          </cell>
          <cell r="K19">
            <v>3.5</v>
          </cell>
          <cell r="L19">
            <v>3</v>
          </cell>
          <cell r="M19">
            <v>2</v>
          </cell>
          <cell r="N19">
            <v>1</v>
          </cell>
          <cell r="O19">
            <v>3.5349440466251374</v>
          </cell>
          <cell r="P19" t="str">
            <v>g</v>
          </cell>
          <cell r="Q19" t="str">
            <v>c</v>
          </cell>
          <cell r="R19" t="str">
            <v>c</v>
          </cell>
          <cell r="S19" t="str">
            <v>c</v>
          </cell>
          <cell r="T19" t="str">
            <v>c</v>
          </cell>
          <cell r="U19">
            <v>3.5</v>
          </cell>
          <cell r="V19">
            <v>3</v>
          </cell>
          <cell r="W19">
            <v>2</v>
          </cell>
          <cell r="X19">
            <v>1</v>
          </cell>
          <cell r="Y19"/>
          <cell r="Z19">
            <v>39173</v>
          </cell>
          <cell r="AA19" t="str">
            <v>TOTAL</v>
          </cell>
          <cell r="AB19"/>
          <cell r="AC19">
            <v>5461963.5399999991</v>
          </cell>
          <cell r="AD19">
            <v>6827702.8835050166</v>
          </cell>
          <cell r="AE19">
            <v>5461963.5399999991</v>
          </cell>
          <cell r="AF19"/>
          <cell r="AG19">
            <v>-1365739.3435050175</v>
          </cell>
          <cell r="AH19">
            <v>-0.20002911181218719</v>
          </cell>
          <cell r="AI19"/>
          <cell r="AJ19"/>
          <cell r="AK19">
            <v>24463841.040000007</v>
          </cell>
          <cell r="AL19">
            <v>1565536.2657799488</v>
          </cell>
          <cell r="AM19">
            <v>24463841.040000007</v>
          </cell>
          <cell r="AN19">
            <v>-1</v>
          </cell>
          <cell r="AO19">
            <v>22898304.774220057</v>
          </cell>
          <cell r="AP19">
            <v>-0.93600611354446783</v>
          </cell>
          <cell r="AQ19"/>
          <cell r="AR19"/>
          <cell r="AS19">
            <v>27414890.59</v>
          </cell>
          <cell r="AT19">
            <v>181947413.66248715</v>
          </cell>
          <cell r="AU19">
            <v>27414890.59</v>
          </cell>
          <cell r="AV19"/>
          <cell r="AW19">
            <v>-154532523.07248715</v>
          </cell>
          <cell r="AX19">
            <v>-0.8493251976592826</v>
          </cell>
          <cell r="AY19">
            <v>455639699.20582306</v>
          </cell>
          <cell r="AZ19">
            <v>6.0167914775169876E-2</v>
          </cell>
        </row>
        <row r="20">
          <cell r="B20">
            <v>39203</v>
          </cell>
          <cell r="C20">
            <v>39203</v>
          </cell>
          <cell r="D20" t="str">
            <v>TOTAL</v>
          </cell>
          <cell r="E20">
            <v>3.7522186351305233</v>
          </cell>
          <cell r="F20" t="str">
            <v>g</v>
          </cell>
          <cell r="G20" t="str">
            <v>c</v>
          </cell>
          <cell r="H20" t="str">
            <v>c</v>
          </cell>
          <cell r="I20" t="str">
            <v>c</v>
          </cell>
          <cell r="J20" t="str">
            <v>c</v>
          </cell>
          <cell r="K20">
            <v>3.5</v>
          </cell>
          <cell r="L20">
            <v>3</v>
          </cell>
          <cell r="M20">
            <v>2</v>
          </cell>
          <cell r="N20">
            <v>1</v>
          </cell>
          <cell r="O20">
            <v>3.5740930765147714</v>
          </cell>
          <cell r="P20" t="str">
            <v>g</v>
          </cell>
          <cell r="Q20" t="str">
            <v>c</v>
          </cell>
          <cell r="R20" t="str">
            <v>c</v>
          </cell>
          <cell r="S20" t="str">
            <v>c</v>
          </cell>
          <cell r="T20" t="str">
            <v>c</v>
          </cell>
          <cell r="U20">
            <v>3.5</v>
          </cell>
          <cell r="V20">
            <v>3</v>
          </cell>
          <cell r="W20">
            <v>2</v>
          </cell>
          <cell r="X20">
            <v>1</v>
          </cell>
          <cell r="Y20"/>
          <cell r="Z20">
            <v>39203</v>
          </cell>
          <cell r="AA20" t="str">
            <v>TOTAL</v>
          </cell>
          <cell r="AB20"/>
          <cell r="AC20">
            <v>6025336.1700000055</v>
          </cell>
          <cell r="AD20">
            <v>11090305.180514455</v>
          </cell>
          <cell r="AE20">
            <v>6025336.1700000055</v>
          </cell>
          <cell r="AF20"/>
          <cell r="AG20">
            <v>-5064969.0105144493</v>
          </cell>
          <cell r="AH20">
            <v>-0.45670240160870812</v>
          </cell>
          <cell r="AI20"/>
          <cell r="AJ20"/>
          <cell r="AK20">
            <v>22608378.659999996</v>
          </cell>
          <cell r="AL20">
            <v>1590881.0829237243</v>
          </cell>
          <cell r="AM20">
            <v>22608378.659999996</v>
          </cell>
          <cell r="AN20">
            <v>-1</v>
          </cell>
          <cell r="AO20">
            <v>21017497.577076271</v>
          </cell>
          <cell r="AP20">
            <v>-0.92963311934710291</v>
          </cell>
          <cell r="AQ20"/>
          <cell r="AR20"/>
          <cell r="AS20">
            <v>33440226.760000005</v>
          </cell>
          <cell r="AT20">
            <v>193037718.8430016</v>
          </cell>
          <cell r="AU20">
            <v>33440226.760000005</v>
          </cell>
          <cell r="AV20"/>
          <cell r="AW20">
            <v>-159597492.08300161</v>
          </cell>
          <cell r="AX20">
            <v>-0.82676843178406456</v>
          </cell>
          <cell r="AY20">
            <v>455639699.20582306</v>
          </cell>
          <cell r="AZ20">
            <v>7.3391819936423658E-2</v>
          </cell>
        </row>
        <row r="21">
          <cell r="B21">
            <v>39234</v>
          </cell>
          <cell r="C21">
            <v>39234</v>
          </cell>
          <cell r="D21" t="str">
            <v>TOTAL</v>
          </cell>
          <cell r="E21">
            <v>3.3725767645813263</v>
          </cell>
          <cell r="F21" t="str">
            <v>c</v>
          </cell>
          <cell r="G21" t="str">
            <v>g</v>
          </cell>
          <cell r="H21" t="str">
            <v>c</v>
          </cell>
          <cell r="I21" t="str">
            <v>c</v>
          </cell>
          <cell r="J21" t="str">
            <v>c</v>
          </cell>
          <cell r="K21">
            <v>3.5</v>
          </cell>
          <cell r="L21">
            <v>3</v>
          </cell>
          <cell r="M21">
            <v>2</v>
          </cell>
          <cell r="N21">
            <v>1</v>
          </cell>
          <cell r="O21">
            <v>3.5428422055872359</v>
          </cell>
          <cell r="P21" t="str">
            <v>g</v>
          </cell>
          <cell r="Q21" t="str">
            <v>c</v>
          </cell>
          <cell r="R21" t="str">
            <v>c</v>
          </cell>
          <cell r="S21" t="str">
            <v>c</v>
          </cell>
          <cell r="T21" t="str">
            <v>c</v>
          </cell>
          <cell r="U21">
            <v>3.5</v>
          </cell>
          <cell r="V21">
            <v>3</v>
          </cell>
          <cell r="W21">
            <v>2</v>
          </cell>
          <cell r="X21">
            <v>1</v>
          </cell>
          <cell r="Y21"/>
          <cell r="Z21">
            <v>39234</v>
          </cell>
          <cell r="AA21" t="str">
            <v>TOTAL</v>
          </cell>
          <cell r="AB21"/>
          <cell r="AC21">
            <v>6137688.3300000057</v>
          </cell>
          <cell r="AD21">
            <v>10521191.629388154</v>
          </cell>
          <cell r="AE21">
            <v>6137688.3300000057</v>
          </cell>
          <cell r="AF21"/>
          <cell r="AG21">
            <v>-4383503.2993881479</v>
          </cell>
          <cell r="AH21">
            <v>-0.41663562966993173</v>
          </cell>
          <cell r="AI21"/>
          <cell r="AJ21"/>
          <cell r="AK21">
            <v>20699825.049999982</v>
          </cell>
          <cell r="AL21">
            <v>1874100.0009751422</v>
          </cell>
          <cell r="AM21">
            <v>20699825.049999982</v>
          </cell>
          <cell r="AN21">
            <v>-1</v>
          </cell>
          <cell r="AO21">
            <v>18825725.049024839</v>
          </cell>
          <cell r="AP21">
            <v>-0.90946300287812609</v>
          </cell>
          <cell r="AQ21"/>
          <cell r="AR21"/>
          <cell r="AS21">
            <v>39577915.090000011</v>
          </cell>
          <cell r="AT21">
            <v>203558910.47238976</v>
          </cell>
          <cell r="AU21">
            <v>39577915.090000011</v>
          </cell>
          <cell r="AV21"/>
          <cell r="AW21">
            <v>-163980995.38238975</v>
          </cell>
          <cell r="AX21">
            <v>-0.80557021553046548</v>
          </cell>
          <cell r="AY21">
            <v>455639699.20582306</v>
          </cell>
          <cell r="AZ21">
            <v>8.6862306245447996E-2</v>
          </cell>
        </row>
        <row r="22">
          <cell r="B22">
            <v>39264</v>
          </cell>
          <cell r="C22">
            <v>39264</v>
          </cell>
          <cell r="D22" t="str">
            <v>TOTAL</v>
          </cell>
          <cell r="E22">
            <v>2.6293586243849782</v>
          </cell>
          <cell r="F22" t="str">
            <v>c</v>
          </cell>
          <cell r="G22" t="str">
            <v>c</v>
          </cell>
          <cell r="H22" t="str">
            <v>g</v>
          </cell>
          <cell r="I22" t="str">
            <v>c</v>
          </cell>
          <cell r="J22" t="str">
            <v>c</v>
          </cell>
          <cell r="K22">
            <v>3.5</v>
          </cell>
          <cell r="L22">
            <v>3</v>
          </cell>
          <cell r="M22">
            <v>2</v>
          </cell>
          <cell r="N22">
            <v>1</v>
          </cell>
          <cell r="O22">
            <v>3.3864517644527607</v>
          </cell>
          <cell r="P22" t="str">
            <v>c</v>
          </cell>
          <cell r="Q22" t="str">
            <v>g</v>
          </cell>
          <cell r="R22" t="str">
            <v>c</v>
          </cell>
          <cell r="S22" t="str">
            <v>c</v>
          </cell>
          <cell r="T22" t="str">
            <v>c</v>
          </cell>
          <cell r="U22">
            <v>3.5</v>
          </cell>
          <cell r="V22">
            <v>3</v>
          </cell>
          <cell r="W22">
            <v>2</v>
          </cell>
          <cell r="X22">
            <v>1</v>
          </cell>
          <cell r="Y22"/>
          <cell r="Z22">
            <v>39264</v>
          </cell>
          <cell r="AA22" t="str">
            <v>TOTAL</v>
          </cell>
          <cell r="AB22"/>
          <cell r="AC22">
            <v>8175490.2699999958</v>
          </cell>
          <cell r="AD22">
            <v>27094141.027919054</v>
          </cell>
          <cell r="AE22">
            <v>8175490.2699999958</v>
          </cell>
          <cell r="AF22"/>
          <cell r="AG22">
            <v>-18918650.757919058</v>
          </cell>
          <cell r="AH22">
            <v>-0.69825615576535194</v>
          </cell>
          <cell r="AI22"/>
          <cell r="AJ22"/>
          <cell r="AK22">
            <v>21496295.849999964</v>
          </cell>
          <cell r="AL22">
            <v>2053657.7550620977</v>
          </cell>
          <cell r="AM22">
            <v>21496295.849999964</v>
          </cell>
          <cell r="AN22">
            <v>-1</v>
          </cell>
          <cell r="AO22">
            <v>19442638.094937868</v>
          </cell>
          <cell r="AP22">
            <v>-0.90446457522763857</v>
          </cell>
          <cell r="AQ22"/>
          <cell r="AR22"/>
          <cell r="AS22">
            <v>47753405.360000007</v>
          </cell>
          <cell r="AT22">
            <v>230653051.50030881</v>
          </cell>
          <cell r="AU22">
            <v>47753405.360000007</v>
          </cell>
          <cell r="AV22"/>
          <cell r="AW22">
            <v>-182899646.1403088</v>
          </cell>
          <cell r="AX22">
            <v>-0.79296434601934551</v>
          </cell>
          <cell r="AY22">
            <v>455639699.20582306</v>
          </cell>
          <cell r="AZ22">
            <v>0.10480519024842189</v>
          </cell>
        </row>
        <row r="23">
          <cell r="B23">
            <v>39295</v>
          </cell>
          <cell r="C23">
            <v>39295</v>
          </cell>
          <cell r="D23" t="str">
            <v>TOTAL</v>
          </cell>
          <cell r="E23">
            <v>2.9078363675193959</v>
          </cell>
          <cell r="F23" t="str">
            <v>c</v>
          </cell>
          <cell r="G23" t="str">
            <v>c</v>
          </cell>
          <cell r="H23" t="str">
            <v>g</v>
          </cell>
          <cell r="I23" t="str">
            <v>c</v>
          </cell>
          <cell r="J23" t="str">
            <v>c</v>
          </cell>
          <cell r="K23">
            <v>3.5</v>
          </cell>
          <cell r="L23">
            <v>3</v>
          </cell>
          <cell r="M23">
            <v>2</v>
          </cell>
          <cell r="N23">
            <v>1</v>
          </cell>
          <cell r="O23">
            <v>3.3214661383698387</v>
          </cell>
          <cell r="P23" t="str">
            <v>c</v>
          </cell>
          <cell r="Q23" t="str">
            <v>g</v>
          </cell>
          <cell r="R23" t="str">
            <v>c</v>
          </cell>
          <cell r="S23" t="str">
            <v>c</v>
          </cell>
          <cell r="T23" t="str">
            <v>c</v>
          </cell>
          <cell r="U23">
            <v>3.5</v>
          </cell>
          <cell r="V23">
            <v>3</v>
          </cell>
          <cell r="W23">
            <v>2</v>
          </cell>
          <cell r="X23">
            <v>1</v>
          </cell>
          <cell r="Y23"/>
          <cell r="Z23">
            <v>39295</v>
          </cell>
          <cell r="AA23" t="str">
            <v>TOTAL</v>
          </cell>
          <cell r="AB23"/>
          <cell r="AC23">
            <v>7502566.7000000104</v>
          </cell>
          <cell r="AD23">
            <v>44596470.502327144</v>
          </cell>
          <cell r="AE23">
            <v>7502566.7000000104</v>
          </cell>
          <cell r="AF23"/>
          <cell r="AG23">
            <v>-37093903.802327134</v>
          </cell>
          <cell r="AH23">
            <v>-0.83176770234298003</v>
          </cell>
          <cell r="AI23"/>
          <cell r="AJ23"/>
          <cell r="AK23">
            <v>21816236.300000012</v>
          </cell>
          <cell r="AL23">
            <v>1978517.5006009713</v>
          </cell>
          <cell r="AM23">
            <v>21816236.300000012</v>
          </cell>
          <cell r="AN23">
            <v>-1</v>
          </cell>
          <cell r="AO23">
            <v>19837718.799399041</v>
          </cell>
          <cell r="AP23">
            <v>-0.90930986108722289</v>
          </cell>
          <cell r="AQ23"/>
          <cell r="AR23"/>
          <cell r="AS23">
            <v>55255972.060000017</v>
          </cell>
          <cell r="AT23">
            <v>275249522.00263596</v>
          </cell>
          <cell r="AU23">
            <v>55255972.060000017</v>
          </cell>
          <cell r="AV23"/>
          <cell r="AW23">
            <v>-219993549.94263595</v>
          </cell>
          <cell r="AX23">
            <v>-0.79925134235302742</v>
          </cell>
          <cell r="AY23">
            <v>455639699.20582306</v>
          </cell>
          <cell r="AZ23">
            <v>0.12127119773871944</v>
          </cell>
        </row>
        <row r="24">
          <cell r="B24">
            <v>39326</v>
          </cell>
          <cell r="C24">
            <v>39326</v>
          </cell>
          <cell r="D24" t="str">
            <v>TOTAL</v>
          </cell>
          <cell r="E24">
            <v>2.8579999085522161</v>
          </cell>
          <cell r="F24" t="str">
            <v>c</v>
          </cell>
          <cell r="G24" t="str">
            <v>c</v>
          </cell>
          <cell r="H24" t="str">
            <v>g</v>
          </cell>
          <cell r="I24" t="str">
            <v>c</v>
          </cell>
          <cell r="J24" t="str">
            <v>c</v>
          </cell>
          <cell r="K24">
            <v>3.5</v>
          </cell>
          <cell r="L24">
            <v>3</v>
          </cell>
          <cell r="M24">
            <v>2</v>
          </cell>
          <cell r="N24">
            <v>1</v>
          </cell>
          <cell r="O24">
            <v>3.2676773999535409</v>
          </cell>
          <cell r="P24" t="str">
            <v>c</v>
          </cell>
          <cell r="Q24" t="str">
            <v>g</v>
          </cell>
          <cell r="R24" t="str">
            <v>c</v>
          </cell>
          <cell r="S24" t="str">
            <v>c</v>
          </cell>
          <cell r="T24" t="str">
            <v>c</v>
          </cell>
          <cell r="U24">
            <v>3.5</v>
          </cell>
          <cell r="V24">
            <v>3</v>
          </cell>
          <cell r="W24">
            <v>2</v>
          </cell>
          <cell r="X24">
            <v>1</v>
          </cell>
          <cell r="Y24"/>
          <cell r="Z24">
            <v>39326</v>
          </cell>
          <cell r="AA24" t="str">
            <v>TOTAL</v>
          </cell>
          <cell r="AB24"/>
          <cell r="AC24">
            <v>7254850.6799999997</v>
          </cell>
          <cell r="AD24">
            <v>40414752.69384259</v>
          </cell>
          <cell r="AE24">
            <v>7254850.6799999997</v>
          </cell>
          <cell r="AF24"/>
          <cell r="AG24">
            <v>-33159902.01384259</v>
          </cell>
          <cell r="AH24">
            <v>-0.82049003899743478</v>
          </cell>
          <cell r="AI24"/>
          <cell r="AJ24"/>
          <cell r="AK24">
            <v>20734362.579999983</v>
          </cell>
          <cell r="AL24">
            <v>2290288.8364260588</v>
          </cell>
          <cell r="AM24">
            <v>20734362.579999983</v>
          </cell>
          <cell r="AN24">
            <v>-1</v>
          </cell>
          <cell r="AO24">
            <v>18444073.743573926</v>
          </cell>
          <cell r="AP24">
            <v>-0.8895413916106959</v>
          </cell>
          <cell r="AQ24"/>
          <cell r="AR24"/>
          <cell r="AS24">
            <v>62510822.740000017</v>
          </cell>
          <cell r="AT24">
            <v>315664274.69647855</v>
          </cell>
          <cell r="AU24">
            <v>62510822.740000017</v>
          </cell>
          <cell r="AV24"/>
          <cell r="AW24">
            <v>-253153451.95647854</v>
          </cell>
          <cell r="AX24">
            <v>-0.80197054988212968</v>
          </cell>
          <cell r="AY24">
            <v>455639699.20582306</v>
          </cell>
          <cell r="AZ24">
            <v>0.13719353877407076</v>
          </cell>
        </row>
        <row r="25">
          <cell r="B25">
            <v>39356</v>
          </cell>
          <cell r="C25">
            <v>39356</v>
          </cell>
          <cell r="D25" t="str">
            <v>TOTAL</v>
          </cell>
          <cell r="E25">
            <v>2.3390756480241062</v>
          </cell>
          <cell r="F25" t="str">
            <v>c</v>
          </cell>
          <cell r="G25" t="str">
            <v>c</v>
          </cell>
          <cell r="H25" t="str">
            <v>g</v>
          </cell>
          <cell r="I25" t="str">
            <v>c</v>
          </cell>
          <cell r="J25" t="str">
            <v>c</v>
          </cell>
          <cell r="K25">
            <v>3.5</v>
          </cell>
          <cell r="L25">
            <v>3</v>
          </cell>
          <cell r="M25">
            <v>2</v>
          </cell>
          <cell r="N25">
            <v>1</v>
          </cell>
          <cell r="O25">
            <v>3.1537051070804338</v>
          </cell>
          <cell r="P25" t="str">
            <v>c</v>
          </cell>
          <cell r="Q25" t="str">
            <v>g</v>
          </cell>
          <cell r="R25" t="str">
            <v>c</v>
          </cell>
          <cell r="S25" t="str">
            <v>c</v>
          </cell>
          <cell r="T25" t="str">
            <v>c</v>
          </cell>
          <cell r="U25">
            <v>3.5</v>
          </cell>
          <cell r="V25">
            <v>3</v>
          </cell>
          <cell r="W25">
            <v>2</v>
          </cell>
          <cell r="X25">
            <v>1</v>
          </cell>
          <cell r="Y25"/>
          <cell r="Z25">
            <v>39356</v>
          </cell>
          <cell r="AA25" t="str">
            <v>TOTAL</v>
          </cell>
          <cell r="AB25"/>
          <cell r="AC25">
            <v>8745696.2400000021</v>
          </cell>
          <cell r="AD25">
            <v>22376082.794790924</v>
          </cell>
          <cell r="AE25">
            <v>8745696.2400000021</v>
          </cell>
          <cell r="AF25"/>
          <cell r="AG25">
            <v>-13630386.554790922</v>
          </cell>
          <cell r="AH25">
            <v>-0.60914980873971514</v>
          </cell>
          <cell r="AI25"/>
          <cell r="AJ25"/>
          <cell r="AK25">
            <v>20456845.099999994</v>
          </cell>
          <cell r="AL25">
            <v>2083686.5654630419</v>
          </cell>
          <cell r="AM25">
            <v>20456845.099999994</v>
          </cell>
          <cell r="AN25">
            <v>-1</v>
          </cell>
          <cell r="AO25">
            <v>18373158.53453695</v>
          </cell>
          <cell r="AP25">
            <v>-0.89814233058532356</v>
          </cell>
          <cell r="AQ25"/>
          <cell r="AR25"/>
          <cell r="AS25">
            <v>71256518.980000019</v>
          </cell>
          <cell r="AT25">
            <v>338040357.49126947</v>
          </cell>
          <cell r="AU25">
            <v>71256518.980000019</v>
          </cell>
          <cell r="AV25"/>
          <cell r="AW25">
            <v>-266783838.51126945</v>
          </cell>
          <cell r="AX25">
            <v>-0.78920706536692042</v>
          </cell>
          <cell r="AY25">
            <v>455639699.20582306</v>
          </cell>
          <cell r="AZ25">
            <v>0.15638786327047369</v>
          </cell>
        </row>
        <row r="26">
          <cell r="B26">
            <v>39387</v>
          </cell>
          <cell r="C26">
            <v>39387</v>
          </cell>
          <cell r="D26" t="str">
            <v>TOTAL</v>
          </cell>
          <cell r="E26">
            <v>2.1759347646908718</v>
          </cell>
          <cell r="F26" t="str">
            <v>c</v>
          </cell>
          <cell r="G26" t="str">
            <v>c</v>
          </cell>
          <cell r="H26" t="str">
            <v>g</v>
          </cell>
          <cell r="I26" t="str">
            <v>c</v>
          </cell>
          <cell r="J26" t="str">
            <v>c</v>
          </cell>
          <cell r="K26">
            <v>3.5</v>
          </cell>
          <cell r="L26">
            <v>3</v>
          </cell>
          <cell r="M26">
            <v>2</v>
          </cell>
          <cell r="N26">
            <v>1</v>
          </cell>
          <cell r="O26">
            <v>3.0439496597571378</v>
          </cell>
          <cell r="P26" t="str">
            <v>c</v>
          </cell>
          <cell r="Q26" t="str">
            <v>g</v>
          </cell>
          <cell r="R26" t="str">
            <v>c</v>
          </cell>
          <cell r="S26" t="str">
            <v>c</v>
          </cell>
          <cell r="T26" t="str">
            <v>c</v>
          </cell>
          <cell r="U26">
            <v>3.5</v>
          </cell>
          <cell r="V26">
            <v>3</v>
          </cell>
          <cell r="W26">
            <v>2</v>
          </cell>
          <cell r="X26">
            <v>1</v>
          </cell>
          <cell r="Y26"/>
          <cell r="Z26">
            <v>39387</v>
          </cell>
          <cell r="AA26" t="str">
            <v>TOTAL</v>
          </cell>
          <cell r="AB26"/>
          <cell r="AC26">
            <v>9009973.3999999911</v>
          </cell>
          <cell r="AD26">
            <v>50972194.167390168</v>
          </cell>
          <cell r="AE26">
            <v>9009973.3999999911</v>
          </cell>
          <cell r="AF26"/>
          <cell r="AG26">
            <v>-41962220.767390177</v>
          </cell>
          <cell r="AH26">
            <v>-0.82323748178444733</v>
          </cell>
          <cell r="AI26"/>
          <cell r="AJ26"/>
          <cell r="AK26">
            <v>19605114.349999994</v>
          </cell>
          <cell r="AL26">
            <v>1832431.5795857646</v>
          </cell>
          <cell r="AM26">
            <v>19605114.349999994</v>
          </cell>
          <cell r="AN26">
            <v>-1</v>
          </cell>
          <cell r="AO26">
            <v>17772682.770414229</v>
          </cell>
          <cell r="AP26">
            <v>-0.90653298180911834</v>
          </cell>
          <cell r="AQ26"/>
          <cell r="AR26"/>
          <cell r="AS26">
            <v>80266492.38000001</v>
          </cell>
          <cell r="AT26">
            <v>389012551.65865964</v>
          </cell>
          <cell r="AU26">
            <v>80266492.38000001</v>
          </cell>
          <cell r="AV26"/>
          <cell r="AW26">
            <v>-308746059.27865964</v>
          </cell>
          <cell r="AX26">
            <v>-0.79366606029095399</v>
          </cell>
          <cell r="AY26">
            <v>455639699.20582306</v>
          </cell>
          <cell r="AZ26">
            <v>0.17616220123027904</v>
          </cell>
        </row>
        <row r="27">
          <cell r="B27">
            <v>39417</v>
          </cell>
          <cell r="C27">
            <v>39417</v>
          </cell>
          <cell r="D27" t="str">
            <v>TOTAL</v>
          </cell>
          <cell r="E27">
            <v>3.0906453666136509</v>
          </cell>
          <cell r="F27" t="str">
            <v>c</v>
          </cell>
          <cell r="G27" t="str">
            <v>g</v>
          </cell>
          <cell r="H27" t="str">
            <v>c</v>
          </cell>
          <cell r="I27" t="str">
            <v>c</v>
          </cell>
          <cell r="J27" t="str">
            <v>c</v>
          </cell>
          <cell r="K27">
            <v>3.5</v>
          </cell>
          <cell r="L27">
            <v>3</v>
          </cell>
          <cell r="M27">
            <v>2</v>
          </cell>
          <cell r="N27">
            <v>1</v>
          </cell>
          <cell r="O27">
            <v>3.0481628911969585</v>
          </cell>
          <cell r="P27" t="str">
            <v>c</v>
          </cell>
          <cell r="Q27" t="str">
            <v>g</v>
          </cell>
          <cell r="R27" t="str">
            <v>c</v>
          </cell>
          <cell r="S27" t="str">
            <v>c</v>
          </cell>
          <cell r="T27" t="str">
            <v>c</v>
          </cell>
          <cell r="U27">
            <v>3.5</v>
          </cell>
          <cell r="V27">
            <v>3</v>
          </cell>
          <cell r="W27">
            <v>2</v>
          </cell>
          <cell r="X27">
            <v>1</v>
          </cell>
          <cell r="Y27"/>
          <cell r="Z27">
            <v>39417</v>
          </cell>
          <cell r="AA27" t="str">
            <v>TOTAL</v>
          </cell>
          <cell r="AB27"/>
          <cell r="AC27">
            <v>7960489.7299999893</v>
          </cell>
          <cell r="AD27">
            <v>66627147.547163427</v>
          </cell>
          <cell r="AE27">
            <v>7960489.7299999893</v>
          </cell>
          <cell r="AF27"/>
          <cell r="AG27">
            <v>-58666657.817163438</v>
          </cell>
          <cell r="AH27">
            <v>-0.88052182896821463</v>
          </cell>
          <cell r="AI27"/>
          <cell r="AJ27"/>
          <cell r="AK27">
            <v>24603050.700000018</v>
          </cell>
          <cell r="AL27">
            <v>1771931.0001869127</v>
          </cell>
          <cell r="AM27">
            <v>24603050.700000018</v>
          </cell>
          <cell r="AN27">
            <v>-1</v>
          </cell>
          <cell r="AO27">
            <v>22831119.699813105</v>
          </cell>
          <cell r="AP27">
            <v>-0.92797921600076561</v>
          </cell>
          <cell r="AQ27"/>
          <cell r="AR27"/>
          <cell r="AS27">
            <v>88226982.109999999</v>
          </cell>
          <cell r="AT27">
            <v>455639699.20582306</v>
          </cell>
          <cell r="AU27">
            <v>88226982.109999999</v>
          </cell>
          <cell r="AV27"/>
          <cell r="AW27">
            <v>-367412717.09582305</v>
          </cell>
          <cell r="AX27">
            <v>-0.80636678001548368</v>
          </cell>
          <cell r="AY27">
            <v>455639699.20582306</v>
          </cell>
          <cell r="AZ27">
            <v>0.19363321998451635</v>
          </cell>
        </row>
        <row r="28">
          <cell r="B28">
            <v>39448</v>
          </cell>
          <cell r="C28">
            <v>39448</v>
          </cell>
          <cell r="D28" t="str">
            <v>TOTAL</v>
          </cell>
          <cell r="E28">
            <v>3.4253149623295958</v>
          </cell>
          <cell r="F28" t="str">
            <v>c</v>
          </cell>
          <cell r="G28" t="str">
            <v>g</v>
          </cell>
          <cell r="H28" t="str">
            <v>c</v>
          </cell>
          <cell r="I28" t="str">
            <v>c</v>
          </cell>
          <cell r="J28" t="str">
            <v>c</v>
          </cell>
          <cell r="K28">
            <v>3.5</v>
          </cell>
          <cell r="L28">
            <v>3</v>
          </cell>
          <cell r="M28">
            <v>2</v>
          </cell>
          <cell r="N28">
            <v>1</v>
          </cell>
          <cell r="O28">
            <v>3.0831116273802337</v>
          </cell>
          <cell r="P28" t="str">
            <v>c</v>
          </cell>
          <cell r="Q28" t="str">
            <v>g</v>
          </cell>
          <cell r="R28" t="str">
            <v>c</v>
          </cell>
          <cell r="S28" t="str">
            <v>c</v>
          </cell>
          <cell r="T28" t="str">
            <v>c</v>
          </cell>
          <cell r="U28">
            <v>3.5</v>
          </cell>
          <cell r="V28">
            <v>3</v>
          </cell>
          <cell r="W28">
            <v>2</v>
          </cell>
          <cell r="X28">
            <v>1</v>
          </cell>
          <cell r="Y28"/>
          <cell r="Z28">
            <v>39448</v>
          </cell>
          <cell r="AA28" t="str">
            <v>TOTAL</v>
          </cell>
          <cell r="AB28">
            <v>8466856.4800000004</v>
          </cell>
          <cell r="AC28">
            <v>8582239.8299999982</v>
          </cell>
          <cell r="AD28">
            <v>33911762.991978467</v>
          </cell>
          <cell r="AE28">
            <v>115383.34999999776</v>
          </cell>
          <cell r="AF28">
            <v>1.3627649207536452E-2</v>
          </cell>
          <cell r="AG28">
            <v>-25329523.161978468</v>
          </cell>
          <cell r="AH28">
            <v>-0.74692439812020228</v>
          </cell>
          <cell r="AI28"/>
          <cell r="AJ28">
            <v>25957713.23</v>
          </cell>
          <cell r="AK28">
            <v>29396874.5</v>
          </cell>
          <cell r="AL28">
            <v>1201959.5508384816</v>
          </cell>
          <cell r="AM28">
            <v>3439161.2699999996</v>
          </cell>
          <cell r="AN28">
            <v>-0.11699071171664865</v>
          </cell>
          <cell r="AO28">
            <v>28194914.949161518</v>
          </cell>
          <cell r="AP28">
            <v>-0.95911267536831235</v>
          </cell>
          <cell r="AQ28"/>
          <cell r="AR28">
            <v>8466856.4800000004</v>
          </cell>
          <cell r="AS28">
            <v>8582239.8299999982</v>
          </cell>
          <cell r="AT28">
            <v>33911762.991978467</v>
          </cell>
          <cell r="AU28">
            <v>115383.34999999776</v>
          </cell>
          <cell r="AV28">
            <v>1.3627649207536452E-2</v>
          </cell>
          <cell r="AW28">
            <v>-25329523.161978468</v>
          </cell>
          <cell r="AX28">
            <v>-0.74692439812020228</v>
          </cell>
          <cell r="AY28">
            <v>755133692.49980342</v>
          </cell>
          <cell r="AZ28">
            <v>1.1365192568205043E-2</v>
          </cell>
        </row>
        <row r="29">
          <cell r="B29">
            <v>39479</v>
          </cell>
          <cell r="C29">
            <v>39479</v>
          </cell>
          <cell r="D29" t="str">
            <v>TOTAL</v>
          </cell>
          <cell r="E29">
            <v>3.8488506910114868</v>
          </cell>
          <cell r="F29" t="str">
            <v>g</v>
          </cell>
          <cell r="G29" t="str">
            <v>c</v>
          </cell>
          <cell r="H29" t="str">
            <v>c</v>
          </cell>
          <cell r="I29" t="str">
            <v>c</v>
          </cell>
          <cell r="J29" t="str">
            <v>c</v>
          </cell>
          <cell r="K29">
            <v>3.5</v>
          </cell>
          <cell r="L29">
            <v>3</v>
          </cell>
          <cell r="M29">
            <v>2</v>
          </cell>
          <cell r="N29">
            <v>1</v>
          </cell>
          <cell r="O29">
            <v>3.1592621623396511</v>
          </cell>
          <cell r="P29" t="str">
            <v>c</v>
          </cell>
          <cell r="Q29" t="str">
            <v>g</v>
          </cell>
          <cell r="R29" t="str">
            <v>c</v>
          </cell>
          <cell r="S29" t="str">
            <v>c</v>
          </cell>
          <cell r="T29" t="str">
            <v>c</v>
          </cell>
          <cell r="U29">
            <v>3.5</v>
          </cell>
          <cell r="V29">
            <v>3</v>
          </cell>
          <cell r="W29">
            <v>2</v>
          </cell>
          <cell r="X29">
            <v>1</v>
          </cell>
          <cell r="Y29"/>
          <cell r="Z29">
            <v>39479</v>
          </cell>
          <cell r="AA29" t="str">
            <v>TOTAL</v>
          </cell>
          <cell r="AB29">
            <v>7794640.9000000004</v>
          </cell>
          <cell r="AC29">
            <v>7257067.5799999982</v>
          </cell>
          <cell r="AD29">
            <v>38570621.793539226</v>
          </cell>
          <cell r="AE29">
            <v>-537573.32000000216</v>
          </cell>
          <cell r="AF29">
            <v>-6.8967041188517375E-2</v>
          </cell>
          <cell r="AG29">
            <v>-31313554.213539228</v>
          </cell>
          <cell r="AH29">
            <v>-0.81184986804605797</v>
          </cell>
          <cell r="AI29"/>
          <cell r="AJ29">
            <v>22902386.23</v>
          </cell>
          <cell r="AK29">
            <v>27931369.570000052</v>
          </cell>
          <cell r="AL29">
            <v>1204294.8820188046</v>
          </cell>
          <cell r="AM29">
            <v>5028983.340000052</v>
          </cell>
          <cell r="AN29">
            <v>-0.18004786078952173</v>
          </cell>
          <cell r="AO29">
            <v>26727074.687981248</v>
          </cell>
          <cell r="AP29">
            <v>-0.95688378691919607</v>
          </cell>
          <cell r="AQ29"/>
          <cell r="AR29">
            <v>16261497.380000001</v>
          </cell>
          <cell r="AS29">
            <v>15839307.409999996</v>
          </cell>
          <cell r="AT29">
            <v>72482384.785517693</v>
          </cell>
          <cell r="AU29">
            <v>-422189.9700000044</v>
          </cell>
          <cell r="AV29">
            <v>-2.5962551918450982E-2</v>
          </cell>
          <cell r="AW29">
            <v>-56643077.375517696</v>
          </cell>
          <cell r="AX29">
            <v>-0.78147369934267452</v>
          </cell>
          <cell r="AY29">
            <v>755133692.49980342</v>
          </cell>
          <cell r="AZ29">
            <v>2.0975500851465611E-2</v>
          </cell>
        </row>
        <row r="30">
          <cell r="B30">
            <v>39508</v>
          </cell>
          <cell r="C30">
            <v>39508</v>
          </cell>
          <cell r="D30" t="str">
            <v>TOTAL</v>
          </cell>
          <cell r="E30">
            <v>3.727244175907229</v>
          </cell>
          <cell r="F30" t="str">
            <v>g</v>
          </cell>
          <cell r="G30" t="str">
            <v>c</v>
          </cell>
          <cell r="H30" t="str">
            <v>c</v>
          </cell>
          <cell r="I30" t="str">
            <v>c</v>
          </cell>
          <cell r="J30" t="str">
            <v>c</v>
          </cell>
          <cell r="K30">
            <v>3.5</v>
          </cell>
          <cell r="L30">
            <v>3</v>
          </cell>
          <cell r="M30">
            <v>2</v>
          </cell>
          <cell r="N30">
            <v>1</v>
          </cell>
          <cell r="O30">
            <v>3.1406146172970377</v>
          </cell>
          <cell r="P30" t="str">
            <v>c</v>
          </cell>
          <cell r="Q30" t="str">
            <v>g</v>
          </cell>
          <cell r="R30" t="str">
            <v>c</v>
          </cell>
          <cell r="S30" t="str">
            <v>c</v>
          </cell>
          <cell r="T30" t="str">
            <v>c</v>
          </cell>
          <cell r="U30">
            <v>3.5</v>
          </cell>
          <cell r="V30">
            <v>3</v>
          </cell>
          <cell r="W30">
            <v>2</v>
          </cell>
          <cell r="X30">
            <v>1</v>
          </cell>
          <cell r="Y30"/>
          <cell r="Z30">
            <v>39508</v>
          </cell>
          <cell r="AA30" t="str">
            <v>TOTAL</v>
          </cell>
          <cell r="AB30">
            <v>5691429.6699999999</v>
          </cell>
          <cell r="AC30">
            <v>6945154.2100000083</v>
          </cell>
          <cell r="AD30">
            <v>37148257.007330179</v>
          </cell>
          <cell r="AE30">
            <v>1253724.5400000084</v>
          </cell>
          <cell r="AF30">
            <v>0.22028288368535853</v>
          </cell>
          <cell r="AG30">
            <v>-30203102.797330171</v>
          </cell>
          <cell r="AH30">
            <v>-0.81304225905862626</v>
          </cell>
          <cell r="AI30"/>
          <cell r="AJ30">
            <v>23586163.779999994</v>
          </cell>
          <cell r="AK30">
            <v>25886285.580000103</v>
          </cell>
          <cell r="AL30">
            <v>975523.447446201</v>
          </cell>
          <cell r="AM30">
            <v>2300121.8000001088</v>
          </cell>
          <cell r="AN30">
            <v>-8.885484141367872E-2</v>
          </cell>
          <cell r="AO30">
            <v>24910762.132553902</v>
          </cell>
          <cell r="AP30">
            <v>-0.96231504730829764</v>
          </cell>
          <cell r="AQ30"/>
          <cell r="AR30">
            <v>21952927.050000001</v>
          </cell>
          <cell r="AS30">
            <v>22784461.620000005</v>
          </cell>
          <cell r="AT30">
            <v>109630641.79284787</v>
          </cell>
          <cell r="AU30">
            <v>831534.57000000402</v>
          </cell>
          <cell r="AV30">
            <v>3.7878072846782684E-2</v>
          </cell>
          <cell r="AW30">
            <v>-86846180.172847867</v>
          </cell>
          <cell r="AX30">
            <v>-0.79217068104871369</v>
          </cell>
          <cell r="AY30">
            <v>755133692.49980342</v>
          </cell>
          <cell r="AZ30">
            <v>3.0172751985908689E-2</v>
          </cell>
        </row>
        <row r="31">
          <cell r="B31">
            <v>39539</v>
          </cell>
          <cell r="C31">
            <v>39539</v>
          </cell>
          <cell r="D31" t="str">
            <v>TOTAL</v>
          </cell>
          <cell r="E31">
            <v>3.3391021610880021</v>
          </cell>
          <cell r="F31" t="str">
            <v>c</v>
          </cell>
          <cell r="G31" t="str">
            <v>g</v>
          </cell>
          <cell r="H31" t="str">
            <v>c</v>
          </cell>
          <cell r="I31" t="str">
            <v>c</v>
          </cell>
          <cell r="J31" t="str">
            <v>c</v>
          </cell>
          <cell r="K31">
            <v>3.5</v>
          </cell>
          <cell r="L31">
            <v>3</v>
          </cell>
          <cell r="M31">
            <v>2</v>
          </cell>
          <cell r="N31">
            <v>1</v>
          </cell>
          <cell r="O31">
            <v>3.0807759367737098</v>
          </cell>
          <cell r="P31" t="str">
            <v>c</v>
          </cell>
          <cell r="Q31" t="str">
            <v>g</v>
          </cell>
          <cell r="R31" t="str">
            <v>c</v>
          </cell>
          <cell r="S31" t="str">
            <v>c</v>
          </cell>
          <cell r="T31" t="str">
            <v>c</v>
          </cell>
          <cell r="U31">
            <v>3.5</v>
          </cell>
          <cell r="V31">
            <v>3</v>
          </cell>
          <cell r="W31">
            <v>2</v>
          </cell>
          <cell r="X31">
            <v>1</v>
          </cell>
          <cell r="Y31"/>
          <cell r="Z31">
            <v>39539</v>
          </cell>
          <cell r="AA31" t="str">
            <v>TOTAL</v>
          </cell>
          <cell r="AB31">
            <v>5461963.5399999991</v>
          </cell>
          <cell r="AC31">
            <v>8932933.8399999738</v>
          </cell>
          <cell r="AD31">
            <v>124237678.07846642</v>
          </cell>
          <cell r="AE31">
            <v>3470970.2999999747</v>
          </cell>
          <cell r="AF31">
            <v>0.63548031300113283</v>
          </cell>
          <cell r="AG31">
            <v>-115304744.23846644</v>
          </cell>
          <cell r="AH31">
            <v>-0.92809802969467858</v>
          </cell>
          <cell r="AI31"/>
          <cell r="AJ31">
            <v>24463841.040000007</v>
          </cell>
          <cell r="AK31">
            <v>29827978.690000057</v>
          </cell>
          <cell r="AL31">
            <v>1066203.8563327119</v>
          </cell>
          <cell r="AM31">
            <v>5364137.6500000507</v>
          </cell>
          <cell r="AN31">
            <v>-0.17983577451724542</v>
          </cell>
          <cell r="AO31">
            <v>28761774.833667345</v>
          </cell>
          <cell r="AP31">
            <v>-0.96425490753451015</v>
          </cell>
          <cell r="AQ31"/>
          <cell r="AR31">
            <v>27414890.59</v>
          </cell>
          <cell r="AS31">
            <v>31717395.459999979</v>
          </cell>
          <cell r="AT31">
            <v>233868319.87131429</v>
          </cell>
          <cell r="AU31">
            <v>4302504.8699999787</v>
          </cell>
          <cell r="AV31">
            <v>0.15694043555911108</v>
          </cell>
          <cell r="AW31">
            <v>-202150924.41131431</v>
          </cell>
          <cell r="AX31">
            <v>-0.8643792563377013</v>
          </cell>
          <cell r="AY31">
            <v>755133692.49980342</v>
          </cell>
          <cell r="AZ31">
            <v>4.2002357695102098E-2</v>
          </cell>
        </row>
        <row r="32">
          <cell r="B32">
            <v>39569</v>
          </cell>
          <cell r="C32">
            <v>39569</v>
          </cell>
          <cell r="D32" t="str">
            <v>TOTAL</v>
          </cell>
          <cell r="E32">
            <v>4.8235943421906304</v>
          </cell>
          <cell r="F32" t="str">
            <v>g</v>
          </cell>
          <cell r="G32" t="str">
            <v>c</v>
          </cell>
          <cell r="H32" t="str">
            <v>c</v>
          </cell>
          <cell r="I32" t="str">
            <v>c</v>
          </cell>
          <cell r="J32" t="str">
            <v>c</v>
          </cell>
          <cell r="K32">
            <v>3.5</v>
          </cell>
          <cell r="L32">
            <v>3</v>
          </cell>
          <cell r="M32">
            <v>2</v>
          </cell>
          <cell r="N32">
            <v>1</v>
          </cell>
          <cell r="O32">
            <v>3.1701362848484527</v>
          </cell>
          <cell r="P32" t="str">
            <v>c</v>
          </cell>
          <cell r="Q32" t="str">
            <v>g</v>
          </cell>
          <cell r="R32" t="str">
            <v>c</v>
          </cell>
          <cell r="S32" t="str">
            <v>c</v>
          </cell>
          <cell r="T32" t="str">
            <v>c</v>
          </cell>
          <cell r="U32">
            <v>3.5</v>
          </cell>
          <cell r="V32">
            <v>3</v>
          </cell>
          <cell r="W32">
            <v>2</v>
          </cell>
          <cell r="X32">
            <v>1</v>
          </cell>
          <cell r="Y32"/>
          <cell r="Z32">
            <v>39569</v>
          </cell>
          <cell r="AA32" t="str">
            <v>TOTAL</v>
          </cell>
          <cell r="AB32">
            <v>6025336.1700000055</v>
          </cell>
          <cell r="AC32">
            <v>7121867.3799999952</v>
          </cell>
          <cell r="AD32">
            <v>122281097.2486645</v>
          </cell>
          <cell r="AE32">
            <v>1096531.2099999897</v>
          </cell>
          <cell r="AF32">
            <v>0.18198672722355158</v>
          </cell>
          <cell r="AG32">
            <v>-115159229.8686645</v>
          </cell>
          <cell r="AH32">
            <v>-0.9417582313191275</v>
          </cell>
          <cell r="AI32"/>
          <cell r="AJ32">
            <v>22608378.659999996</v>
          </cell>
          <cell r="AK32">
            <v>34352999.199999988</v>
          </cell>
          <cell r="AL32">
            <v>1131808.5070067979</v>
          </cell>
          <cell r="AM32">
            <v>11744620.539999992</v>
          </cell>
          <cell r="AN32">
            <v>-0.34188049991279934</v>
          </cell>
          <cell r="AO32">
            <v>33221190.69299319</v>
          </cell>
          <cell r="AP32">
            <v>-0.96705357513568135</v>
          </cell>
          <cell r="AQ32"/>
          <cell r="AR32">
            <v>33440226.760000005</v>
          </cell>
          <cell r="AS32">
            <v>38839262.839999974</v>
          </cell>
          <cell r="AT32">
            <v>356149417.11997879</v>
          </cell>
          <cell r="AU32">
            <v>5399036.0799999684</v>
          </cell>
          <cell r="AV32">
            <v>0.16145333339838763</v>
          </cell>
          <cell r="AW32">
            <v>-317310154.27997881</v>
          </cell>
          <cell r="AX32">
            <v>-0.89094671794193647</v>
          </cell>
          <cell r="AY32">
            <v>755133692.49980342</v>
          </cell>
          <cell r="AZ32">
            <v>5.1433624569744762E-2</v>
          </cell>
        </row>
        <row r="33">
          <cell r="B33">
            <v>39600</v>
          </cell>
          <cell r="C33">
            <v>39600</v>
          </cell>
          <cell r="D33" t="str">
            <v>TOTAL</v>
          </cell>
          <cell r="E33">
            <v>4.4323790729743848</v>
          </cell>
          <cell r="F33" t="str">
            <v>g</v>
          </cell>
          <cell r="G33" t="str">
            <v>c</v>
          </cell>
          <cell r="H33" t="str">
            <v>c</v>
          </cell>
          <cell r="I33" t="str">
            <v>c</v>
          </cell>
          <cell r="J33" t="str">
            <v>c</v>
          </cell>
          <cell r="K33">
            <v>3.5</v>
          </cell>
          <cell r="L33">
            <v>3</v>
          </cell>
          <cell r="M33">
            <v>2</v>
          </cell>
          <cell r="N33">
            <v>1</v>
          </cell>
          <cell r="O33">
            <v>3.2561444658687684</v>
          </cell>
          <cell r="P33" t="str">
            <v>c</v>
          </cell>
          <cell r="Q33" t="str">
            <v>g</v>
          </cell>
          <cell r="R33" t="str">
            <v>c</v>
          </cell>
          <cell r="S33" t="str">
            <v>c</v>
          </cell>
          <cell r="T33" t="str">
            <v>c</v>
          </cell>
          <cell r="U33">
            <v>3.5</v>
          </cell>
          <cell r="V33">
            <v>3</v>
          </cell>
          <cell r="W33">
            <v>2</v>
          </cell>
          <cell r="X33">
            <v>1</v>
          </cell>
          <cell r="Y33"/>
          <cell r="Z33">
            <v>39600</v>
          </cell>
          <cell r="AA33" t="str">
            <v>TOTAL</v>
          </cell>
          <cell r="AB33">
            <v>6137688.3300000057</v>
          </cell>
          <cell r="AC33">
            <v>7453639.4599999934</v>
          </cell>
          <cell r="AD33">
            <v>119144631.89195418</v>
          </cell>
          <cell r="AE33">
            <v>1315951.1299999878</v>
          </cell>
          <cell r="AF33">
            <v>0.21440501036324</v>
          </cell>
          <cell r="AG33">
            <v>-111690992.43195419</v>
          </cell>
          <cell r="AH33">
            <v>-0.93744040884058211</v>
          </cell>
          <cell r="AI33"/>
          <cell r="AJ33">
            <v>20699825.049999982</v>
          </cell>
          <cell r="AK33">
            <v>33037355.560000062</v>
          </cell>
          <cell r="AL33">
            <v>1409284.8702762909</v>
          </cell>
          <cell r="AM33">
            <v>12337530.51000008</v>
          </cell>
          <cell r="AN33">
            <v>-0.37344182973705464</v>
          </cell>
          <cell r="AO33">
            <v>31628070.689723771</v>
          </cell>
          <cell r="AP33">
            <v>-0.95734268538179912</v>
          </cell>
          <cell r="AQ33"/>
          <cell r="AR33">
            <v>39577915.090000011</v>
          </cell>
          <cell r="AS33">
            <v>46292902.299999967</v>
          </cell>
          <cell r="AT33">
            <v>475294049.01193297</v>
          </cell>
          <cell r="AU33">
            <v>6714987.2099999562</v>
          </cell>
          <cell r="AV33">
            <v>0.16966500622203329</v>
          </cell>
          <cell r="AW33">
            <v>-429001146.71193302</v>
          </cell>
          <cell r="AX33">
            <v>-0.90260155287818944</v>
          </cell>
          <cell r="AY33">
            <v>755133692.49980342</v>
          </cell>
          <cell r="AZ33">
            <v>6.1304246863560542E-2</v>
          </cell>
        </row>
        <row r="34">
          <cell r="B34">
            <v>39630</v>
          </cell>
          <cell r="C34">
            <v>39630</v>
          </cell>
          <cell r="D34" t="str">
            <v>TOTAL</v>
          </cell>
          <cell r="E34">
            <v>3.3018231832157894</v>
          </cell>
          <cell r="F34" t="str">
            <v>c</v>
          </cell>
          <cell r="G34" t="str">
            <v>g</v>
          </cell>
          <cell r="H34" t="str">
            <v>c</v>
          </cell>
          <cell r="I34" t="str">
            <v>c</v>
          </cell>
          <cell r="J34" t="str">
            <v>c</v>
          </cell>
          <cell r="K34">
            <v>3.5</v>
          </cell>
          <cell r="L34">
            <v>3</v>
          </cell>
          <cell r="M34">
            <v>2</v>
          </cell>
          <cell r="N34">
            <v>1</v>
          </cell>
          <cell r="O34">
            <v>3.3138815739094483</v>
          </cell>
          <cell r="P34" t="str">
            <v>c</v>
          </cell>
          <cell r="Q34" t="str">
            <v>g</v>
          </cell>
          <cell r="R34" t="str">
            <v>c</v>
          </cell>
          <cell r="S34" t="str">
            <v>c</v>
          </cell>
          <cell r="T34" t="str">
            <v>c</v>
          </cell>
          <cell r="U34">
            <v>3.5</v>
          </cell>
          <cell r="V34">
            <v>3</v>
          </cell>
          <cell r="W34">
            <v>2</v>
          </cell>
          <cell r="X34">
            <v>1</v>
          </cell>
          <cell r="Y34"/>
          <cell r="Z34">
            <v>39630</v>
          </cell>
          <cell r="AA34" t="str">
            <v>TOTAL</v>
          </cell>
          <cell r="AB34">
            <v>8175490.2699999958</v>
          </cell>
          <cell r="AC34">
            <v>9506739.0100000203</v>
          </cell>
          <cell r="AD34">
            <v>119559419.48398113</v>
          </cell>
          <cell r="AE34">
            <v>1331248.7400000244</v>
          </cell>
          <cell r="AF34">
            <v>0.16283411710304985</v>
          </cell>
          <cell r="AG34">
            <v>-110052680.47398111</v>
          </cell>
          <cell r="AH34">
            <v>-0.92048523611915201</v>
          </cell>
          <cell r="AI34"/>
          <cell r="AJ34">
            <v>21496295.849999964</v>
          </cell>
          <cell r="AK34">
            <v>31389571.25999999</v>
          </cell>
          <cell r="AL34">
            <v>1427178.8841134384</v>
          </cell>
          <cell r="AM34">
            <v>9893275.4100000262</v>
          </cell>
          <cell r="AN34">
            <v>-0.3151771436460209</v>
          </cell>
          <cell r="AO34">
            <v>29962392.375886552</v>
          </cell>
          <cell r="AP34">
            <v>-0.95453334254577393</v>
          </cell>
          <cell r="AQ34"/>
          <cell r="AR34">
            <v>47753405.360000007</v>
          </cell>
          <cell r="AS34">
            <v>55799641.309999987</v>
          </cell>
          <cell r="AT34">
            <v>594853468.4959141</v>
          </cell>
          <cell r="AU34">
            <v>8046235.9499999806</v>
          </cell>
          <cell r="AV34">
            <v>0.16849554266008004</v>
          </cell>
          <cell r="AW34">
            <v>-539053827.18591416</v>
          </cell>
          <cell r="AX34">
            <v>-0.90619598898685205</v>
          </cell>
          <cell r="AY34">
            <v>755133692.49980342</v>
          </cell>
          <cell r="AZ34">
            <v>7.3893724865169499E-2</v>
          </cell>
        </row>
        <row r="35">
          <cell r="B35">
            <v>39661</v>
          </cell>
          <cell r="C35">
            <v>39661</v>
          </cell>
          <cell r="D35" t="str">
            <v>TOTAL</v>
          </cell>
          <cell r="E35">
            <v>3.1067587447469429</v>
          </cell>
          <cell r="F35" t="str">
            <v>c</v>
          </cell>
          <cell r="G35" t="str">
            <v>g</v>
          </cell>
          <cell r="H35" t="str">
            <v>c</v>
          </cell>
          <cell r="I35" t="str">
            <v>c</v>
          </cell>
          <cell r="J35" t="str">
            <v>c</v>
          </cell>
          <cell r="K35">
            <v>3.5</v>
          </cell>
          <cell r="L35">
            <v>3</v>
          </cell>
          <cell r="M35">
            <v>2</v>
          </cell>
          <cell r="N35">
            <v>1</v>
          </cell>
          <cell r="O35">
            <v>3.3258867899550415</v>
          </cell>
          <cell r="P35" t="str">
            <v>c</v>
          </cell>
          <cell r="Q35" t="str">
            <v>g</v>
          </cell>
          <cell r="R35" t="str">
            <v>c</v>
          </cell>
          <cell r="S35" t="str">
            <v>c</v>
          </cell>
          <cell r="T35" t="str">
            <v>c</v>
          </cell>
          <cell r="U35">
            <v>3.5</v>
          </cell>
          <cell r="V35">
            <v>3</v>
          </cell>
          <cell r="W35">
            <v>2</v>
          </cell>
          <cell r="X35">
            <v>1</v>
          </cell>
          <cell r="Y35"/>
          <cell r="Z35">
            <v>39661</v>
          </cell>
          <cell r="AA35" t="str">
            <v>TOTAL</v>
          </cell>
          <cell r="AB35">
            <v>7502566.7000000104</v>
          </cell>
          <cell r="AC35">
            <v>9038872.1999999881</v>
          </cell>
          <cell r="AD35">
            <v>126986775.74752831</v>
          </cell>
          <cell r="AE35">
            <v>1536305.4999999776</v>
          </cell>
          <cell r="AF35">
            <v>0.20477065535451699</v>
          </cell>
          <cell r="AG35">
            <v>-117947903.54752833</v>
          </cell>
          <cell r="AH35">
            <v>-0.92882036616182118</v>
          </cell>
          <cell r="AI35"/>
          <cell r="AJ35">
            <v>21816236.300000012</v>
          </cell>
          <cell r="AK35">
            <v>28081595.25</v>
          </cell>
          <cell r="AL35">
            <v>1014669.8129578121</v>
          </cell>
          <cell r="AM35">
            <v>6265358.9499999881</v>
          </cell>
          <cell r="AN35">
            <v>-0.22311264350268667</v>
          </cell>
          <cell r="AO35">
            <v>27066925.437042188</v>
          </cell>
          <cell r="AP35">
            <v>-0.96386708789423881</v>
          </cell>
          <cell r="AQ35"/>
          <cell r="AR35">
            <v>55255972.060000017</v>
          </cell>
          <cell r="AS35">
            <v>64838513.509999976</v>
          </cell>
          <cell r="AT35">
            <v>721840244.24344242</v>
          </cell>
          <cell r="AU35">
            <v>9582541.4499999583</v>
          </cell>
          <cell r="AV35">
            <v>0.17342091891161915</v>
          </cell>
          <cell r="AW35">
            <v>-657001730.73344243</v>
          </cell>
          <cell r="AX35">
            <v>-0.91017608947814077</v>
          </cell>
          <cell r="AY35">
            <v>755133692.49980342</v>
          </cell>
          <cell r="AZ35">
            <v>8.5863621440804477E-2</v>
          </cell>
        </row>
        <row r="36">
          <cell r="B36">
            <v>39692</v>
          </cell>
          <cell r="C36">
            <v>39692</v>
          </cell>
          <cell r="D36" t="str">
            <v>TOTAL</v>
          </cell>
          <cell r="E36">
            <v>2.7621158034066924</v>
          </cell>
          <cell r="F36" t="str">
            <v>c</v>
          </cell>
          <cell r="G36" t="str">
            <v>c</v>
          </cell>
          <cell r="H36" t="str">
            <v>g</v>
          </cell>
          <cell r="I36" t="str">
            <v>c</v>
          </cell>
          <cell r="J36" t="str">
            <v>c</v>
          </cell>
          <cell r="K36">
            <v>3.5</v>
          </cell>
          <cell r="L36">
            <v>3</v>
          </cell>
          <cell r="M36">
            <v>2</v>
          </cell>
          <cell r="N36">
            <v>1</v>
          </cell>
          <cell r="O36">
            <v>3.3071907914495786</v>
          </cell>
          <cell r="P36" t="str">
            <v>c</v>
          </cell>
          <cell r="Q36" t="str">
            <v>g</v>
          </cell>
          <cell r="R36" t="str">
            <v>c</v>
          </cell>
          <cell r="S36" t="str">
            <v>c</v>
          </cell>
          <cell r="T36" t="str">
            <v>c</v>
          </cell>
          <cell r="U36">
            <v>3.5</v>
          </cell>
          <cell r="V36">
            <v>3</v>
          </cell>
          <cell r="W36">
            <v>2</v>
          </cell>
          <cell r="X36">
            <v>1</v>
          </cell>
          <cell r="Y36"/>
          <cell r="Z36">
            <v>39692</v>
          </cell>
          <cell r="AA36" t="str">
            <v>TOTAL</v>
          </cell>
          <cell r="AB36">
            <v>7254850.6799999997</v>
          </cell>
          <cell r="AC36">
            <v>9333503.8300000429</v>
          </cell>
          <cell r="AD36">
            <v>33293448.256361008</v>
          </cell>
          <cell r="AE36">
            <v>2078653.1500000432</v>
          </cell>
          <cell r="AF36">
            <v>0.28651908105158186</v>
          </cell>
          <cell r="AG36">
            <v>-23959944.426360965</v>
          </cell>
          <cell r="AH36">
            <v>-0.71965944295911743</v>
          </cell>
          <cell r="AI36"/>
          <cell r="AJ36">
            <v>20734362.579999983</v>
          </cell>
          <cell r="AK36">
            <v>25780218.430000007</v>
          </cell>
          <cell r="AL36">
            <v>0</v>
          </cell>
          <cell r="AM36">
            <v>5045855.8500000238</v>
          </cell>
          <cell r="AN36">
            <v>-0.19572587655534546</v>
          </cell>
          <cell r="AO36">
            <v>25780218.430000007</v>
          </cell>
          <cell r="AP36">
            <v>-1</v>
          </cell>
          <cell r="AQ36"/>
          <cell r="AR36">
            <v>62510822.740000017</v>
          </cell>
          <cell r="AS36">
            <v>74172017.340000018</v>
          </cell>
          <cell r="AT36">
            <v>755133692.49980342</v>
          </cell>
          <cell r="AU36">
            <v>11661194.600000001</v>
          </cell>
          <cell r="AV36">
            <v>0.18654681043796484</v>
          </cell>
          <cell r="AW36">
            <v>-680961675.15980339</v>
          </cell>
          <cell r="AX36">
            <v>-0.90177631050409091</v>
          </cell>
          <cell r="AY36">
            <v>755133692.49980342</v>
          </cell>
          <cell r="AZ36">
            <v>9.8223689495909136E-2</v>
          </cell>
        </row>
        <row r="37">
          <cell r="B37">
            <v>39722</v>
          </cell>
          <cell r="C37">
            <v>39722</v>
          </cell>
          <cell r="D37" t="str">
            <v>TOTAL</v>
          </cell>
          <cell r="E37">
            <v>2.8306290873744167</v>
          </cell>
          <cell r="F37" t="str">
            <v>c</v>
          </cell>
          <cell r="G37" t="str">
            <v>c</v>
          </cell>
          <cell r="H37" t="str">
            <v>g</v>
          </cell>
          <cell r="I37" t="str">
            <v>c</v>
          </cell>
          <cell r="J37" t="str">
            <v>c</v>
          </cell>
          <cell r="K37">
            <v>3.5</v>
          </cell>
          <cell r="L37">
            <v>3</v>
          </cell>
          <cell r="M37">
            <v>2</v>
          </cell>
          <cell r="N37">
            <v>1</v>
          </cell>
          <cell r="O37">
            <v>3.3355221413933465</v>
          </cell>
          <cell r="P37" t="str">
            <v>c</v>
          </cell>
          <cell r="Q37" t="str">
            <v>g</v>
          </cell>
          <cell r="R37" t="str">
            <v>c</v>
          </cell>
          <cell r="S37" t="str">
            <v>c</v>
          </cell>
          <cell r="T37" t="str">
            <v>c</v>
          </cell>
          <cell r="U37">
            <v>3.5</v>
          </cell>
          <cell r="V37">
            <v>3</v>
          </cell>
          <cell r="W37">
            <v>2</v>
          </cell>
          <cell r="X37">
            <v>1</v>
          </cell>
          <cell r="Y37"/>
          <cell r="Z37">
            <v>39722</v>
          </cell>
          <cell r="AA37" t="str">
            <v>TOTAL</v>
          </cell>
          <cell r="AB37">
            <v>8745696.2400000021</v>
          </cell>
          <cell r="AC37">
            <v>11655243.449999988</v>
          </cell>
          <cell r="AD37">
            <v>0</v>
          </cell>
          <cell r="AE37">
            <v>2909547.209999986</v>
          </cell>
          <cell r="AF37">
            <v>0.33268331418745745</v>
          </cell>
          <cell r="AG37">
            <v>11655243.449999988</v>
          </cell>
          <cell r="AH37" t="e">
            <v>#DIV/0!</v>
          </cell>
          <cell r="AI37"/>
          <cell r="AJ37">
            <v>20456845.099999994</v>
          </cell>
          <cell r="AK37">
            <v>32991671.130000114</v>
          </cell>
          <cell r="AL37">
            <v>0</v>
          </cell>
          <cell r="AM37">
            <v>12534826.03000012</v>
          </cell>
          <cell r="AN37">
            <v>-0.37993910586123369</v>
          </cell>
          <cell r="AO37">
            <v>32991671.130000114</v>
          </cell>
          <cell r="AP37">
            <v>-1</v>
          </cell>
          <cell r="AQ37"/>
          <cell r="AR37">
            <v>71256518.980000019</v>
          </cell>
          <cell r="AS37">
            <v>85827260.790000007</v>
          </cell>
          <cell r="AT37">
            <v>755133692.49980342</v>
          </cell>
          <cell r="AU37">
            <v>14570741.809999987</v>
          </cell>
          <cell r="AV37">
            <v>0.20448293038409071</v>
          </cell>
          <cell r="AW37">
            <v>-669306431.70980346</v>
          </cell>
          <cell r="AX37">
            <v>-0.88634163507408015</v>
          </cell>
          <cell r="AY37">
            <v>755133692.49980342</v>
          </cell>
          <cell r="AZ37">
            <v>0.11365836492591985</v>
          </cell>
        </row>
        <row r="38">
          <cell r="B38">
            <v>39753</v>
          </cell>
          <cell r="C38">
            <v>39753</v>
          </cell>
          <cell r="D38" t="str">
            <v>TOTAL</v>
          </cell>
          <cell r="E38">
            <v>3.6681687893715078</v>
          </cell>
          <cell r="F38" t="str">
            <v>g</v>
          </cell>
          <cell r="G38" t="str">
            <v>c</v>
          </cell>
          <cell r="H38" t="str">
            <v>c</v>
          </cell>
          <cell r="I38" t="str">
            <v>c</v>
          </cell>
          <cell r="J38" t="str">
            <v>c</v>
          </cell>
          <cell r="K38">
            <v>3.5</v>
          </cell>
          <cell r="L38">
            <v>3</v>
          </cell>
          <cell r="M38">
            <v>2</v>
          </cell>
          <cell r="N38">
            <v>1</v>
          </cell>
          <cell r="O38">
            <v>3.4695831891814608</v>
          </cell>
          <cell r="P38" t="str">
            <v>c</v>
          </cell>
          <cell r="Q38" t="str">
            <v>g</v>
          </cell>
          <cell r="R38" t="str">
            <v>c</v>
          </cell>
          <cell r="S38" t="str">
            <v>c</v>
          </cell>
          <cell r="T38" t="str">
            <v>c</v>
          </cell>
          <cell r="U38">
            <v>3.5</v>
          </cell>
          <cell r="V38">
            <v>3</v>
          </cell>
          <cell r="W38">
            <v>2</v>
          </cell>
          <cell r="X38">
            <v>1</v>
          </cell>
          <cell r="Y38"/>
          <cell r="Z38">
            <v>39753</v>
          </cell>
          <cell r="AA38" t="str">
            <v>TOTAL</v>
          </cell>
          <cell r="AB38">
            <v>9009973.3999999911</v>
          </cell>
          <cell r="AC38">
            <v>10702854</v>
          </cell>
          <cell r="AD38">
            <v>0</v>
          </cell>
          <cell r="AE38">
            <v>1692880.6000000089</v>
          </cell>
          <cell r="AF38">
            <v>0.18788963350324761</v>
          </cell>
          <cell r="AG38">
            <v>10702854</v>
          </cell>
          <cell r="AH38" t="e">
            <v>#DIV/0!</v>
          </cell>
          <cell r="AI38"/>
          <cell r="AJ38">
            <v>19605114.349999994</v>
          </cell>
          <cell r="AK38">
            <v>39259875</v>
          </cell>
          <cell r="AL38">
            <v>0</v>
          </cell>
          <cell r="AM38">
            <v>19654760.650000006</v>
          </cell>
          <cell r="AN38">
            <v>-0.50063227786639675</v>
          </cell>
          <cell r="AO38">
            <v>39259875</v>
          </cell>
          <cell r="AP38">
            <v>-1</v>
          </cell>
          <cell r="AQ38"/>
          <cell r="AR38">
            <v>80266492.38000001</v>
          </cell>
          <cell r="AS38">
            <v>96530114.790000007</v>
          </cell>
          <cell r="AT38">
            <v>755133692.49980342</v>
          </cell>
          <cell r="AU38">
            <v>16263622.409999996</v>
          </cell>
          <cell r="AV38">
            <v>0.20262032048197987</v>
          </cell>
          <cell r="AW38">
            <v>-658603577.70980346</v>
          </cell>
          <cell r="AX38">
            <v>-0.87216817929227131</v>
          </cell>
          <cell r="AY38">
            <v>755133692.49980342</v>
          </cell>
          <cell r="AZ38">
            <v>0.12783182070772869</v>
          </cell>
        </row>
        <row r="39">
          <cell r="B39">
            <v>39783</v>
          </cell>
          <cell r="C39">
            <v>39783</v>
          </cell>
          <cell r="D39" t="str">
            <v>TOTAL</v>
          </cell>
          <cell r="E39">
            <v>3.7929379367791447</v>
          </cell>
          <cell r="F39" t="str">
            <v>g</v>
          </cell>
          <cell r="G39" t="str">
            <v>c</v>
          </cell>
          <cell r="H39" t="str">
            <v>c</v>
          </cell>
          <cell r="I39" t="str">
            <v>c</v>
          </cell>
          <cell r="J39" t="str">
            <v>c</v>
          </cell>
          <cell r="K39">
            <v>3.5</v>
          </cell>
          <cell r="L39">
            <v>3</v>
          </cell>
          <cell r="M39">
            <v>2</v>
          </cell>
          <cell r="N39">
            <v>1</v>
          </cell>
          <cell r="O39">
            <v>3.5280966513273255</v>
          </cell>
          <cell r="P39" t="str">
            <v>g</v>
          </cell>
          <cell r="Q39" t="str">
            <v>c</v>
          </cell>
          <cell r="R39" t="str">
            <v>c</v>
          </cell>
          <cell r="S39" t="str">
            <v>c</v>
          </cell>
          <cell r="T39" t="str">
            <v>c</v>
          </cell>
          <cell r="U39">
            <v>3.5</v>
          </cell>
          <cell r="V39">
            <v>3</v>
          </cell>
          <cell r="W39">
            <v>2</v>
          </cell>
          <cell r="X39">
            <v>1</v>
          </cell>
          <cell r="Y39"/>
          <cell r="Z39">
            <v>39783</v>
          </cell>
          <cell r="AA39" t="str">
            <v>TOTAL</v>
          </cell>
          <cell r="AB39">
            <v>7960489.7299999893</v>
          </cell>
          <cell r="AC39">
            <v>9937199.0599999726</v>
          </cell>
          <cell r="AD39">
            <v>0</v>
          </cell>
          <cell r="AE39">
            <v>1976709.3299999833</v>
          </cell>
          <cell r="AF39">
            <v>0.24831504053708331</v>
          </cell>
          <cell r="AG39">
            <v>9937199.0599999726</v>
          </cell>
          <cell r="AH39" t="e">
            <v>#DIV/0!</v>
          </cell>
          <cell r="AI39"/>
          <cell r="AJ39">
            <v>24603050.700000018</v>
          </cell>
          <cell r="AK39">
            <v>37691179.299999952</v>
          </cell>
          <cell r="AL39">
            <v>0</v>
          </cell>
          <cell r="AM39">
            <v>13088128.599999934</v>
          </cell>
          <cell r="AN39">
            <v>-0.34724646039398266</v>
          </cell>
          <cell r="AO39">
            <v>37691179.299999952</v>
          </cell>
          <cell r="AP39">
            <v>-1</v>
          </cell>
          <cell r="AQ39"/>
          <cell r="AR39">
            <v>88226982.109999999</v>
          </cell>
          <cell r="AS39">
            <v>106467313.84999998</v>
          </cell>
          <cell r="AT39">
            <v>755133692.49980342</v>
          </cell>
          <cell r="AU39">
            <v>18240331.73999998</v>
          </cell>
          <cell r="AV39">
            <v>0.20674323550201712</v>
          </cell>
          <cell r="AW39">
            <v>-648666378.6498034</v>
          </cell>
          <cell r="AX39">
            <v>-0.85900865647042002</v>
          </cell>
          <cell r="AY39">
            <v>755133692.49980342</v>
          </cell>
          <cell r="AZ39">
            <v>0.14099134352957995</v>
          </cell>
        </row>
        <row r="40">
          <cell r="B40">
            <v>39814</v>
          </cell>
          <cell r="C40"/>
          <cell r="D40" t="str">
            <v>TOTAL</v>
          </cell>
          <cell r="E40" t="str">
            <v/>
          </cell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  <cell r="L40" t="str">
            <v/>
          </cell>
          <cell r="M40" t="str">
            <v/>
          </cell>
          <cell r="N40" t="str">
            <v/>
          </cell>
          <cell r="O40" t="str">
            <v/>
          </cell>
          <cell r="P40" t="str">
            <v/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  <cell r="W40" t="str">
            <v/>
          </cell>
          <cell r="X40" t="str">
            <v/>
          </cell>
          <cell r="Y40"/>
          <cell r="Z40">
            <v>39814</v>
          </cell>
          <cell r="AA40" t="str">
            <v>TOTAL</v>
          </cell>
          <cell r="AB40">
            <v>8582239.8299999982</v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/>
          <cell r="AJ40">
            <v>29396874.5</v>
          </cell>
          <cell r="AK40" t="str">
            <v/>
          </cell>
          <cell r="AL40" t="str">
            <v/>
          </cell>
          <cell r="AM40" t="str">
            <v/>
          </cell>
          <cell r="AN40" t="str">
            <v/>
          </cell>
          <cell r="AO40" t="str">
            <v/>
          </cell>
          <cell r="AP40" t="str">
            <v/>
          </cell>
          <cell r="AQ40"/>
          <cell r="AR40">
            <v>8582239.8299999982</v>
          </cell>
          <cell r="AS40" t="str">
            <v/>
          </cell>
          <cell r="AT40" t="str">
            <v/>
          </cell>
          <cell r="AU40" t="str">
            <v/>
          </cell>
          <cell r="AV40" t="str">
            <v/>
          </cell>
          <cell r="AW40" t="str">
            <v/>
          </cell>
          <cell r="AX40" t="str">
            <v/>
          </cell>
          <cell r="AY40">
            <v>0</v>
          </cell>
          <cell r="AZ40" t="str">
            <v/>
          </cell>
        </row>
        <row r="41">
          <cell r="B41">
            <v>39845</v>
          </cell>
          <cell r="C41"/>
          <cell r="D41" t="str">
            <v>TOTAL</v>
          </cell>
          <cell r="E41" t="str">
            <v/>
          </cell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  <cell r="J41" t="str">
            <v/>
          </cell>
          <cell r="K41" t="str">
            <v/>
          </cell>
          <cell r="L41" t="str">
            <v/>
          </cell>
          <cell r="M41" t="str">
            <v/>
          </cell>
          <cell r="N41" t="str">
            <v/>
          </cell>
          <cell r="O41" t="str">
            <v/>
          </cell>
          <cell r="P41" t="str">
            <v/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 t="str">
            <v/>
          </cell>
          <cell r="V41" t="str">
            <v/>
          </cell>
          <cell r="W41" t="str">
            <v/>
          </cell>
          <cell r="X41" t="str">
            <v/>
          </cell>
          <cell r="Y41"/>
          <cell r="Z41">
            <v>39845</v>
          </cell>
          <cell r="AA41" t="str">
            <v>TOTAL</v>
          </cell>
          <cell r="AB41">
            <v>7257067.5799999982</v>
          </cell>
          <cell r="AC41" t="str">
            <v/>
          </cell>
          <cell r="AD41" t="str">
            <v/>
          </cell>
          <cell r="AE41" t="str">
            <v/>
          </cell>
          <cell r="AF41" t="str">
            <v/>
          </cell>
          <cell r="AG41" t="str">
            <v/>
          </cell>
          <cell r="AH41" t="str">
            <v/>
          </cell>
          <cell r="AI41"/>
          <cell r="AJ41">
            <v>27931369.570000052</v>
          </cell>
          <cell r="AK41" t="str">
            <v/>
          </cell>
          <cell r="AL41" t="str">
            <v/>
          </cell>
          <cell r="AM41" t="str">
            <v/>
          </cell>
          <cell r="AN41" t="str">
            <v/>
          </cell>
          <cell r="AO41" t="str">
            <v/>
          </cell>
          <cell r="AP41" t="str">
            <v/>
          </cell>
          <cell r="AQ41"/>
          <cell r="AR41">
            <v>15839307.409999996</v>
          </cell>
          <cell r="AS41" t="str">
            <v/>
          </cell>
          <cell r="AT41" t="str">
            <v/>
          </cell>
          <cell r="AU41" t="str">
            <v/>
          </cell>
          <cell r="AV41" t="str">
            <v/>
          </cell>
          <cell r="AW41" t="str">
            <v/>
          </cell>
          <cell r="AX41" t="str">
            <v/>
          </cell>
          <cell r="AY41">
            <v>0</v>
          </cell>
          <cell r="AZ41"/>
        </row>
        <row r="42">
          <cell r="B42">
            <v>39873</v>
          </cell>
          <cell r="C42"/>
          <cell r="D42" t="str">
            <v>TOTAL</v>
          </cell>
          <cell r="E42" t="str">
            <v/>
          </cell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  <cell r="J42" t="str">
            <v/>
          </cell>
          <cell r="K42" t="str">
            <v/>
          </cell>
          <cell r="L42" t="str">
            <v/>
          </cell>
          <cell r="M42" t="str">
            <v/>
          </cell>
          <cell r="N42" t="str">
            <v/>
          </cell>
          <cell r="O42" t="str">
            <v/>
          </cell>
          <cell r="P42" t="str">
            <v/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 t="str">
            <v/>
          </cell>
          <cell r="V42" t="str">
            <v/>
          </cell>
          <cell r="W42" t="str">
            <v/>
          </cell>
          <cell r="X42" t="str">
            <v/>
          </cell>
          <cell r="Y42"/>
          <cell r="Z42">
            <v>39873</v>
          </cell>
          <cell r="AA42" t="str">
            <v>TOTAL</v>
          </cell>
          <cell r="AB42">
            <v>6945154.2100000083</v>
          </cell>
          <cell r="AC42" t="str">
            <v/>
          </cell>
          <cell r="AD42" t="str">
            <v/>
          </cell>
          <cell r="AE42" t="str">
            <v/>
          </cell>
          <cell r="AF42" t="str">
            <v/>
          </cell>
          <cell r="AG42" t="str">
            <v/>
          </cell>
          <cell r="AH42" t="str">
            <v/>
          </cell>
          <cell r="AI42"/>
          <cell r="AJ42">
            <v>25886285.580000103</v>
          </cell>
          <cell r="AK42" t="str">
            <v/>
          </cell>
          <cell r="AL42" t="str">
            <v/>
          </cell>
          <cell r="AM42" t="str">
            <v/>
          </cell>
          <cell r="AN42" t="str">
            <v/>
          </cell>
          <cell r="AO42" t="str">
            <v/>
          </cell>
          <cell r="AP42" t="str">
            <v/>
          </cell>
          <cell r="AQ42"/>
          <cell r="AR42">
            <v>22784461.620000005</v>
          </cell>
          <cell r="AS42" t="str">
            <v/>
          </cell>
          <cell r="AT42" t="str">
            <v/>
          </cell>
          <cell r="AU42" t="str">
            <v/>
          </cell>
          <cell r="AV42" t="str">
            <v/>
          </cell>
          <cell r="AW42" t="str">
            <v/>
          </cell>
          <cell r="AX42" t="str">
            <v/>
          </cell>
          <cell r="AY42">
            <v>0</v>
          </cell>
          <cell r="AZ42"/>
        </row>
        <row r="43">
          <cell r="B43">
            <v>39904</v>
          </cell>
          <cell r="C43"/>
          <cell r="D43" t="str">
            <v>TOTAL</v>
          </cell>
          <cell r="E43" t="str">
            <v/>
          </cell>
          <cell r="F43" t="str">
            <v/>
          </cell>
          <cell r="G43"/>
          <cell r="H43"/>
          <cell r="I43" t="str">
            <v/>
          </cell>
          <cell r="J43" t="str">
            <v/>
          </cell>
          <cell r="K43" t="str">
            <v/>
          </cell>
          <cell r="L43" t="str">
            <v/>
          </cell>
          <cell r="M43" t="str">
            <v/>
          </cell>
          <cell r="N43" t="str">
            <v/>
          </cell>
          <cell r="O43" t="str">
            <v/>
          </cell>
          <cell r="P43" t="str">
            <v/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 t="str">
            <v/>
          </cell>
          <cell r="V43" t="str">
            <v/>
          </cell>
          <cell r="W43" t="str">
            <v/>
          </cell>
          <cell r="X43" t="str">
            <v/>
          </cell>
          <cell r="Y43"/>
          <cell r="Z43">
            <v>39904</v>
          </cell>
          <cell r="AA43" t="str">
            <v>TOTAL</v>
          </cell>
          <cell r="AB43">
            <v>8932933.8399999738</v>
          </cell>
          <cell r="AC43" t="str">
            <v/>
          </cell>
          <cell r="AD43" t="str">
            <v/>
          </cell>
          <cell r="AE43" t="str">
            <v/>
          </cell>
          <cell r="AF43" t="str">
            <v/>
          </cell>
          <cell r="AG43" t="str">
            <v/>
          </cell>
          <cell r="AH43" t="str">
            <v/>
          </cell>
          <cell r="AI43"/>
          <cell r="AJ43">
            <v>29827978.690000057</v>
          </cell>
          <cell r="AK43" t="str">
            <v/>
          </cell>
          <cell r="AL43" t="str">
            <v/>
          </cell>
          <cell r="AM43" t="str">
            <v/>
          </cell>
          <cell r="AN43" t="str">
            <v/>
          </cell>
          <cell r="AO43" t="str">
            <v/>
          </cell>
          <cell r="AP43" t="str">
            <v/>
          </cell>
          <cell r="AQ43"/>
          <cell r="AR43">
            <v>31717395.459999979</v>
          </cell>
          <cell r="AS43" t="str">
            <v/>
          </cell>
          <cell r="AT43" t="str">
            <v/>
          </cell>
          <cell r="AU43" t="str">
            <v/>
          </cell>
          <cell r="AV43" t="str">
            <v/>
          </cell>
          <cell r="AW43" t="str">
            <v/>
          </cell>
          <cell r="AX43" t="str">
            <v/>
          </cell>
          <cell r="AY43">
            <v>0</v>
          </cell>
          <cell r="AZ43"/>
        </row>
        <row r="44">
          <cell r="B44">
            <v>39934</v>
          </cell>
          <cell r="C44"/>
          <cell r="D44" t="str">
            <v>TOTAL</v>
          </cell>
          <cell r="E44" t="str">
            <v/>
          </cell>
          <cell r="F44" t="str">
            <v/>
          </cell>
          <cell r="G44"/>
          <cell r="H44"/>
          <cell r="I44" t="str">
            <v/>
          </cell>
          <cell r="J44" t="str">
            <v/>
          </cell>
          <cell r="K44" t="str">
            <v/>
          </cell>
          <cell r="L44" t="str">
            <v/>
          </cell>
          <cell r="M44" t="str">
            <v/>
          </cell>
          <cell r="N44" t="str">
            <v/>
          </cell>
          <cell r="O44" t="str">
            <v/>
          </cell>
          <cell r="P44" t="str">
            <v/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/>
          <cell r="Z44">
            <v>39934</v>
          </cell>
          <cell r="AA44" t="str">
            <v>TOTAL</v>
          </cell>
          <cell r="AB44">
            <v>7121867.3799999952</v>
          </cell>
          <cell r="AC44" t="str">
            <v/>
          </cell>
          <cell r="AD44" t="str">
            <v/>
          </cell>
          <cell r="AE44" t="str">
            <v/>
          </cell>
          <cell r="AF44" t="str">
            <v/>
          </cell>
          <cell r="AG44" t="str">
            <v/>
          </cell>
          <cell r="AH44" t="str">
            <v/>
          </cell>
          <cell r="AI44"/>
          <cell r="AJ44">
            <v>34352999.199999988</v>
          </cell>
          <cell r="AK44" t="str">
            <v/>
          </cell>
          <cell r="AL44" t="str">
            <v/>
          </cell>
          <cell r="AM44" t="str">
            <v/>
          </cell>
          <cell r="AN44" t="str">
            <v/>
          </cell>
          <cell r="AO44" t="str">
            <v/>
          </cell>
          <cell r="AP44" t="str">
            <v/>
          </cell>
          <cell r="AQ44"/>
          <cell r="AR44">
            <v>38839262.839999974</v>
          </cell>
          <cell r="AS44" t="str">
            <v/>
          </cell>
          <cell r="AT44" t="str">
            <v/>
          </cell>
          <cell r="AU44" t="str">
            <v/>
          </cell>
          <cell r="AV44" t="str">
            <v/>
          </cell>
          <cell r="AW44" t="str">
            <v/>
          </cell>
          <cell r="AX44" t="str">
            <v/>
          </cell>
          <cell r="AY44">
            <v>0</v>
          </cell>
          <cell r="AZ44"/>
        </row>
        <row r="45">
          <cell r="B45">
            <v>39965</v>
          </cell>
          <cell r="C45"/>
          <cell r="D45" t="str">
            <v>TOTAL</v>
          </cell>
          <cell r="E45" t="str">
            <v/>
          </cell>
          <cell r="F45" t="str">
            <v/>
          </cell>
          <cell r="G45"/>
          <cell r="H45"/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  <cell r="M45" t="str">
            <v/>
          </cell>
          <cell r="N45" t="str">
            <v/>
          </cell>
          <cell r="O45" t="str">
            <v/>
          </cell>
          <cell r="P45" t="str">
            <v/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 t="str">
            <v/>
          </cell>
          <cell r="V45" t="str">
            <v/>
          </cell>
          <cell r="W45" t="str">
            <v/>
          </cell>
          <cell r="X45" t="str">
            <v/>
          </cell>
          <cell r="Y45"/>
          <cell r="Z45">
            <v>39965</v>
          </cell>
          <cell r="AA45" t="str">
            <v>TOTAL</v>
          </cell>
          <cell r="AB45">
            <v>7453639.4599999934</v>
          </cell>
          <cell r="AC45" t="str">
            <v/>
          </cell>
          <cell r="AD45" t="str">
            <v/>
          </cell>
          <cell r="AE45" t="str">
            <v/>
          </cell>
          <cell r="AF45" t="str">
            <v/>
          </cell>
          <cell r="AG45" t="str">
            <v/>
          </cell>
          <cell r="AH45" t="str">
            <v/>
          </cell>
          <cell r="AI45"/>
          <cell r="AJ45">
            <v>33037355.560000062</v>
          </cell>
          <cell r="AK45" t="str">
            <v/>
          </cell>
          <cell r="AL45" t="str">
            <v/>
          </cell>
          <cell r="AM45" t="str">
            <v/>
          </cell>
          <cell r="AN45" t="str">
            <v/>
          </cell>
          <cell r="AO45" t="str">
            <v/>
          </cell>
          <cell r="AP45" t="str">
            <v/>
          </cell>
          <cell r="AQ45"/>
          <cell r="AR45">
            <v>46292902.299999967</v>
          </cell>
          <cell r="AS45" t="str">
            <v/>
          </cell>
          <cell r="AT45" t="str">
            <v/>
          </cell>
          <cell r="AU45" t="str">
            <v/>
          </cell>
          <cell r="AV45" t="str">
            <v/>
          </cell>
          <cell r="AW45" t="str">
            <v/>
          </cell>
          <cell r="AX45" t="str">
            <v/>
          </cell>
          <cell r="AY45">
            <v>0</v>
          </cell>
          <cell r="AZ45"/>
        </row>
        <row r="46">
          <cell r="B46">
            <v>39995</v>
          </cell>
          <cell r="C46"/>
          <cell r="D46" t="str">
            <v>TOTAL</v>
          </cell>
          <cell r="E46" t="str">
            <v/>
          </cell>
          <cell r="F46" t="str">
            <v/>
          </cell>
          <cell r="G46"/>
          <cell r="H46"/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  <cell r="M46" t="str">
            <v/>
          </cell>
          <cell r="N46" t="str">
            <v/>
          </cell>
          <cell r="O46" t="str">
            <v/>
          </cell>
          <cell r="P46" t="str">
            <v/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 t="str">
            <v/>
          </cell>
          <cell r="V46" t="str">
            <v/>
          </cell>
          <cell r="W46" t="str">
            <v/>
          </cell>
          <cell r="X46" t="str">
            <v/>
          </cell>
          <cell r="Y46"/>
          <cell r="Z46">
            <v>39995</v>
          </cell>
          <cell r="AA46" t="str">
            <v>TOTAL</v>
          </cell>
          <cell r="AB46">
            <v>9506739.0100000203</v>
          </cell>
          <cell r="AC46" t="str">
            <v/>
          </cell>
          <cell r="AD46" t="str">
            <v/>
          </cell>
          <cell r="AE46" t="str">
            <v/>
          </cell>
          <cell r="AF46" t="str">
            <v/>
          </cell>
          <cell r="AG46" t="str">
            <v/>
          </cell>
          <cell r="AH46" t="str">
            <v/>
          </cell>
          <cell r="AI46"/>
          <cell r="AJ46">
            <v>31389571.25999999</v>
          </cell>
          <cell r="AK46" t="str">
            <v/>
          </cell>
          <cell r="AL46" t="str">
            <v/>
          </cell>
          <cell r="AM46" t="str">
            <v/>
          </cell>
          <cell r="AN46" t="str">
            <v/>
          </cell>
          <cell r="AO46" t="str">
            <v/>
          </cell>
          <cell r="AP46" t="str">
            <v/>
          </cell>
          <cell r="AQ46"/>
          <cell r="AR46">
            <v>55799641.309999987</v>
          </cell>
          <cell r="AS46" t="str">
            <v/>
          </cell>
          <cell r="AT46" t="str">
            <v/>
          </cell>
          <cell r="AU46" t="str">
            <v/>
          </cell>
          <cell r="AV46" t="str">
            <v/>
          </cell>
          <cell r="AW46" t="str">
            <v/>
          </cell>
          <cell r="AX46" t="str">
            <v/>
          </cell>
          <cell r="AY46">
            <v>0</v>
          </cell>
          <cell r="AZ46"/>
        </row>
        <row r="47">
          <cell r="Z47">
            <v>40026</v>
          </cell>
          <cell r="AA47" t="str">
            <v>TOTAL</v>
          </cell>
          <cell r="AB47">
            <v>9038872.1999999881</v>
          </cell>
          <cell r="AC47" t="str">
            <v/>
          </cell>
          <cell r="AD47" t="str">
            <v/>
          </cell>
          <cell r="AE47" t="str">
            <v/>
          </cell>
          <cell r="AF47" t="str">
            <v/>
          </cell>
          <cell r="AG47" t="str">
            <v/>
          </cell>
          <cell r="AH47" t="str">
            <v/>
          </cell>
          <cell r="AI47"/>
          <cell r="AJ47">
            <v>28081595.25</v>
          </cell>
          <cell r="AK47" t="str">
            <v/>
          </cell>
          <cell r="AL47" t="str">
            <v/>
          </cell>
          <cell r="AM47" t="str">
            <v/>
          </cell>
          <cell r="AN47" t="str">
            <v/>
          </cell>
          <cell r="AO47" t="str">
            <v/>
          </cell>
          <cell r="AP47" t="str">
            <v/>
          </cell>
          <cell r="AQ47"/>
          <cell r="AR47">
            <v>64838513.509999976</v>
          </cell>
          <cell r="AS47" t="str">
            <v/>
          </cell>
          <cell r="AT47" t="str">
            <v/>
          </cell>
          <cell r="AU47" t="str">
            <v/>
          </cell>
          <cell r="AV47" t="str">
            <v/>
          </cell>
          <cell r="AW47" t="str">
            <v/>
          </cell>
          <cell r="AX47" t="str">
            <v/>
          </cell>
          <cell r="AY47">
            <v>0</v>
          </cell>
          <cell r="AZ47"/>
        </row>
        <row r="48">
          <cell r="Z48">
            <v>40057</v>
          </cell>
          <cell r="AA48" t="str">
            <v>TOTAL</v>
          </cell>
          <cell r="AB48">
            <v>9333503.8300000429</v>
          </cell>
          <cell r="AC48" t="str">
            <v/>
          </cell>
          <cell r="AD48" t="str">
            <v/>
          </cell>
          <cell r="AE48" t="str">
            <v/>
          </cell>
          <cell r="AF48" t="str">
            <v/>
          </cell>
          <cell r="AG48" t="str">
            <v/>
          </cell>
          <cell r="AH48" t="str">
            <v/>
          </cell>
          <cell r="AI48"/>
          <cell r="AJ48">
            <v>25780218.430000007</v>
          </cell>
          <cell r="AK48" t="str">
            <v/>
          </cell>
          <cell r="AL48" t="str">
            <v/>
          </cell>
          <cell r="AM48" t="str">
            <v/>
          </cell>
          <cell r="AN48" t="str">
            <v/>
          </cell>
          <cell r="AO48" t="str">
            <v/>
          </cell>
          <cell r="AP48" t="str">
            <v/>
          </cell>
          <cell r="AQ48"/>
          <cell r="AR48">
            <v>74172017.340000018</v>
          </cell>
          <cell r="AS48" t="str">
            <v/>
          </cell>
          <cell r="AT48" t="str">
            <v/>
          </cell>
          <cell r="AU48" t="str">
            <v/>
          </cell>
          <cell r="AV48" t="str">
            <v/>
          </cell>
          <cell r="AW48" t="str">
            <v/>
          </cell>
          <cell r="AX48" t="str">
            <v/>
          </cell>
          <cell r="AY48">
            <v>0</v>
          </cell>
          <cell r="AZ48"/>
        </row>
        <row r="49">
          <cell r="Z49">
            <v>40087</v>
          </cell>
          <cell r="AA49" t="str">
            <v>TOTAL</v>
          </cell>
          <cell r="AB49">
            <v>11655243.449999988</v>
          </cell>
          <cell r="AC49" t="str">
            <v/>
          </cell>
          <cell r="AD49" t="str">
            <v/>
          </cell>
          <cell r="AE49" t="str">
            <v/>
          </cell>
          <cell r="AF49" t="str">
            <v/>
          </cell>
          <cell r="AG49" t="str">
            <v/>
          </cell>
          <cell r="AH49" t="str">
            <v/>
          </cell>
          <cell r="AI49"/>
          <cell r="AJ49">
            <v>32991671.130000114</v>
          </cell>
          <cell r="AK49" t="str">
            <v/>
          </cell>
          <cell r="AL49" t="str">
            <v/>
          </cell>
          <cell r="AM49" t="str">
            <v/>
          </cell>
          <cell r="AN49" t="str">
            <v/>
          </cell>
          <cell r="AO49" t="str">
            <v/>
          </cell>
          <cell r="AP49" t="str">
            <v/>
          </cell>
          <cell r="AQ49"/>
          <cell r="AR49">
            <v>85827260.790000007</v>
          </cell>
          <cell r="AS49" t="str">
            <v/>
          </cell>
          <cell r="AT49" t="str">
            <v/>
          </cell>
          <cell r="AU49" t="str">
            <v/>
          </cell>
          <cell r="AV49" t="str">
            <v/>
          </cell>
          <cell r="AW49" t="str">
            <v/>
          </cell>
          <cell r="AX49" t="str">
            <v/>
          </cell>
          <cell r="AY49">
            <v>0</v>
          </cell>
          <cell r="AZ49"/>
        </row>
        <row r="50"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  <cell r="AL50"/>
          <cell r="AM50"/>
          <cell r="AN50"/>
          <cell r="AO50"/>
          <cell r="AP50"/>
          <cell r="AQ50"/>
          <cell r="AR50"/>
          <cell r="AS50" t="str">
            <v/>
          </cell>
          <cell r="AT50" t="str">
            <v/>
          </cell>
          <cell r="AU50"/>
          <cell r="AV50"/>
          <cell r="AW50"/>
          <cell r="AX50"/>
          <cell r="AY50">
            <v>0</v>
          </cell>
          <cell r="AZ50"/>
        </row>
        <row r="51"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/>
          <cell r="AQ51"/>
          <cell r="AR51"/>
          <cell r="AS51" t="str">
            <v/>
          </cell>
          <cell r="AT51" t="str">
            <v/>
          </cell>
          <cell r="AU51"/>
          <cell r="AV51"/>
          <cell r="AW51"/>
          <cell r="AX51"/>
          <cell r="AY51">
            <v>0</v>
          </cell>
          <cell r="AZ51"/>
        </row>
        <row r="52"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/>
          <cell r="AM52"/>
          <cell r="AN52"/>
          <cell r="AO52"/>
          <cell r="AP52"/>
          <cell r="AQ52"/>
          <cell r="AR52"/>
          <cell r="AS52" t="str">
            <v/>
          </cell>
          <cell r="AT52" t="str">
            <v/>
          </cell>
          <cell r="AU52"/>
          <cell r="AV52"/>
          <cell r="AW52"/>
          <cell r="AX52"/>
          <cell r="AY52"/>
          <cell r="AZ52"/>
        </row>
      </sheetData>
      <sheetData sheetId="49"/>
      <sheetData sheetId="50">
        <row r="13">
          <cell r="B13"/>
          <cell r="C13"/>
          <cell r="D13"/>
          <cell r="E13" t="str">
            <v>Mensual</v>
          </cell>
          <cell r="F13"/>
          <cell r="G13"/>
          <cell r="H13"/>
          <cell r="I13"/>
          <cell r="J13"/>
          <cell r="K13" t="str">
            <v>Acumulado</v>
          </cell>
          <cell r="L13"/>
          <cell r="M13"/>
          <cell r="N13"/>
          <cell r="O13"/>
          <cell r="P13"/>
          <cell r="Q13"/>
          <cell r="R13" t="str">
            <v>Mes</v>
          </cell>
          <cell r="S13"/>
          <cell r="T13"/>
          <cell r="U13"/>
          <cell r="V13"/>
        </row>
        <row r="14">
          <cell r="B14"/>
          <cell r="C14"/>
          <cell r="D14"/>
          <cell r="E14" t="str">
            <v>%</v>
          </cell>
          <cell r="F14" t="str">
            <v>% uso de capacidad instalada</v>
          </cell>
          <cell r="G14"/>
          <cell r="H14"/>
          <cell r="I14"/>
          <cell r="J14"/>
          <cell r="K14" t="str">
            <v>%</v>
          </cell>
          <cell r="L14" t="str">
            <v>% uso de capacidad instalada</v>
          </cell>
          <cell r="M14"/>
          <cell r="N14"/>
          <cell r="O14"/>
          <cell r="P14"/>
          <cell r="Q14"/>
          <cell r="R14"/>
          <cell r="S14"/>
          <cell r="T14" t="str">
            <v>% uso de capacidad instalada</v>
          </cell>
          <cell r="U14"/>
          <cell r="V14"/>
        </row>
        <row r="15">
          <cell r="B15"/>
          <cell r="C15" t="str">
            <v>Fecha</v>
          </cell>
          <cell r="D15" t="str">
            <v>TIPO2</v>
          </cell>
          <cell r="E15"/>
          <cell r="F15" t="str">
            <v>Performance</v>
          </cell>
          <cell r="G15"/>
          <cell r="H15"/>
          <cell r="I15" t="str">
            <v>Sup</v>
          </cell>
          <cell r="J15" t="str">
            <v>Inf</v>
          </cell>
          <cell r="K15"/>
          <cell r="L15" t="str">
            <v>Performance</v>
          </cell>
          <cell r="M15"/>
          <cell r="N15"/>
          <cell r="O15" t="str">
            <v>Sup</v>
          </cell>
          <cell r="P15" t="str">
            <v>Inf</v>
          </cell>
          <cell r="Q15"/>
          <cell r="R15" t="str">
            <v>Fecha</v>
          </cell>
          <cell r="S15" t="str">
            <v>TIPO2</v>
          </cell>
          <cell r="T15" t="str">
            <v>Anteriores</v>
          </cell>
          <cell r="U15" t="str">
            <v>Real</v>
          </cell>
          <cell r="V15" t="str">
            <v>Programado</v>
          </cell>
        </row>
        <row r="16">
          <cell r="B16">
            <v>39083</v>
          </cell>
          <cell r="C16">
            <v>39083</v>
          </cell>
          <cell r="D16" t="str">
            <v>TOTAL</v>
          </cell>
          <cell r="E16">
            <v>0</v>
          </cell>
          <cell r="F16" t="str">
            <v>c</v>
          </cell>
          <cell r="G16" t="str">
            <v>c</v>
          </cell>
          <cell r="H16" t="str">
            <v>g</v>
          </cell>
          <cell r="I16">
            <v>0.9</v>
          </cell>
          <cell r="J16">
            <v>0.75</v>
          </cell>
          <cell r="K16">
            <v>0</v>
          </cell>
          <cell r="L16" t="str">
            <v>c</v>
          </cell>
          <cell r="M16" t="str">
            <v>c</v>
          </cell>
          <cell r="N16" t="str">
            <v>g</v>
          </cell>
          <cell r="O16">
            <v>0.9</v>
          </cell>
          <cell r="P16">
            <v>0.75</v>
          </cell>
          <cell r="Q16"/>
          <cell r="R16">
            <v>39083</v>
          </cell>
          <cell r="S16" t="str">
            <v>TOTAL</v>
          </cell>
          <cell r="T16"/>
          <cell r="U16"/>
          <cell r="V16">
            <v>0</v>
          </cell>
          <cell r="W16" t="str">
            <v/>
          </cell>
          <cell r="X16"/>
          <cell r="Y16">
            <v>0</v>
          </cell>
          <cell r="Z16"/>
          <cell r="AA16"/>
          <cell r="AB16"/>
          <cell r="AC16">
            <v>0</v>
          </cell>
          <cell r="AD16">
            <v>16000</v>
          </cell>
          <cell r="AE16">
            <v>0</v>
          </cell>
          <cell r="AF16" t="e">
            <v>#DIV/0!</v>
          </cell>
          <cell r="AG16">
            <v>-16000</v>
          </cell>
          <cell r="AH16" t="e">
            <v>#DIV/0!</v>
          </cell>
          <cell r="AI16"/>
          <cell r="AJ16"/>
          <cell r="AK16"/>
          <cell r="AL16">
            <v>0</v>
          </cell>
          <cell r="AM16" t="str">
            <v/>
          </cell>
          <cell r="AN16"/>
          <cell r="AO16">
            <v>0</v>
          </cell>
          <cell r="AP16"/>
          <cell r="AQ16">
            <v>0</v>
          </cell>
          <cell r="AR16"/>
        </row>
        <row r="17">
          <cell r="B17">
            <v>39114</v>
          </cell>
          <cell r="C17">
            <v>39114</v>
          </cell>
          <cell r="D17" t="str">
            <v>TOTAL</v>
          </cell>
          <cell r="E17">
            <v>0</v>
          </cell>
          <cell r="F17" t="str">
            <v>c</v>
          </cell>
          <cell r="G17" t="str">
            <v>c</v>
          </cell>
          <cell r="H17" t="str">
            <v>g</v>
          </cell>
          <cell r="I17">
            <v>0.9</v>
          </cell>
          <cell r="J17">
            <v>0.75</v>
          </cell>
          <cell r="K17">
            <v>0</v>
          </cell>
          <cell r="L17" t="str">
            <v>c</v>
          </cell>
          <cell r="M17" t="str">
            <v>c</v>
          </cell>
          <cell r="N17" t="str">
            <v>g</v>
          </cell>
          <cell r="O17">
            <v>0.9</v>
          </cell>
          <cell r="P17">
            <v>0.75</v>
          </cell>
          <cell r="Q17"/>
          <cell r="R17">
            <v>39114</v>
          </cell>
          <cell r="S17" t="str">
            <v>TOTAL</v>
          </cell>
          <cell r="T17"/>
          <cell r="U17"/>
          <cell r="V17">
            <v>0</v>
          </cell>
          <cell r="W17" t="str">
            <v/>
          </cell>
          <cell r="X17"/>
          <cell r="Y17">
            <v>0</v>
          </cell>
          <cell r="Z17"/>
          <cell r="AA17"/>
          <cell r="AB17"/>
          <cell r="AC17">
            <v>0</v>
          </cell>
          <cell r="AD17">
            <v>16000</v>
          </cell>
          <cell r="AE17">
            <v>0</v>
          </cell>
          <cell r="AF17" t="e">
            <v>#DIV/0!</v>
          </cell>
          <cell r="AG17">
            <v>-16000</v>
          </cell>
          <cell r="AH17" t="e">
            <v>#DIV/0!</v>
          </cell>
          <cell r="AI17"/>
          <cell r="AJ17"/>
          <cell r="AK17"/>
          <cell r="AL17">
            <v>0</v>
          </cell>
          <cell r="AM17" t="str">
            <v/>
          </cell>
          <cell r="AN17"/>
          <cell r="AO17">
            <v>0</v>
          </cell>
          <cell r="AP17"/>
          <cell r="AQ17">
            <v>0</v>
          </cell>
          <cell r="AR17"/>
        </row>
        <row r="18">
          <cell r="B18">
            <v>39142</v>
          </cell>
          <cell r="C18">
            <v>39142</v>
          </cell>
          <cell r="D18" t="str">
            <v>TOTAL</v>
          </cell>
          <cell r="E18">
            <v>0</v>
          </cell>
          <cell r="F18" t="str">
            <v>c</v>
          </cell>
          <cell r="G18" t="str">
            <v>c</v>
          </cell>
          <cell r="H18" t="str">
            <v>g</v>
          </cell>
          <cell r="I18">
            <v>0.9</v>
          </cell>
          <cell r="J18">
            <v>0.75</v>
          </cell>
          <cell r="K18">
            <v>0</v>
          </cell>
          <cell r="L18" t="str">
            <v>c</v>
          </cell>
          <cell r="M18" t="str">
            <v>c</v>
          </cell>
          <cell r="N18" t="str">
            <v>g</v>
          </cell>
          <cell r="O18">
            <v>0.9</v>
          </cell>
          <cell r="P18">
            <v>0.75</v>
          </cell>
          <cell r="Q18"/>
          <cell r="R18">
            <v>39142</v>
          </cell>
          <cell r="S18" t="str">
            <v>TOTAL</v>
          </cell>
          <cell r="T18"/>
          <cell r="U18"/>
          <cell r="V18">
            <v>0</v>
          </cell>
          <cell r="W18" t="str">
            <v/>
          </cell>
          <cell r="X18"/>
          <cell r="Y18">
            <v>0</v>
          </cell>
          <cell r="Z18"/>
          <cell r="AA18"/>
          <cell r="AB18"/>
          <cell r="AC18">
            <v>0</v>
          </cell>
          <cell r="AD18">
            <v>16000</v>
          </cell>
          <cell r="AE18">
            <v>0</v>
          </cell>
          <cell r="AF18" t="e">
            <v>#DIV/0!</v>
          </cell>
          <cell r="AG18">
            <v>-16000</v>
          </cell>
          <cell r="AH18" t="e">
            <v>#DIV/0!</v>
          </cell>
          <cell r="AI18"/>
          <cell r="AJ18"/>
          <cell r="AK18"/>
          <cell r="AL18">
            <v>0</v>
          </cell>
          <cell r="AM18" t="str">
            <v/>
          </cell>
          <cell r="AN18"/>
          <cell r="AO18">
            <v>0</v>
          </cell>
          <cell r="AP18"/>
          <cell r="AQ18">
            <v>0</v>
          </cell>
          <cell r="AR18"/>
        </row>
        <row r="19">
          <cell r="B19">
            <v>39173</v>
          </cell>
          <cell r="C19">
            <v>39173</v>
          </cell>
          <cell r="D19" t="str">
            <v>TOTAL</v>
          </cell>
          <cell r="E19">
            <v>0</v>
          </cell>
          <cell r="F19" t="str">
            <v>c</v>
          </cell>
          <cell r="G19" t="str">
            <v>c</v>
          </cell>
          <cell r="H19" t="str">
            <v>g</v>
          </cell>
          <cell r="I19">
            <v>0.9</v>
          </cell>
          <cell r="J19">
            <v>0.75</v>
          </cell>
          <cell r="K19">
            <v>0</v>
          </cell>
          <cell r="L19" t="str">
            <v>c</v>
          </cell>
          <cell r="M19" t="str">
            <v>c</v>
          </cell>
          <cell r="N19" t="str">
            <v>g</v>
          </cell>
          <cell r="O19">
            <v>0.9</v>
          </cell>
          <cell r="P19">
            <v>0.75</v>
          </cell>
          <cell r="Q19"/>
          <cell r="R19">
            <v>39173</v>
          </cell>
          <cell r="S19" t="str">
            <v>TOTAL</v>
          </cell>
          <cell r="T19"/>
          <cell r="U19"/>
          <cell r="V19">
            <v>0</v>
          </cell>
          <cell r="W19" t="str">
            <v/>
          </cell>
          <cell r="X19"/>
          <cell r="Y19">
            <v>0</v>
          </cell>
          <cell r="Z19"/>
          <cell r="AA19"/>
          <cell r="AB19"/>
          <cell r="AC19">
            <v>0</v>
          </cell>
          <cell r="AD19">
            <v>16000</v>
          </cell>
          <cell r="AE19">
            <v>0</v>
          </cell>
          <cell r="AF19" t="e">
            <v>#DIV/0!</v>
          </cell>
          <cell r="AG19">
            <v>-16000</v>
          </cell>
          <cell r="AH19" t="e">
            <v>#DIV/0!</v>
          </cell>
          <cell r="AI19"/>
          <cell r="AJ19"/>
          <cell r="AK19"/>
          <cell r="AL19">
            <v>0</v>
          </cell>
          <cell r="AM19" t="str">
            <v/>
          </cell>
          <cell r="AN19"/>
          <cell r="AO19">
            <v>0</v>
          </cell>
          <cell r="AP19"/>
          <cell r="AQ19">
            <v>0</v>
          </cell>
          <cell r="AR19"/>
        </row>
        <row r="20">
          <cell r="B20">
            <v>39203</v>
          </cell>
          <cell r="C20">
            <v>39203</v>
          </cell>
          <cell r="D20" t="str">
            <v>TOTAL</v>
          </cell>
          <cell r="E20">
            <v>0</v>
          </cell>
          <cell r="F20" t="str">
            <v>c</v>
          </cell>
          <cell r="G20" t="str">
            <v>c</v>
          </cell>
          <cell r="H20" t="str">
            <v>g</v>
          </cell>
          <cell r="I20">
            <v>0.9</v>
          </cell>
          <cell r="J20">
            <v>0.75</v>
          </cell>
          <cell r="K20">
            <v>0</v>
          </cell>
          <cell r="L20" t="str">
            <v>c</v>
          </cell>
          <cell r="M20" t="str">
            <v>c</v>
          </cell>
          <cell r="N20" t="str">
            <v>g</v>
          </cell>
          <cell r="O20">
            <v>0.9</v>
          </cell>
          <cell r="P20">
            <v>0.75</v>
          </cell>
          <cell r="Q20"/>
          <cell r="R20">
            <v>39203</v>
          </cell>
          <cell r="S20" t="str">
            <v>TOTAL</v>
          </cell>
          <cell r="T20"/>
          <cell r="U20"/>
          <cell r="V20">
            <v>0</v>
          </cell>
          <cell r="W20" t="str">
            <v/>
          </cell>
          <cell r="X20"/>
          <cell r="Y20">
            <v>0</v>
          </cell>
          <cell r="Z20"/>
          <cell r="AA20"/>
          <cell r="AB20"/>
          <cell r="AC20">
            <v>0</v>
          </cell>
          <cell r="AD20">
            <v>16000</v>
          </cell>
          <cell r="AE20">
            <v>0</v>
          </cell>
          <cell r="AF20" t="e">
            <v>#DIV/0!</v>
          </cell>
          <cell r="AG20">
            <v>-16000</v>
          </cell>
          <cell r="AH20" t="e">
            <v>#DIV/0!</v>
          </cell>
          <cell r="AI20"/>
          <cell r="AJ20"/>
          <cell r="AK20"/>
          <cell r="AL20">
            <v>0</v>
          </cell>
          <cell r="AM20" t="str">
            <v/>
          </cell>
          <cell r="AN20"/>
          <cell r="AO20">
            <v>0</v>
          </cell>
          <cell r="AP20"/>
          <cell r="AQ20">
            <v>0</v>
          </cell>
          <cell r="AR20"/>
        </row>
        <row r="21">
          <cell r="B21">
            <v>39234</v>
          </cell>
          <cell r="C21">
            <v>39234</v>
          </cell>
          <cell r="D21" t="str">
            <v>TOTAL</v>
          </cell>
          <cell r="E21">
            <v>0</v>
          </cell>
          <cell r="F21" t="str">
            <v>c</v>
          </cell>
          <cell r="G21" t="str">
            <v>c</v>
          </cell>
          <cell r="H21" t="str">
            <v>g</v>
          </cell>
          <cell r="I21">
            <v>0.9</v>
          </cell>
          <cell r="J21">
            <v>0.75</v>
          </cell>
          <cell r="K21">
            <v>0</v>
          </cell>
          <cell r="L21" t="str">
            <v>c</v>
          </cell>
          <cell r="M21" t="str">
            <v>c</v>
          </cell>
          <cell r="N21" t="str">
            <v>g</v>
          </cell>
          <cell r="O21">
            <v>0.9</v>
          </cell>
          <cell r="P21">
            <v>0.75</v>
          </cell>
          <cell r="Q21"/>
          <cell r="R21">
            <v>39234</v>
          </cell>
          <cell r="S21" t="str">
            <v>TOTAL</v>
          </cell>
          <cell r="T21"/>
          <cell r="U21"/>
          <cell r="V21">
            <v>0</v>
          </cell>
          <cell r="W21" t="str">
            <v/>
          </cell>
          <cell r="X21"/>
          <cell r="Y21">
            <v>0</v>
          </cell>
          <cell r="Z21"/>
          <cell r="AA21"/>
          <cell r="AB21"/>
          <cell r="AC21">
            <v>0</v>
          </cell>
          <cell r="AD21">
            <v>16000</v>
          </cell>
          <cell r="AE21">
            <v>0</v>
          </cell>
          <cell r="AF21" t="e">
            <v>#DIV/0!</v>
          </cell>
          <cell r="AG21">
            <v>-16000</v>
          </cell>
          <cell r="AH21" t="e">
            <v>#DIV/0!</v>
          </cell>
          <cell r="AI21"/>
          <cell r="AJ21"/>
          <cell r="AK21"/>
          <cell r="AL21">
            <v>0</v>
          </cell>
          <cell r="AM21" t="str">
            <v/>
          </cell>
          <cell r="AN21"/>
          <cell r="AO21">
            <v>0</v>
          </cell>
          <cell r="AP21"/>
          <cell r="AQ21">
            <v>0</v>
          </cell>
          <cell r="AR21"/>
        </row>
        <row r="22">
          <cell r="B22">
            <v>39264</v>
          </cell>
          <cell r="C22">
            <v>39264</v>
          </cell>
          <cell r="D22" t="str">
            <v>TOTAL</v>
          </cell>
          <cell r="E22">
            <v>0</v>
          </cell>
          <cell r="F22" t="str">
            <v>c</v>
          </cell>
          <cell r="G22" t="str">
            <v>c</v>
          </cell>
          <cell r="H22" t="str">
            <v>g</v>
          </cell>
          <cell r="I22">
            <v>0.9</v>
          </cell>
          <cell r="J22">
            <v>0.75</v>
          </cell>
          <cell r="K22">
            <v>0</v>
          </cell>
          <cell r="L22" t="str">
            <v>c</v>
          </cell>
          <cell r="M22" t="str">
            <v>c</v>
          </cell>
          <cell r="N22" t="str">
            <v>g</v>
          </cell>
          <cell r="O22">
            <v>0.9</v>
          </cell>
          <cell r="P22">
            <v>0.75</v>
          </cell>
          <cell r="Q22"/>
          <cell r="R22">
            <v>39264</v>
          </cell>
          <cell r="S22" t="str">
            <v>TOTAL</v>
          </cell>
          <cell r="T22"/>
          <cell r="U22"/>
          <cell r="V22">
            <v>0</v>
          </cell>
          <cell r="W22" t="str">
            <v/>
          </cell>
          <cell r="X22"/>
          <cell r="Y22">
            <v>0</v>
          </cell>
          <cell r="Z22"/>
          <cell r="AA22"/>
          <cell r="AB22"/>
          <cell r="AC22">
            <v>0</v>
          </cell>
          <cell r="AD22">
            <v>16000</v>
          </cell>
          <cell r="AE22">
            <v>0</v>
          </cell>
          <cell r="AF22" t="e">
            <v>#DIV/0!</v>
          </cell>
          <cell r="AG22">
            <v>-16000</v>
          </cell>
          <cell r="AH22" t="e">
            <v>#DIV/0!</v>
          </cell>
          <cell r="AI22"/>
          <cell r="AJ22"/>
          <cell r="AK22"/>
          <cell r="AL22">
            <v>0</v>
          </cell>
          <cell r="AM22" t="str">
            <v/>
          </cell>
          <cell r="AN22"/>
          <cell r="AO22">
            <v>0</v>
          </cell>
          <cell r="AP22"/>
          <cell r="AQ22">
            <v>0</v>
          </cell>
          <cell r="AR22"/>
        </row>
        <row r="23">
          <cell r="B23">
            <v>39295</v>
          </cell>
          <cell r="C23">
            <v>39295</v>
          </cell>
          <cell r="D23" t="str">
            <v>TOTAL</v>
          </cell>
          <cell r="E23">
            <v>0</v>
          </cell>
          <cell r="F23" t="str">
            <v>c</v>
          </cell>
          <cell r="G23" t="str">
            <v>c</v>
          </cell>
          <cell r="H23" t="str">
            <v>g</v>
          </cell>
          <cell r="I23">
            <v>0.9</v>
          </cell>
          <cell r="J23">
            <v>0.75</v>
          </cell>
          <cell r="K23">
            <v>0</v>
          </cell>
          <cell r="L23" t="str">
            <v>c</v>
          </cell>
          <cell r="M23" t="str">
            <v>c</v>
          </cell>
          <cell r="N23" t="str">
            <v>g</v>
          </cell>
          <cell r="O23">
            <v>0.9</v>
          </cell>
          <cell r="P23">
            <v>0.75</v>
          </cell>
          <cell r="Q23"/>
          <cell r="R23">
            <v>39295</v>
          </cell>
          <cell r="S23" t="str">
            <v>TOTAL</v>
          </cell>
          <cell r="T23"/>
          <cell r="U23"/>
          <cell r="V23">
            <v>0</v>
          </cell>
          <cell r="W23" t="str">
            <v/>
          </cell>
          <cell r="X23"/>
          <cell r="Y23">
            <v>0</v>
          </cell>
          <cell r="Z23"/>
          <cell r="AA23"/>
          <cell r="AB23"/>
          <cell r="AC23">
            <v>0</v>
          </cell>
          <cell r="AD23">
            <v>16000</v>
          </cell>
          <cell r="AE23">
            <v>0</v>
          </cell>
          <cell r="AF23" t="e">
            <v>#DIV/0!</v>
          </cell>
          <cell r="AG23">
            <v>-16000</v>
          </cell>
          <cell r="AH23" t="e">
            <v>#DIV/0!</v>
          </cell>
          <cell r="AI23"/>
          <cell r="AJ23"/>
          <cell r="AK23"/>
          <cell r="AL23">
            <v>0</v>
          </cell>
          <cell r="AM23" t="str">
            <v/>
          </cell>
          <cell r="AN23"/>
          <cell r="AO23">
            <v>0</v>
          </cell>
          <cell r="AP23"/>
          <cell r="AQ23">
            <v>0</v>
          </cell>
          <cell r="AR23"/>
        </row>
        <row r="24">
          <cell r="B24">
            <v>39326</v>
          </cell>
          <cell r="C24">
            <v>39326</v>
          </cell>
          <cell r="D24" t="str">
            <v>TOTAL</v>
          </cell>
          <cell r="E24">
            <v>0</v>
          </cell>
          <cell r="F24" t="str">
            <v>c</v>
          </cell>
          <cell r="G24" t="str">
            <v>c</v>
          </cell>
          <cell r="H24" t="str">
            <v>g</v>
          </cell>
          <cell r="I24">
            <v>0.9</v>
          </cell>
          <cell r="J24">
            <v>0.75</v>
          </cell>
          <cell r="K24">
            <v>0</v>
          </cell>
          <cell r="L24" t="str">
            <v>c</v>
          </cell>
          <cell r="M24" t="str">
            <v>c</v>
          </cell>
          <cell r="N24" t="str">
            <v>g</v>
          </cell>
          <cell r="O24">
            <v>0.9</v>
          </cell>
          <cell r="P24">
            <v>0.75</v>
          </cell>
          <cell r="Q24"/>
          <cell r="R24">
            <v>39326</v>
          </cell>
          <cell r="S24" t="str">
            <v>TOTAL</v>
          </cell>
          <cell r="T24"/>
          <cell r="U24"/>
          <cell r="V24">
            <v>0</v>
          </cell>
          <cell r="W24" t="str">
            <v/>
          </cell>
          <cell r="X24"/>
          <cell r="Y24">
            <v>0</v>
          </cell>
          <cell r="Z24"/>
          <cell r="AA24"/>
          <cell r="AB24"/>
          <cell r="AC24">
            <v>0</v>
          </cell>
          <cell r="AD24">
            <v>16000</v>
          </cell>
          <cell r="AE24">
            <v>0</v>
          </cell>
          <cell r="AF24" t="e">
            <v>#DIV/0!</v>
          </cell>
          <cell r="AG24">
            <v>-16000</v>
          </cell>
          <cell r="AH24" t="e">
            <v>#DIV/0!</v>
          </cell>
          <cell r="AI24"/>
          <cell r="AJ24"/>
          <cell r="AK24"/>
          <cell r="AL24">
            <v>0</v>
          </cell>
          <cell r="AM24" t="str">
            <v/>
          </cell>
          <cell r="AN24"/>
          <cell r="AO24">
            <v>0</v>
          </cell>
          <cell r="AP24"/>
          <cell r="AQ24">
            <v>0</v>
          </cell>
          <cell r="AR24"/>
        </row>
        <row r="25">
          <cell r="B25">
            <v>39356</v>
          </cell>
          <cell r="C25">
            <v>39356</v>
          </cell>
          <cell r="D25" t="str">
            <v>TOTAL</v>
          </cell>
          <cell r="E25">
            <v>0</v>
          </cell>
          <cell r="F25" t="str">
            <v>c</v>
          </cell>
          <cell r="G25" t="str">
            <v>c</v>
          </cell>
          <cell r="H25" t="str">
            <v>g</v>
          </cell>
          <cell r="I25">
            <v>0.9</v>
          </cell>
          <cell r="J25">
            <v>0.75</v>
          </cell>
          <cell r="K25">
            <v>0</v>
          </cell>
          <cell r="L25" t="str">
            <v>c</v>
          </cell>
          <cell r="M25" t="str">
            <v>c</v>
          </cell>
          <cell r="N25" t="str">
            <v>g</v>
          </cell>
          <cell r="O25">
            <v>0.9</v>
          </cell>
          <cell r="P25">
            <v>0.75</v>
          </cell>
          <cell r="Q25"/>
          <cell r="R25">
            <v>39356</v>
          </cell>
          <cell r="S25" t="str">
            <v>TOTAL</v>
          </cell>
          <cell r="T25"/>
          <cell r="U25"/>
          <cell r="V25">
            <v>0</v>
          </cell>
          <cell r="W25" t="str">
            <v/>
          </cell>
          <cell r="X25"/>
          <cell r="Y25">
            <v>0</v>
          </cell>
          <cell r="Z25"/>
          <cell r="AA25"/>
          <cell r="AB25"/>
          <cell r="AC25">
            <v>0</v>
          </cell>
          <cell r="AD25">
            <v>16000</v>
          </cell>
          <cell r="AE25">
            <v>0</v>
          </cell>
          <cell r="AF25" t="e">
            <v>#DIV/0!</v>
          </cell>
          <cell r="AG25">
            <v>-16000</v>
          </cell>
          <cell r="AH25" t="e">
            <v>#DIV/0!</v>
          </cell>
          <cell r="AI25"/>
          <cell r="AJ25"/>
          <cell r="AK25"/>
          <cell r="AL25">
            <v>0</v>
          </cell>
          <cell r="AM25" t="str">
            <v/>
          </cell>
          <cell r="AN25"/>
          <cell r="AO25">
            <v>0</v>
          </cell>
          <cell r="AP25"/>
          <cell r="AQ25">
            <v>0</v>
          </cell>
          <cell r="AR25"/>
        </row>
        <row r="26">
          <cell r="B26">
            <v>39387</v>
          </cell>
          <cell r="C26">
            <v>39387</v>
          </cell>
          <cell r="D26" t="str">
            <v>TOTAL</v>
          </cell>
          <cell r="E26">
            <v>0</v>
          </cell>
          <cell r="F26" t="str">
            <v>c</v>
          </cell>
          <cell r="G26" t="str">
            <v>c</v>
          </cell>
          <cell r="H26" t="str">
            <v>g</v>
          </cell>
          <cell r="I26">
            <v>0.9</v>
          </cell>
          <cell r="J26">
            <v>0.75</v>
          </cell>
          <cell r="K26">
            <v>0</v>
          </cell>
          <cell r="L26" t="str">
            <v>c</v>
          </cell>
          <cell r="M26" t="str">
            <v>c</v>
          </cell>
          <cell r="N26" t="str">
            <v>g</v>
          </cell>
          <cell r="O26">
            <v>0.9</v>
          </cell>
          <cell r="P26">
            <v>0.75</v>
          </cell>
          <cell r="Q26"/>
          <cell r="R26">
            <v>39387</v>
          </cell>
          <cell r="S26" t="str">
            <v>TOTAL</v>
          </cell>
          <cell r="T26"/>
          <cell r="U26"/>
          <cell r="V26">
            <v>0</v>
          </cell>
          <cell r="W26" t="str">
            <v/>
          </cell>
          <cell r="X26"/>
          <cell r="Y26">
            <v>0</v>
          </cell>
          <cell r="Z26"/>
          <cell r="AA26"/>
          <cell r="AB26"/>
          <cell r="AC26">
            <v>0</v>
          </cell>
          <cell r="AD26">
            <v>16000</v>
          </cell>
          <cell r="AE26">
            <v>0</v>
          </cell>
          <cell r="AF26" t="e">
            <v>#DIV/0!</v>
          </cell>
          <cell r="AG26">
            <v>-16000</v>
          </cell>
          <cell r="AH26" t="e">
            <v>#DIV/0!</v>
          </cell>
          <cell r="AI26"/>
          <cell r="AJ26"/>
          <cell r="AK26"/>
          <cell r="AL26">
            <v>0</v>
          </cell>
          <cell r="AM26" t="str">
            <v/>
          </cell>
          <cell r="AN26"/>
          <cell r="AO26">
            <v>0</v>
          </cell>
          <cell r="AP26"/>
          <cell r="AQ26">
            <v>0</v>
          </cell>
          <cell r="AR26"/>
        </row>
        <row r="27">
          <cell r="B27">
            <v>39417</v>
          </cell>
          <cell r="C27">
            <v>39417</v>
          </cell>
          <cell r="D27" t="str">
            <v>TOTAL</v>
          </cell>
          <cell r="E27">
            <v>0</v>
          </cell>
          <cell r="F27" t="str">
            <v>c</v>
          </cell>
          <cell r="G27" t="str">
            <v>c</v>
          </cell>
          <cell r="H27" t="str">
            <v>g</v>
          </cell>
          <cell r="I27">
            <v>0.9</v>
          </cell>
          <cell r="J27">
            <v>0.75</v>
          </cell>
          <cell r="K27">
            <v>0</v>
          </cell>
          <cell r="L27" t="str">
            <v>c</v>
          </cell>
          <cell r="M27" t="str">
            <v>c</v>
          </cell>
          <cell r="N27" t="str">
            <v>g</v>
          </cell>
          <cell r="O27">
            <v>0.9</v>
          </cell>
          <cell r="P27">
            <v>0.75</v>
          </cell>
          <cell r="Q27"/>
          <cell r="R27">
            <v>39417</v>
          </cell>
          <cell r="S27" t="str">
            <v>TOTAL</v>
          </cell>
          <cell r="T27"/>
          <cell r="U27"/>
          <cell r="V27">
            <v>0</v>
          </cell>
          <cell r="W27" t="str">
            <v/>
          </cell>
          <cell r="X27"/>
          <cell r="Y27">
            <v>0</v>
          </cell>
          <cell r="Z27"/>
          <cell r="AA27"/>
          <cell r="AB27"/>
          <cell r="AC27">
            <v>0</v>
          </cell>
          <cell r="AD27">
            <v>16000</v>
          </cell>
          <cell r="AE27">
            <v>0</v>
          </cell>
          <cell r="AF27" t="e">
            <v>#DIV/0!</v>
          </cell>
          <cell r="AG27">
            <v>-16000</v>
          </cell>
          <cell r="AH27" t="e">
            <v>#DIV/0!</v>
          </cell>
          <cell r="AI27"/>
          <cell r="AJ27"/>
          <cell r="AK27"/>
          <cell r="AL27">
            <v>0</v>
          </cell>
          <cell r="AM27" t="str">
            <v/>
          </cell>
          <cell r="AN27"/>
          <cell r="AO27">
            <v>0</v>
          </cell>
          <cell r="AP27"/>
          <cell r="AQ27">
            <v>0</v>
          </cell>
          <cell r="AR27"/>
        </row>
        <row r="28">
          <cell r="B28">
            <v>39448</v>
          </cell>
          <cell r="C28">
            <v>39448</v>
          </cell>
          <cell r="D28" t="str">
            <v>TOTAL</v>
          </cell>
          <cell r="E28">
            <v>0.50527558824178953</v>
          </cell>
          <cell r="F28" t="str">
            <v>c</v>
          </cell>
          <cell r="G28" t="str">
            <v>c</v>
          </cell>
          <cell r="H28" t="str">
            <v>g</v>
          </cell>
          <cell r="I28">
            <v>0.9</v>
          </cell>
          <cell r="J28">
            <v>0.75</v>
          </cell>
          <cell r="K28">
            <v>0.50527558824178953</v>
          </cell>
          <cell r="L28" t="str">
            <v>c</v>
          </cell>
          <cell r="M28" t="str">
            <v>c</v>
          </cell>
          <cell r="N28" t="str">
            <v>g</v>
          </cell>
          <cell r="O28">
            <v>0.9</v>
          </cell>
          <cell r="P28">
            <v>0.75</v>
          </cell>
          <cell r="Q28"/>
          <cell r="R28">
            <v>39448</v>
          </cell>
          <cell r="S28" t="str">
            <v>TOTAL</v>
          </cell>
          <cell r="T28"/>
          <cell r="U28">
            <v>0.50527558824178953</v>
          </cell>
          <cell r="V28">
            <v>0</v>
          </cell>
          <cell r="W28">
            <v>0.50527558824178953</v>
          </cell>
          <cell r="X28" t="str">
            <v/>
          </cell>
          <cell r="Y28">
            <v>0.50527558824178953</v>
          </cell>
          <cell r="Z28"/>
          <cell r="AA28"/>
          <cell r="AB28">
            <v>0</v>
          </cell>
          <cell r="AC28">
            <v>4324150</v>
          </cell>
          <cell r="AD28">
            <v>16000</v>
          </cell>
          <cell r="AE28">
            <v>4324150</v>
          </cell>
          <cell r="AF28">
            <v>-1</v>
          </cell>
          <cell r="AG28">
            <v>4308150</v>
          </cell>
          <cell r="AH28">
            <v>-0.99629985083773687</v>
          </cell>
          <cell r="AI28"/>
          <cell r="AJ28"/>
          <cell r="AK28">
            <v>0.50527558824178953</v>
          </cell>
          <cell r="AL28">
            <v>0</v>
          </cell>
          <cell r="AM28">
            <v>0.50527558824178953</v>
          </cell>
          <cell r="AN28" t="str">
            <v/>
          </cell>
          <cell r="AO28">
            <v>0.50527558824178953</v>
          </cell>
          <cell r="AP28"/>
          <cell r="AQ28">
            <v>0</v>
          </cell>
          <cell r="AR28"/>
        </row>
        <row r="29">
          <cell r="B29">
            <v>39479</v>
          </cell>
          <cell r="C29">
            <v>39479</v>
          </cell>
          <cell r="D29" t="str">
            <v>TOTAL</v>
          </cell>
          <cell r="E29">
            <v>0.54548084436738897</v>
          </cell>
          <cell r="F29" t="str">
            <v>c</v>
          </cell>
          <cell r="G29" t="str">
            <v>c</v>
          </cell>
          <cell r="H29" t="str">
            <v>g</v>
          </cell>
          <cell r="I29">
            <v>0.9</v>
          </cell>
          <cell r="J29">
            <v>0.75</v>
          </cell>
          <cell r="K29">
            <v>0.52415627769948803</v>
          </cell>
          <cell r="L29" t="str">
            <v>c</v>
          </cell>
          <cell r="M29" t="str">
            <v>c</v>
          </cell>
          <cell r="N29" t="str">
            <v>g</v>
          </cell>
          <cell r="O29">
            <v>0.9</v>
          </cell>
          <cell r="P29">
            <v>0.75</v>
          </cell>
          <cell r="Q29"/>
          <cell r="R29">
            <v>39479</v>
          </cell>
          <cell r="S29" t="str">
            <v>TOTAL</v>
          </cell>
          <cell r="T29"/>
          <cell r="U29">
            <v>0.54548084436738897</v>
          </cell>
          <cell r="V29">
            <v>0</v>
          </cell>
          <cell r="W29">
            <v>0.54548084436738897</v>
          </cell>
          <cell r="X29" t="str">
            <v/>
          </cell>
          <cell r="Y29">
            <v>0.54548084436738897</v>
          </cell>
          <cell r="Z29"/>
          <cell r="AA29"/>
          <cell r="AB29">
            <v>0</v>
          </cell>
          <cell r="AC29">
            <v>4133230</v>
          </cell>
          <cell r="AD29">
            <v>0</v>
          </cell>
          <cell r="AE29">
            <v>4133230</v>
          </cell>
          <cell r="AF29">
            <v>-1</v>
          </cell>
          <cell r="AG29">
            <v>4133230</v>
          </cell>
          <cell r="AH29">
            <v>-1</v>
          </cell>
          <cell r="AI29"/>
          <cell r="AJ29"/>
          <cell r="AK29">
            <v>0.52415627769948803</v>
          </cell>
          <cell r="AL29">
            <v>0</v>
          </cell>
          <cell r="AM29">
            <v>0.52415627769948803</v>
          </cell>
          <cell r="AN29" t="str">
            <v/>
          </cell>
          <cell r="AO29">
            <v>0.52415627769948803</v>
          </cell>
          <cell r="AP29"/>
          <cell r="AQ29">
            <v>0</v>
          </cell>
          <cell r="AR29"/>
        </row>
        <row r="30">
          <cell r="B30">
            <v>39508</v>
          </cell>
          <cell r="C30">
            <v>39508</v>
          </cell>
          <cell r="D30" t="str">
            <v>TOTAL</v>
          </cell>
          <cell r="E30">
            <v>0.61568107519013815</v>
          </cell>
          <cell r="F30" t="str">
            <v>c</v>
          </cell>
          <cell r="G30" t="str">
            <v>c</v>
          </cell>
          <cell r="H30" t="str">
            <v>g</v>
          </cell>
          <cell r="I30">
            <v>0.9</v>
          </cell>
          <cell r="J30">
            <v>0.75</v>
          </cell>
          <cell r="K30">
            <v>0.55030402780451826</v>
          </cell>
          <cell r="L30" t="str">
            <v>c</v>
          </cell>
          <cell r="M30" t="str">
            <v>c</v>
          </cell>
          <cell r="N30" t="str">
            <v>g</v>
          </cell>
          <cell r="O30">
            <v>0.9</v>
          </cell>
          <cell r="P30">
            <v>0.75</v>
          </cell>
          <cell r="Q30"/>
          <cell r="R30">
            <v>39508</v>
          </cell>
          <cell r="S30" t="str">
            <v>TOTAL</v>
          </cell>
          <cell r="T30"/>
          <cell r="U30">
            <v>0.61568107519013815</v>
          </cell>
          <cell r="V30">
            <v>0</v>
          </cell>
          <cell r="W30">
            <v>0.61568107519013815</v>
          </cell>
          <cell r="X30" t="str">
            <v/>
          </cell>
          <cell r="Y30">
            <v>0.61568107519013815</v>
          </cell>
          <cell r="Z30"/>
          <cell r="AA30"/>
          <cell r="AB30">
            <v>0</v>
          </cell>
          <cell r="AC30">
            <v>3973195</v>
          </cell>
          <cell r="AD30">
            <v>0</v>
          </cell>
          <cell r="AE30">
            <v>3973195</v>
          </cell>
          <cell r="AF30">
            <v>-1</v>
          </cell>
          <cell r="AG30">
            <v>3973195</v>
          </cell>
          <cell r="AH30">
            <v>-1</v>
          </cell>
          <cell r="AI30"/>
          <cell r="AJ30"/>
          <cell r="AK30">
            <v>0.55030402780451826</v>
          </cell>
          <cell r="AL30">
            <v>0</v>
          </cell>
          <cell r="AM30">
            <v>0.55030402780451826</v>
          </cell>
          <cell r="AN30" t="str">
            <v/>
          </cell>
          <cell r="AO30">
            <v>0.55030402780451826</v>
          </cell>
          <cell r="AP30"/>
          <cell r="AQ30">
            <v>0</v>
          </cell>
          <cell r="AR30"/>
        </row>
        <row r="31">
          <cell r="B31">
            <v>39539</v>
          </cell>
          <cell r="C31">
            <v>39539</v>
          </cell>
          <cell r="D31" t="str">
            <v>TOTAL</v>
          </cell>
          <cell r="E31">
            <v>0.59264784365126599</v>
          </cell>
          <cell r="F31" t="str">
            <v>c</v>
          </cell>
          <cell r="G31" t="str">
            <v>c</v>
          </cell>
          <cell r="H31" t="str">
            <v>g</v>
          </cell>
          <cell r="I31">
            <v>0.9</v>
          </cell>
          <cell r="J31">
            <v>0.75</v>
          </cell>
          <cell r="K31">
            <v>0.56118869906264501</v>
          </cell>
          <cell r="L31" t="str">
            <v>c</v>
          </cell>
          <cell r="M31" t="str">
            <v>c</v>
          </cell>
          <cell r="N31" t="str">
            <v>g</v>
          </cell>
          <cell r="O31">
            <v>0.9</v>
          </cell>
          <cell r="P31">
            <v>0.75</v>
          </cell>
          <cell r="Q31"/>
          <cell r="R31">
            <v>39539</v>
          </cell>
          <cell r="S31" t="str">
            <v>TOTAL</v>
          </cell>
          <cell r="T31"/>
          <cell r="U31">
            <v>0.59264784365126599</v>
          </cell>
          <cell r="V31">
            <v>0</v>
          </cell>
          <cell r="W31">
            <v>0.59264784365126599</v>
          </cell>
          <cell r="X31" t="str">
            <v/>
          </cell>
          <cell r="Y31">
            <v>0.59264784365126599</v>
          </cell>
          <cell r="Z31">
            <v>-1</v>
          </cell>
          <cell r="AA31"/>
          <cell r="AB31">
            <v>0</v>
          </cell>
          <cell r="AC31">
            <v>4631841</v>
          </cell>
          <cell r="AD31">
            <v>0</v>
          </cell>
          <cell r="AE31">
            <v>4631841</v>
          </cell>
          <cell r="AF31">
            <v>-1</v>
          </cell>
          <cell r="AG31">
            <v>4631841</v>
          </cell>
          <cell r="AH31">
            <v>-1</v>
          </cell>
          <cell r="AI31"/>
          <cell r="AJ31"/>
          <cell r="AK31">
            <v>0.56118869906264501</v>
          </cell>
          <cell r="AL31">
            <v>0</v>
          </cell>
          <cell r="AM31">
            <v>0.56118869906264501</v>
          </cell>
          <cell r="AN31" t="str">
            <v/>
          </cell>
          <cell r="AO31">
            <v>0.56118869906264501</v>
          </cell>
          <cell r="AP31" t="e">
            <v>#DIV/0!</v>
          </cell>
          <cell r="AQ31">
            <v>0</v>
          </cell>
          <cell r="AR31" t="e">
            <v>#DIV/0!</v>
          </cell>
        </row>
        <row r="32">
          <cell r="B32">
            <v>39569</v>
          </cell>
          <cell r="C32">
            <v>39569</v>
          </cell>
          <cell r="D32" t="str">
            <v>TOTAL</v>
          </cell>
          <cell r="E32">
            <v>0.49695003641297419</v>
          </cell>
          <cell r="F32" t="str">
            <v>c</v>
          </cell>
          <cell r="G32" t="str">
            <v>c</v>
          </cell>
          <cell r="H32" t="str">
            <v>g</v>
          </cell>
          <cell r="I32">
            <v>0.9</v>
          </cell>
          <cell r="J32">
            <v>0.75</v>
          </cell>
          <cell r="K32">
            <v>0.54853201490638348</v>
          </cell>
          <cell r="L32" t="str">
            <v>c</v>
          </cell>
          <cell r="M32" t="str">
            <v>c</v>
          </cell>
          <cell r="N32" t="str">
            <v>g</v>
          </cell>
          <cell r="O32">
            <v>0.9</v>
          </cell>
          <cell r="P32">
            <v>0.75</v>
          </cell>
          <cell r="Q32"/>
          <cell r="R32">
            <v>39569</v>
          </cell>
          <cell r="S32" t="str">
            <v>TOTAL</v>
          </cell>
          <cell r="T32"/>
          <cell r="U32">
            <v>0.49695003641297419</v>
          </cell>
          <cell r="V32">
            <v>0</v>
          </cell>
          <cell r="W32">
            <v>0.49695003641297419</v>
          </cell>
          <cell r="X32" t="str">
            <v/>
          </cell>
          <cell r="Y32">
            <v>0.49695003641297419</v>
          </cell>
          <cell r="Z32">
            <v>-1</v>
          </cell>
          <cell r="AA32"/>
          <cell r="AB32">
            <v>0</v>
          </cell>
          <cell r="AC32">
            <v>3707373</v>
          </cell>
          <cell r="AD32">
            <v>0</v>
          </cell>
          <cell r="AE32">
            <v>3707373</v>
          </cell>
          <cell r="AF32">
            <v>-1</v>
          </cell>
          <cell r="AG32">
            <v>3707373</v>
          </cell>
          <cell r="AH32">
            <v>-1</v>
          </cell>
          <cell r="AI32"/>
          <cell r="AJ32"/>
          <cell r="AK32">
            <v>0.54853201490638348</v>
          </cell>
          <cell r="AL32">
            <v>0</v>
          </cell>
          <cell r="AM32">
            <v>0.54853201490638348</v>
          </cell>
          <cell r="AN32" t="str">
            <v/>
          </cell>
          <cell r="AO32">
            <v>0.54853201490638348</v>
          </cell>
          <cell r="AP32" t="e">
            <v>#DIV/0!</v>
          </cell>
          <cell r="AQ32">
            <v>0</v>
          </cell>
          <cell r="AR32" t="e">
            <v>#DIV/0!</v>
          </cell>
        </row>
        <row r="33">
          <cell r="B33">
            <v>39600</v>
          </cell>
          <cell r="C33">
            <v>39600</v>
          </cell>
          <cell r="D33" t="str">
            <v>TOTAL</v>
          </cell>
          <cell r="E33">
            <v>0.52280374359134274</v>
          </cell>
          <cell r="F33" t="str">
            <v>c</v>
          </cell>
          <cell r="G33" t="str">
            <v>c</v>
          </cell>
          <cell r="H33" t="str">
            <v>g</v>
          </cell>
          <cell r="I33">
            <v>0.9</v>
          </cell>
          <cell r="J33">
            <v>0.75</v>
          </cell>
          <cell r="K33">
            <v>0.54432216350267015</v>
          </cell>
          <cell r="L33" t="str">
            <v>c</v>
          </cell>
          <cell r="M33" t="str">
            <v>c</v>
          </cell>
          <cell r="N33" t="str">
            <v>g</v>
          </cell>
          <cell r="O33">
            <v>0.9</v>
          </cell>
          <cell r="P33">
            <v>0.75</v>
          </cell>
          <cell r="Q33"/>
          <cell r="R33">
            <v>39600</v>
          </cell>
          <cell r="S33" t="str">
            <v>TOTAL</v>
          </cell>
          <cell r="T33"/>
          <cell r="U33">
            <v>0.52280374359134274</v>
          </cell>
          <cell r="V33">
            <v>0</v>
          </cell>
          <cell r="W33">
            <v>0.52280374359134274</v>
          </cell>
          <cell r="X33" t="str">
            <v/>
          </cell>
          <cell r="Y33">
            <v>0.52280374359134274</v>
          </cell>
          <cell r="Z33">
            <v>-1</v>
          </cell>
          <cell r="AA33"/>
          <cell r="AB33">
            <v>0</v>
          </cell>
          <cell r="AC33">
            <v>3872801</v>
          </cell>
          <cell r="AD33">
            <v>0</v>
          </cell>
          <cell r="AE33">
            <v>3872801</v>
          </cell>
          <cell r="AF33">
            <v>-1</v>
          </cell>
          <cell r="AG33">
            <v>3872801</v>
          </cell>
          <cell r="AH33">
            <v>-1</v>
          </cell>
          <cell r="AI33"/>
          <cell r="AJ33"/>
          <cell r="AK33">
            <v>0.54432216350267015</v>
          </cell>
          <cell r="AL33">
            <v>0</v>
          </cell>
          <cell r="AM33">
            <v>0.54432216350267015</v>
          </cell>
          <cell r="AN33" t="str">
            <v/>
          </cell>
          <cell r="AO33">
            <v>0.54432216350267015</v>
          </cell>
          <cell r="AP33" t="e">
            <v>#DIV/0!</v>
          </cell>
          <cell r="AQ33">
            <v>0</v>
          </cell>
          <cell r="AR33" t="e">
            <v>#DIV/0!</v>
          </cell>
        </row>
        <row r="34">
          <cell r="B34">
            <v>39630</v>
          </cell>
          <cell r="C34">
            <v>39630</v>
          </cell>
          <cell r="D34" t="str">
            <v>TOTAL</v>
          </cell>
          <cell r="E34">
            <v>0.61985741316906207</v>
          </cell>
          <cell r="F34" t="str">
            <v>c</v>
          </cell>
          <cell r="G34" t="str">
            <v>c</v>
          </cell>
          <cell r="H34" t="str">
            <v>g</v>
          </cell>
          <cell r="I34">
            <v>0.9</v>
          </cell>
          <cell r="J34">
            <v>0.75</v>
          </cell>
          <cell r="K34">
            <v>0.55475844853916412</v>
          </cell>
          <cell r="L34" t="str">
            <v>c</v>
          </cell>
          <cell r="M34" t="str">
            <v>c</v>
          </cell>
          <cell r="N34" t="str">
            <v>g</v>
          </cell>
          <cell r="O34">
            <v>0.9</v>
          </cell>
          <cell r="P34">
            <v>0.75</v>
          </cell>
          <cell r="Q34"/>
          <cell r="R34">
            <v>39630</v>
          </cell>
          <cell r="S34" t="str">
            <v>TOTAL</v>
          </cell>
          <cell r="T34"/>
          <cell r="U34">
            <v>0.61985741316906207</v>
          </cell>
          <cell r="V34">
            <v>0</v>
          </cell>
          <cell r="W34">
            <v>0.61985741316906207</v>
          </cell>
          <cell r="X34" t="str">
            <v/>
          </cell>
          <cell r="Y34">
            <v>0.61985741316906207</v>
          </cell>
          <cell r="Z34">
            <v>-1</v>
          </cell>
          <cell r="AA34"/>
          <cell r="AB34">
            <v>0</v>
          </cell>
          <cell r="AC34">
            <v>4498772</v>
          </cell>
          <cell r="AD34">
            <v>0</v>
          </cell>
          <cell r="AE34">
            <v>4498772</v>
          </cell>
          <cell r="AF34">
            <v>-1</v>
          </cell>
          <cell r="AG34">
            <v>4498772</v>
          </cell>
          <cell r="AH34">
            <v>-1</v>
          </cell>
          <cell r="AI34"/>
          <cell r="AJ34"/>
          <cell r="AK34">
            <v>0.55475844853916412</v>
          </cell>
          <cell r="AL34">
            <v>0</v>
          </cell>
          <cell r="AM34">
            <v>0.55475844853916412</v>
          </cell>
          <cell r="AN34" t="str">
            <v/>
          </cell>
          <cell r="AO34">
            <v>0.55475844853916412</v>
          </cell>
          <cell r="AP34" t="e">
            <v>#DIV/0!</v>
          </cell>
          <cell r="AQ34">
            <v>0</v>
          </cell>
          <cell r="AR34" t="e">
            <v>#DIV/0!</v>
          </cell>
        </row>
        <row r="35">
          <cell r="B35">
            <v>39661</v>
          </cell>
          <cell r="C35">
            <v>39661</v>
          </cell>
          <cell r="D35" t="str">
            <v>TOTAL</v>
          </cell>
          <cell r="E35">
            <v>0.62037712630010144</v>
          </cell>
          <cell r="F35" t="str">
            <v>c</v>
          </cell>
          <cell r="G35" t="str">
            <v>c</v>
          </cell>
          <cell r="H35" t="str">
            <v>g</v>
          </cell>
          <cell r="I35">
            <v>0.9</v>
          </cell>
          <cell r="J35">
            <v>0.75</v>
          </cell>
          <cell r="K35">
            <v>0.56295237804249654</v>
          </cell>
          <cell r="L35" t="str">
            <v>c</v>
          </cell>
          <cell r="M35" t="str">
            <v>c</v>
          </cell>
          <cell r="N35" t="str">
            <v>g</v>
          </cell>
          <cell r="O35">
            <v>0.9</v>
          </cell>
          <cell r="P35">
            <v>0.75</v>
          </cell>
          <cell r="Q35"/>
          <cell r="R35">
            <v>39661</v>
          </cell>
          <cell r="S35" t="str">
            <v>TOTAL</v>
          </cell>
          <cell r="T35"/>
          <cell r="U35">
            <v>0.62037712630010144</v>
          </cell>
          <cell r="V35">
            <v>0</v>
          </cell>
          <cell r="W35">
            <v>0.62037712630010144</v>
          </cell>
          <cell r="X35" t="str">
            <v/>
          </cell>
          <cell r="Y35">
            <v>0.62037712630010144</v>
          </cell>
          <cell r="Z35">
            <v>-1</v>
          </cell>
          <cell r="AA35"/>
          <cell r="AB35">
            <v>0</v>
          </cell>
          <cell r="AC35">
            <v>4650020</v>
          </cell>
          <cell r="AD35">
            <v>0</v>
          </cell>
          <cell r="AE35">
            <v>4650020</v>
          </cell>
          <cell r="AF35">
            <v>-1</v>
          </cell>
          <cell r="AG35">
            <v>4650020</v>
          </cell>
          <cell r="AH35">
            <v>-1</v>
          </cell>
          <cell r="AI35"/>
          <cell r="AJ35"/>
          <cell r="AK35">
            <v>0.56295237804249654</v>
          </cell>
          <cell r="AL35">
            <v>0</v>
          </cell>
          <cell r="AM35">
            <v>0.56295237804249654</v>
          </cell>
          <cell r="AN35" t="str">
            <v/>
          </cell>
          <cell r="AO35">
            <v>0.56295237804249654</v>
          </cell>
          <cell r="AP35" t="e">
            <v>#DIV/0!</v>
          </cell>
          <cell r="AQ35">
            <v>0</v>
          </cell>
          <cell r="AR35" t="e">
            <v>#DIV/0!</v>
          </cell>
        </row>
        <row r="36">
          <cell r="B36">
            <v>39692</v>
          </cell>
          <cell r="C36">
            <v>39692</v>
          </cell>
          <cell r="D36" t="str">
            <v>TOTAL</v>
          </cell>
          <cell r="E36">
            <v>0.6748315959516018</v>
          </cell>
          <cell r="F36" t="str">
            <v>c</v>
          </cell>
          <cell r="G36" t="str">
            <v>c</v>
          </cell>
          <cell r="H36" t="str">
            <v>g</v>
          </cell>
          <cell r="I36">
            <v>0.9</v>
          </cell>
          <cell r="J36">
            <v>0.75</v>
          </cell>
          <cell r="K36">
            <v>0.57357556859370695</v>
          </cell>
          <cell r="L36" t="str">
            <v>c</v>
          </cell>
          <cell r="M36" t="str">
            <v>c</v>
          </cell>
          <cell r="N36" t="str">
            <v>g</v>
          </cell>
          <cell r="O36">
            <v>0.9</v>
          </cell>
          <cell r="P36">
            <v>0.75</v>
          </cell>
          <cell r="Q36"/>
          <cell r="R36">
            <v>39692</v>
          </cell>
          <cell r="S36" t="str">
            <v>TOTAL</v>
          </cell>
          <cell r="T36"/>
          <cell r="U36">
            <v>0.6748315959516018</v>
          </cell>
          <cell r="V36">
            <v>0</v>
          </cell>
          <cell r="W36">
            <v>0.6748315959516018</v>
          </cell>
          <cell r="X36" t="str">
            <v/>
          </cell>
          <cell r="Y36">
            <v>0.6748315959516018</v>
          </cell>
          <cell r="Z36">
            <v>-1</v>
          </cell>
          <cell r="AA36"/>
          <cell r="AB36">
            <v>0</v>
          </cell>
          <cell r="AC36">
            <v>4249754</v>
          </cell>
          <cell r="AD36">
            <v>0</v>
          </cell>
          <cell r="AE36">
            <v>4249754</v>
          </cell>
          <cell r="AF36">
            <v>-1</v>
          </cell>
          <cell r="AG36">
            <v>4249754</v>
          </cell>
          <cell r="AH36">
            <v>-1</v>
          </cell>
          <cell r="AI36"/>
          <cell r="AJ36"/>
          <cell r="AK36">
            <v>0.57357556859370695</v>
          </cell>
          <cell r="AL36">
            <v>0</v>
          </cell>
          <cell r="AM36">
            <v>0.57357556859370695</v>
          </cell>
          <cell r="AN36" t="str">
            <v/>
          </cell>
          <cell r="AO36">
            <v>0.57357556859370695</v>
          </cell>
          <cell r="AP36" t="e">
            <v>#DIV/0!</v>
          </cell>
          <cell r="AQ36">
            <v>0</v>
          </cell>
          <cell r="AR36" t="e">
            <v>#DIV/0!</v>
          </cell>
        </row>
        <row r="37">
          <cell r="B37">
            <v>39722</v>
          </cell>
          <cell r="C37">
            <v>39722</v>
          </cell>
          <cell r="D37" t="str">
            <v>TOTAL</v>
          </cell>
          <cell r="E37">
            <v>0.82828870405250299</v>
          </cell>
          <cell r="F37" t="str">
            <v>c</v>
          </cell>
          <cell r="G37" t="str">
            <v>g</v>
          </cell>
          <cell r="H37" t="str">
            <v>c</v>
          </cell>
          <cell r="I37">
            <v>0.9</v>
          </cell>
          <cell r="J37">
            <v>0.75</v>
          </cell>
          <cell r="K37">
            <v>0.59638701869602584</v>
          </cell>
          <cell r="L37" t="str">
            <v>c</v>
          </cell>
          <cell r="M37" t="str">
            <v>c</v>
          </cell>
          <cell r="N37" t="str">
            <v>g</v>
          </cell>
          <cell r="O37">
            <v>0.9</v>
          </cell>
          <cell r="P37">
            <v>0.75</v>
          </cell>
          <cell r="Q37"/>
          <cell r="R37">
            <v>39722</v>
          </cell>
          <cell r="S37" t="str">
            <v>TOTAL</v>
          </cell>
          <cell r="T37"/>
          <cell r="U37">
            <v>0.82828870405250299</v>
          </cell>
          <cell r="V37">
            <v>0</v>
          </cell>
          <cell r="W37">
            <v>0.82828870405250299</v>
          </cell>
          <cell r="X37" t="str">
            <v/>
          </cell>
          <cell r="Y37">
            <v>0.82828870405250299</v>
          </cell>
          <cell r="Z37">
            <v>-1</v>
          </cell>
          <cell r="AA37"/>
          <cell r="AB37">
            <v>0</v>
          </cell>
          <cell r="AC37">
            <v>5403729</v>
          </cell>
          <cell r="AD37">
            <v>0</v>
          </cell>
          <cell r="AE37">
            <v>5403729</v>
          </cell>
          <cell r="AF37">
            <v>-1</v>
          </cell>
          <cell r="AG37">
            <v>5403729</v>
          </cell>
          <cell r="AH37">
            <v>-1</v>
          </cell>
          <cell r="AI37"/>
          <cell r="AJ37"/>
          <cell r="AK37">
            <v>0.59638701869602584</v>
          </cell>
          <cell r="AL37">
            <v>0</v>
          </cell>
          <cell r="AM37">
            <v>0.59638701869602584</v>
          </cell>
          <cell r="AN37" t="str">
            <v/>
          </cell>
          <cell r="AO37">
            <v>0.59638701869602584</v>
          </cell>
          <cell r="AP37" t="e">
            <v>#DIV/0!</v>
          </cell>
          <cell r="AQ37">
            <v>0</v>
          </cell>
          <cell r="AR37" t="e">
            <v>#DIV/0!</v>
          </cell>
        </row>
        <row r="38">
          <cell r="B38">
            <v>39753</v>
          </cell>
          <cell r="C38">
            <v>39753</v>
          </cell>
          <cell r="D38" t="str">
            <v>TOTAL</v>
          </cell>
          <cell r="E38">
            <v>0.70560946239459355</v>
          </cell>
          <cell r="F38" t="str">
            <v>c</v>
          </cell>
          <cell r="G38" t="str">
            <v>c</v>
          </cell>
          <cell r="H38" t="str">
            <v>g</v>
          </cell>
          <cell r="I38">
            <v>0.9</v>
          </cell>
          <cell r="J38">
            <v>0.75</v>
          </cell>
          <cell r="K38">
            <v>0.60411475638443857</v>
          </cell>
          <cell r="L38" t="str">
            <v>c</v>
          </cell>
          <cell r="M38" t="str">
            <v>c</v>
          </cell>
          <cell r="N38" t="str">
            <v>g</v>
          </cell>
          <cell r="O38">
            <v>0.9</v>
          </cell>
          <cell r="P38">
            <v>0.75</v>
          </cell>
          <cell r="Q38"/>
          <cell r="R38">
            <v>39753</v>
          </cell>
          <cell r="S38" t="str">
            <v>TOTAL</v>
          </cell>
          <cell r="T38"/>
          <cell r="U38">
            <v>0.70560946239459355</v>
          </cell>
          <cell r="V38">
            <v>0</v>
          </cell>
          <cell r="W38">
            <v>0.70560946239459355</v>
          </cell>
          <cell r="X38" t="str">
            <v/>
          </cell>
          <cell r="Y38">
            <v>0.70560946239459355</v>
          </cell>
          <cell r="Z38">
            <v>-1</v>
          </cell>
          <cell r="AA38"/>
          <cell r="AB38">
            <v>0</v>
          </cell>
          <cell r="AC38">
            <v>3913665</v>
          </cell>
          <cell r="AD38">
            <v>0</v>
          </cell>
          <cell r="AE38">
            <v>3913665</v>
          </cell>
          <cell r="AF38">
            <v>-1</v>
          </cell>
          <cell r="AG38">
            <v>3913665</v>
          </cell>
          <cell r="AH38">
            <v>-1</v>
          </cell>
          <cell r="AI38"/>
          <cell r="AJ38"/>
          <cell r="AK38">
            <v>0.60411475638443857</v>
          </cell>
          <cell r="AL38">
            <v>0</v>
          </cell>
          <cell r="AM38">
            <v>0.60411475638443857</v>
          </cell>
          <cell r="AN38" t="str">
            <v/>
          </cell>
          <cell r="AO38">
            <v>0.60411475638443857</v>
          </cell>
          <cell r="AP38" t="e">
            <v>#DIV/0!</v>
          </cell>
          <cell r="AQ38">
            <v>0</v>
          </cell>
          <cell r="AR38" t="e">
            <v>#DIV/0!</v>
          </cell>
        </row>
        <row r="39">
          <cell r="B39">
            <v>39783</v>
          </cell>
          <cell r="C39">
            <v>39783</v>
          </cell>
          <cell r="D39" t="str">
            <v>TOTAL</v>
          </cell>
          <cell r="E39">
            <v>0.74638697867708903</v>
          </cell>
          <cell r="F39" t="str">
            <v>c</v>
          </cell>
          <cell r="G39" t="str">
            <v>c</v>
          </cell>
          <cell r="H39" t="str">
            <v>g</v>
          </cell>
          <cell r="I39">
            <v>0.9</v>
          </cell>
          <cell r="J39">
            <v>0.75</v>
          </cell>
          <cell r="K39">
            <v>0.612730299902987</v>
          </cell>
          <cell r="L39" t="str">
            <v>c</v>
          </cell>
          <cell r="M39" t="str">
            <v>c</v>
          </cell>
          <cell r="N39" t="str">
            <v>g</v>
          </cell>
          <cell r="O39">
            <v>0.9</v>
          </cell>
          <cell r="P39">
            <v>0.75</v>
          </cell>
          <cell r="Q39"/>
          <cell r="R39">
            <v>39783</v>
          </cell>
          <cell r="S39" t="str">
            <v>TOTAL</v>
          </cell>
          <cell r="T39"/>
          <cell r="U39">
            <v>0.74638697867708903</v>
          </cell>
          <cell r="V39">
            <v>0</v>
          </cell>
          <cell r="W39">
            <v>0.74638697867708903</v>
          </cell>
          <cell r="X39" t="str">
            <v/>
          </cell>
          <cell r="Y39">
            <v>0.74638697867708903</v>
          </cell>
          <cell r="Z39">
            <v>-1</v>
          </cell>
          <cell r="AA39"/>
          <cell r="AB39">
            <v>0</v>
          </cell>
          <cell r="AC39">
            <v>3771680</v>
          </cell>
          <cell r="AD39">
            <v>0</v>
          </cell>
          <cell r="AE39">
            <v>3771680</v>
          </cell>
          <cell r="AF39">
            <v>-1</v>
          </cell>
          <cell r="AG39">
            <v>3771680</v>
          </cell>
          <cell r="AH39">
            <v>-1</v>
          </cell>
          <cell r="AI39"/>
          <cell r="AJ39"/>
          <cell r="AK39">
            <v>0.612730299902987</v>
          </cell>
          <cell r="AL39">
            <v>0</v>
          </cell>
          <cell r="AM39">
            <v>0.612730299902987</v>
          </cell>
          <cell r="AN39" t="str">
            <v/>
          </cell>
          <cell r="AO39">
            <v>0.612730299902987</v>
          </cell>
          <cell r="AP39" t="e">
            <v>#DIV/0!</v>
          </cell>
          <cell r="AQ39">
            <v>0</v>
          </cell>
          <cell r="AR39" t="e">
            <v>#DIV/0!</v>
          </cell>
        </row>
        <row r="40">
          <cell r="B40">
            <v>39814</v>
          </cell>
          <cell r="C40"/>
          <cell r="D40" t="str">
            <v>TOTAL</v>
          </cell>
          <cell r="E40" t="str">
            <v/>
          </cell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  <cell r="L40" t="str">
            <v/>
          </cell>
          <cell r="M40" t="str">
            <v/>
          </cell>
          <cell r="N40" t="str">
            <v/>
          </cell>
          <cell r="O40" t="str">
            <v/>
          </cell>
          <cell r="P40" t="str">
            <v/>
          </cell>
          <cell r="Q40"/>
          <cell r="R40">
            <v>39814</v>
          </cell>
          <cell r="S40" t="str">
            <v>TOTAL</v>
          </cell>
          <cell r="T40">
            <v>0.50527558824178953</v>
          </cell>
          <cell r="U40" t="str">
            <v/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 t="str">
            <v/>
          </cell>
          <cell r="AA40"/>
          <cell r="AB40">
            <v>4324150</v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/>
          <cell r="AJ40">
            <v>0.50527558824178953</v>
          </cell>
          <cell r="AK40" t="str">
            <v/>
          </cell>
          <cell r="AL40" t="str">
            <v/>
          </cell>
          <cell r="AM40" t="str">
            <v/>
          </cell>
          <cell r="AN40" t="str">
            <v/>
          </cell>
          <cell r="AO40" t="str">
            <v/>
          </cell>
          <cell r="AP40" t="str">
            <v/>
          </cell>
          <cell r="AQ40">
            <v>0</v>
          </cell>
          <cell r="AR40" t="str">
            <v/>
          </cell>
        </row>
        <row r="41">
          <cell r="B41">
            <v>39845</v>
          </cell>
          <cell r="C41"/>
          <cell r="D41" t="str">
            <v>TOTAL</v>
          </cell>
          <cell r="E41" t="str">
            <v/>
          </cell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  <cell r="J41" t="str">
            <v/>
          </cell>
          <cell r="K41" t="str">
            <v/>
          </cell>
          <cell r="L41" t="str">
            <v/>
          </cell>
          <cell r="M41" t="str">
            <v/>
          </cell>
          <cell r="N41" t="str">
            <v/>
          </cell>
          <cell r="O41"/>
          <cell r="P41"/>
          <cell r="Q41"/>
          <cell r="R41">
            <v>39845</v>
          </cell>
          <cell r="S41" t="str">
            <v>TOTAL</v>
          </cell>
          <cell r="T41">
            <v>0.54548084436738897</v>
          </cell>
          <cell r="U41" t="str">
            <v/>
          </cell>
          <cell r="V41" t="str">
            <v/>
          </cell>
          <cell r="W41" t="str">
            <v/>
          </cell>
          <cell r="X41" t="str">
            <v/>
          </cell>
          <cell r="Y41" t="str">
            <v/>
          </cell>
          <cell r="Z41" t="str">
            <v/>
          </cell>
          <cell r="AA41"/>
          <cell r="AB41">
            <v>4133230</v>
          </cell>
          <cell r="AC41" t="str">
            <v/>
          </cell>
          <cell r="AD41" t="str">
            <v/>
          </cell>
          <cell r="AE41" t="str">
            <v/>
          </cell>
          <cell r="AF41" t="str">
            <v/>
          </cell>
          <cell r="AG41" t="str">
            <v/>
          </cell>
          <cell r="AH41" t="str">
            <v/>
          </cell>
          <cell r="AI41"/>
          <cell r="AJ41">
            <v>0.52415627769948803</v>
          </cell>
          <cell r="AK41" t="str">
            <v/>
          </cell>
          <cell r="AL41" t="str">
            <v/>
          </cell>
          <cell r="AM41" t="str">
            <v/>
          </cell>
          <cell r="AN41" t="str">
            <v/>
          </cell>
          <cell r="AO41" t="str">
            <v/>
          </cell>
          <cell r="AP41" t="str">
            <v/>
          </cell>
          <cell r="AQ41">
            <v>0</v>
          </cell>
          <cell r="AR41"/>
        </row>
        <row r="42">
          <cell r="B42">
            <v>39873</v>
          </cell>
          <cell r="C42"/>
          <cell r="D42" t="str">
            <v>TOTAL</v>
          </cell>
          <cell r="E42" t="str">
            <v/>
          </cell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  <cell r="J42" t="str">
            <v/>
          </cell>
          <cell r="K42" t="str">
            <v/>
          </cell>
          <cell r="L42" t="str">
            <v/>
          </cell>
          <cell r="M42" t="str">
            <v/>
          </cell>
          <cell r="N42" t="str">
            <v/>
          </cell>
          <cell r="O42"/>
          <cell r="P42"/>
          <cell r="Q42"/>
          <cell r="R42">
            <v>39873</v>
          </cell>
          <cell r="S42" t="str">
            <v>TOTAL</v>
          </cell>
          <cell r="T42">
            <v>0.61568107519013815</v>
          </cell>
          <cell r="U42" t="str">
            <v/>
          </cell>
          <cell r="V42" t="str">
            <v/>
          </cell>
          <cell r="W42" t="str">
            <v/>
          </cell>
          <cell r="X42" t="str">
            <v/>
          </cell>
          <cell r="Y42" t="str">
            <v/>
          </cell>
          <cell r="Z42" t="str">
            <v/>
          </cell>
          <cell r="AA42"/>
          <cell r="AB42">
            <v>3973195</v>
          </cell>
          <cell r="AC42" t="str">
            <v/>
          </cell>
          <cell r="AD42" t="str">
            <v/>
          </cell>
          <cell r="AE42" t="str">
            <v/>
          </cell>
          <cell r="AF42" t="str">
            <v/>
          </cell>
          <cell r="AG42" t="str">
            <v/>
          </cell>
          <cell r="AH42" t="str">
            <v/>
          </cell>
          <cell r="AI42"/>
          <cell r="AJ42">
            <v>0.55030402780451826</v>
          </cell>
          <cell r="AK42" t="str">
            <v/>
          </cell>
          <cell r="AL42" t="str">
            <v/>
          </cell>
          <cell r="AM42" t="str">
            <v/>
          </cell>
          <cell r="AN42" t="str">
            <v/>
          </cell>
          <cell r="AO42" t="str">
            <v/>
          </cell>
          <cell r="AP42" t="str">
            <v/>
          </cell>
          <cell r="AQ42">
            <v>0</v>
          </cell>
          <cell r="AR42"/>
        </row>
        <row r="43">
          <cell r="B43">
            <v>39904</v>
          </cell>
          <cell r="C43"/>
          <cell r="D43" t="str">
            <v>TOTAL</v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 t="str">
            <v/>
          </cell>
          <cell r="L43" t="str">
            <v/>
          </cell>
          <cell r="M43" t="str">
            <v/>
          </cell>
          <cell r="N43" t="str">
            <v/>
          </cell>
          <cell r="O43"/>
          <cell r="P43"/>
          <cell r="Q43"/>
          <cell r="R43">
            <v>39904</v>
          </cell>
          <cell r="S43" t="str">
            <v>TOTAL</v>
          </cell>
          <cell r="T43">
            <v>0.59264784365126599</v>
          </cell>
          <cell r="U43" t="str">
            <v/>
          </cell>
          <cell r="V43" t="str">
            <v/>
          </cell>
          <cell r="W43" t="str">
            <v/>
          </cell>
          <cell r="X43" t="str">
            <v/>
          </cell>
          <cell r="Y43" t="str">
            <v/>
          </cell>
          <cell r="Z43" t="str">
            <v/>
          </cell>
          <cell r="AA43"/>
          <cell r="AB43">
            <v>4631841</v>
          </cell>
          <cell r="AC43" t="str">
            <v/>
          </cell>
          <cell r="AD43" t="str">
            <v/>
          </cell>
          <cell r="AE43" t="str">
            <v/>
          </cell>
          <cell r="AF43" t="str">
            <v/>
          </cell>
          <cell r="AG43" t="str">
            <v/>
          </cell>
          <cell r="AH43" t="str">
            <v/>
          </cell>
          <cell r="AI43"/>
          <cell r="AJ43">
            <v>0.56118869906264501</v>
          </cell>
          <cell r="AK43" t="str">
            <v/>
          </cell>
          <cell r="AL43" t="str">
            <v/>
          </cell>
          <cell r="AM43" t="str">
            <v/>
          </cell>
          <cell r="AN43" t="str">
            <v/>
          </cell>
          <cell r="AO43" t="str">
            <v/>
          </cell>
          <cell r="AP43" t="str">
            <v/>
          </cell>
          <cell r="AQ43">
            <v>0</v>
          </cell>
          <cell r="AR43"/>
        </row>
        <row r="44">
          <cell r="B44">
            <v>39934</v>
          </cell>
          <cell r="C44"/>
          <cell r="D44" t="str">
            <v>TOTAL</v>
          </cell>
          <cell r="E44" t="str">
            <v/>
          </cell>
          <cell r="F44" t="str">
            <v/>
          </cell>
          <cell r="G44" t="str">
            <v/>
          </cell>
          <cell r="H44" t="str">
            <v/>
          </cell>
          <cell r="I44" t="str">
            <v/>
          </cell>
          <cell r="J44" t="str">
            <v/>
          </cell>
          <cell r="K44" t="str">
            <v/>
          </cell>
          <cell r="L44" t="str">
            <v/>
          </cell>
          <cell r="M44" t="str">
            <v/>
          </cell>
          <cell r="N44" t="str">
            <v/>
          </cell>
          <cell r="O44"/>
          <cell r="P44"/>
          <cell r="Q44"/>
          <cell r="R44">
            <v>39934</v>
          </cell>
          <cell r="S44" t="str">
            <v>TOTAL</v>
          </cell>
          <cell r="T44">
            <v>0.49695003641297419</v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  <cell r="AA44"/>
          <cell r="AB44">
            <v>3707373</v>
          </cell>
          <cell r="AC44" t="str">
            <v/>
          </cell>
          <cell r="AD44" t="str">
            <v/>
          </cell>
          <cell r="AE44" t="str">
            <v/>
          </cell>
          <cell r="AF44" t="str">
            <v/>
          </cell>
          <cell r="AG44" t="str">
            <v/>
          </cell>
          <cell r="AH44" t="str">
            <v/>
          </cell>
          <cell r="AI44"/>
          <cell r="AJ44">
            <v>0.54853201490638348</v>
          </cell>
          <cell r="AK44" t="str">
            <v/>
          </cell>
          <cell r="AL44" t="str">
            <v/>
          </cell>
          <cell r="AM44" t="str">
            <v/>
          </cell>
          <cell r="AN44" t="str">
            <v/>
          </cell>
          <cell r="AO44" t="str">
            <v/>
          </cell>
          <cell r="AP44" t="str">
            <v/>
          </cell>
          <cell r="AQ44">
            <v>0</v>
          </cell>
          <cell r="AR44"/>
        </row>
        <row r="45">
          <cell r="B45">
            <v>39965</v>
          </cell>
          <cell r="C45"/>
          <cell r="D45" t="str">
            <v>TOTAL</v>
          </cell>
          <cell r="E45" t="str">
            <v/>
          </cell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  <cell r="M45" t="str">
            <v/>
          </cell>
          <cell r="N45" t="str">
            <v/>
          </cell>
          <cell r="O45"/>
          <cell r="P45"/>
          <cell r="Q45"/>
          <cell r="R45">
            <v>39965</v>
          </cell>
          <cell r="S45" t="str">
            <v>TOTAL</v>
          </cell>
          <cell r="T45">
            <v>0.52280374359134274</v>
          </cell>
          <cell r="U45" t="str">
            <v/>
          </cell>
          <cell r="V45" t="str">
            <v/>
          </cell>
          <cell r="W45" t="str">
            <v/>
          </cell>
          <cell r="X45" t="str">
            <v/>
          </cell>
          <cell r="Y45" t="str">
            <v/>
          </cell>
          <cell r="Z45" t="str">
            <v/>
          </cell>
          <cell r="AA45"/>
          <cell r="AB45">
            <v>3872801</v>
          </cell>
          <cell r="AC45" t="str">
            <v/>
          </cell>
          <cell r="AD45" t="str">
            <v/>
          </cell>
          <cell r="AE45" t="str">
            <v/>
          </cell>
          <cell r="AF45" t="str">
            <v/>
          </cell>
          <cell r="AG45" t="str">
            <v/>
          </cell>
          <cell r="AH45" t="str">
            <v/>
          </cell>
          <cell r="AI45"/>
          <cell r="AJ45">
            <v>0.54432216350267015</v>
          </cell>
          <cell r="AK45" t="str">
            <v/>
          </cell>
          <cell r="AL45" t="str">
            <v/>
          </cell>
          <cell r="AM45" t="str">
            <v/>
          </cell>
          <cell r="AN45" t="str">
            <v/>
          </cell>
          <cell r="AO45" t="str">
            <v/>
          </cell>
          <cell r="AP45" t="str">
            <v/>
          </cell>
          <cell r="AQ45">
            <v>0</v>
          </cell>
          <cell r="AR45"/>
        </row>
        <row r="46">
          <cell r="B46">
            <v>39995</v>
          </cell>
          <cell r="C46"/>
          <cell r="D46" t="str">
            <v>TOTAL</v>
          </cell>
          <cell r="E46" t="str">
            <v/>
          </cell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  <cell r="M46" t="str">
            <v/>
          </cell>
          <cell r="N46" t="str">
            <v/>
          </cell>
          <cell r="O46"/>
          <cell r="P46"/>
          <cell r="Q46"/>
          <cell r="R46">
            <v>39995</v>
          </cell>
          <cell r="S46" t="str">
            <v>TOTAL</v>
          </cell>
          <cell r="T46">
            <v>0.61985741316906207</v>
          </cell>
          <cell r="U46" t="str">
            <v/>
          </cell>
          <cell r="V46" t="str">
            <v/>
          </cell>
          <cell r="W46" t="str">
            <v/>
          </cell>
          <cell r="X46" t="str">
            <v/>
          </cell>
          <cell r="Y46" t="str">
            <v/>
          </cell>
          <cell r="Z46" t="str">
            <v/>
          </cell>
          <cell r="AA46"/>
          <cell r="AB46">
            <v>4498772</v>
          </cell>
          <cell r="AC46" t="str">
            <v/>
          </cell>
          <cell r="AD46" t="str">
            <v/>
          </cell>
          <cell r="AE46" t="str">
            <v/>
          </cell>
          <cell r="AF46" t="str">
            <v/>
          </cell>
          <cell r="AG46" t="str">
            <v/>
          </cell>
          <cell r="AH46" t="str">
            <v/>
          </cell>
          <cell r="AI46"/>
          <cell r="AJ46">
            <v>0.55475844853916412</v>
          </cell>
          <cell r="AK46" t="str">
            <v/>
          </cell>
          <cell r="AL46" t="str">
            <v/>
          </cell>
          <cell r="AM46" t="str">
            <v/>
          </cell>
          <cell r="AN46" t="str">
            <v/>
          </cell>
          <cell r="AO46" t="str">
            <v/>
          </cell>
          <cell r="AP46" t="str">
            <v/>
          </cell>
          <cell r="AQ46">
            <v>0</v>
          </cell>
          <cell r="AR46"/>
        </row>
        <row r="47">
          <cell r="R47">
            <v>40026</v>
          </cell>
          <cell r="S47" t="str">
            <v>TOTAL</v>
          </cell>
          <cell r="T47">
            <v>0.62037712630010144</v>
          </cell>
          <cell r="U47" t="str">
            <v/>
          </cell>
          <cell r="V47" t="str">
            <v/>
          </cell>
          <cell r="W47" t="str">
            <v/>
          </cell>
          <cell r="X47" t="str">
            <v/>
          </cell>
          <cell r="Y47" t="str">
            <v/>
          </cell>
          <cell r="Z47" t="str">
            <v/>
          </cell>
          <cell r="AA47"/>
          <cell r="AB47">
            <v>4650020</v>
          </cell>
          <cell r="AC47" t="str">
            <v/>
          </cell>
          <cell r="AD47" t="str">
            <v/>
          </cell>
          <cell r="AE47" t="str">
            <v/>
          </cell>
          <cell r="AF47" t="str">
            <v/>
          </cell>
          <cell r="AG47" t="str">
            <v/>
          </cell>
          <cell r="AH47" t="str">
            <v/>
          </cell>
          <cell r="AI47"/>
          <cell r="AJ47">
            <v>0.56295237804249654</v>
          </cell>
          <cell r="AK47" t="str">
            <v/>
          </cell>
          <cell r="AL47" t="str">
            <v/>
          </cell>
          <cell r="AM47" t="str">
            <v/>
          </cell>
          <cell r="AN47" t="str">
            <v/>
          </cell>
          <cell r="AO47" t="str">
            <v/>
          </cell>
          <cell r="AP47" t="str">
            <v/>
          </cell>
          <cell r="AQ47">
            <v>0</v>
          </cell>
          <cell r="AR47"/>
        </row>
        <row r="48">
          <cell r="R48">
            <v>40057</v>
          </cell>
          <cell r="S48" t="str">
            <v>TOTAL</v>
          </cell>
          <cell r="T48">
            <v>0.6748315959516018</v>
          </cell>
          <cell r="U48" t="str">
            <v/>
          </cell>
          <cell r="V48" t="str">
            <v/>
          </cell>
          <cell r="W48" t="str">
            <v/>
          </cell>
          <cell r="X48" t="str">
            <v/>
          </cell>
          <cell r="Y48" t="str">
            <v/>
          </cell>
          <cell r="Z48" t="str">
            <v/>
          </cell>
          <cell r="AA48"/>
          <cell r="AB48">
            <v>4249754</v>
          </cell>
          <cell r="AC48" t="str">
            <v/>
          </cell>
          <cell r="AD48" t="str">
            <v/>
          </cell>
          <cell r="AE48" t="str">
            <v/>
          </cell>
          <cell r="AF48" t="str">
            <v/>
          </cell>
          <cell r="AG48" t="str">
            <v/>
          </cell>
          <cell r="AH48" t="str">
            <v/>
          </cell>
          <cell r="AI48"/>
          <cell r="AJ48">
            <v>0.57357556859370695</v>
          </cell>
          <cell r="AK48" t="str">
            <v/>
          </cell>
          <cell r="AL48" t="str">
            <v/>
          </cell>
          <cell r="AM48" t="str">
            <v/>
          </cell>
          <cell r="AN48" t="str">
            <v/>
          </cell>
          <cell r="AO48" t="str">
            <v/>
          </cell>
          <cell r="AP48" t="str">
            <v/>
          </cell>
          <cell r="AQ48">
            <v>0</v>
          </cell>
          <cell r="AR48"/>
        </row>
        <row r="49">
          <cell r="R49">
            <v>40087</v>
          </cell>
          <cell r="S49" t="str">
            <v>TOTAL</v>
          </cell>
          <cell r="T49">
            <v>0.82828870405250299</v>
          </cell>
          <cell r="U49" t="str">
            <v/>
          </cell>
          <cell r="V49" t="str">
            <v/>
          </cell>
          <cell r="W49" t="str">
            <v/>
          </cell>
          <cell r="X49" t="str">
            <v/>
          </cell>
          <cell r="Y49" t="str">
            <v/>
          </cell>
          <cell r="Z49" t="str">
            <v/>
          </cell>
          <cell r="AA49"/>
          <cell r="AB49">
            <v>5403729</v>
          </cell>
          <cell r="AC49" t="str">
            <v/>
          </cell>
          <cell r="AD49" t="str">
            <v/>
          </cell>
          <cell r="AE49" t="str">
            <v/>
          </cell>
          <cell r="AF49" t="str">
            <v/>
          </cell>
          <cell r="AG49" t="str">
            <v/>
          </cell>
          <cell r="AH49" t="str">
            <v/>
          </cell>
          <cell r="AI49"/>
          <cell r="AJ49">
            <v>0.59638701869602584</v>
          </cell>
          <cell r="AK49" t="str">
            <v/>
          </cell>
          <cell r="AL49" t="str">
            <v/>
          </cell>
          <cell r="AM49" t="str">
            <v/>
          </cell>
          <cell r="AN49" t="str">
            <v/>
          </cell>
          <cell r="AO49" t="str">
            <v/>
          </cell>
          <cell r="AP49" t="str">
            <v/>
          </cell>
          <cell r="AQ49">
            <v>0</v>
          </cell>
          <cell r="AR49"/>
        </row>
        <row r="50">
          <cell r="R50"/>
          <cell r="S50"/>
          <cell r="T50"/>
          <cell r="U50"/>
          <cell r="V50"/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 t="str">
            <v/>
          </cell>
          <cell r="AL50" t="str">
            <v/>
          </cell>
          <cell r="AM50"/>
          <cell r="AN50"/>
          <cell r="AO50"/>
          <cell r="AP50"/>
          <cell r="AQ50">
            <v>0</v>
          </cell>
          <cell r="AR50"/>
        </row>
        <row r="51">
          <cell r="R51"/>
          <cell r="S51"/>
          <cell r="T51"/>
          <cell r="U51"/>
          <cell r="V51"/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 t="str">
            <v/>
          </cell>
          <cell r="AL51" t="str">
            <v/>
          </cell>
          <cell r="AM51"/>
          <cell r="AN51"/>
          <cell r="AO51"/>
          <cell r="AP51"/>
          <cell r="AQ51">
            <v>0</v>
          </cell>
          <cell r="AR51"/>
        </row>
        <row r="52">
          <cell r="R52"/>
          <cell r="S52"/>
          <cell r="T52"/>
          <cell r="U52"/>
          <cell r="V52"/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>
            <v>0</v>
          </cell>
          <cell r="AL52" t="str">
            <v/>
          </cell>
          <cell r="AM52"/>
          <cell r="AN52"/>
          <cell r="AO52"/>
          <cell r="AP52"/>
          <cell r="AQ52"/>
          <cell r="AR52"/>
        </row>
      </sheetData>
      <sheetData sheetId="51"/>
      <sheetData sheetId="52">
        <row r="13">
          <cell r="R13"/>
          <cell r="S13"/>
          <cell r="U13"/>
          <cell r="V13"/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</row>
        <row r="14">
          <cell r="R14"/>
          <cell r="S14"/>
          <cell r="T14" t="str">
            <v>Acum. Parada de Máquina (% Tiempo Pérdido)</v>
          </cell>
          <cell r="U14"/>
          <cell r="V14"/>
          <cell r="W14" t="str">
            <v>Var 1.</v>
          </cell>
          <cell r="X14"/>
          <cell r="Y14" t="str">
            <v>Var. 2</v>
          </cell>
          <cell r="Z14"/>
          <cell r="AA14"/>
          <cell r="AB14" t="str">
            <v>Cumplimiento Proyectado  TM</v>
          </cell>
          <cell r="AC14"/>
          <cell r="AD14"/>
          <cell r="AE14" t="str">
            <v>Var 1.</v>
          </cell>
          <cell r="AF14"/>
          <cell r="AG14" t="str">
            <v>Var. 2</v>
          </cell>
          <cell r="AH14"/>
          <cell r="AI14"/>
          <cell r="AJ14" t="str">
            <v>Acum. Parada de Máquina (% Tiempo Pérdido)</v>
          </cell>
          <cell r="AK14"/>
          <cell r="AL14"/>
          <cell r="AM14" t="str">
            <v>Var 1.</v>
          </cell>
          <cell r="AN14"/>
          <cell r="AO14" t="str">
            <v>Var. 2</v>
          </cell>
          <cell r="AP14"/>
          <cell r="AQ14" t="str">
            <v>Acumula</v>
          </cell>
          <cell r="AR14"/>
        </row>
        <row r="15">
          <cell r="R15" t="str">
            <v>Fecha</v>
          </cell>
          <cell r="S15" t="str">
            <v>TIPO</v>
          </cell>
          <cell r="T15"/>
          <cell r="U15" t="str">
            <v>Real</v>
          </cell>
          <cell r="V15" t="str">
            <v>Programado</v>
          </cell>
          <cell r="W15" t="str">
            <v>Unidades</v>
          </cell>
          <cell r="X15" t="str">
            <v>%</v>
          </cell>
          <cell r="Y15" t="str">
            <v>Unidades</v>
          </cell>
          <cell r="Z15" t="str">
            <v>%</v>
          </cell>
          <cell r="AA15"/>
          <cell r="AB15" t="str">
            <v>Anteriores</v>
          </cell>
          <cell r="AC15" t="str">
            <v>Real</v>
          </cell>
          <cell r="AD15" t="str">
            <v>Inicial</v>
          </cell>
          <cell r="AE15" t="str">
            <v>Unidades</v>
          </cell>
          <cell r="AF15" t="str">
            <v>%</v>
          </cell>
          <cell r="AG15" t="str">
            <v>Unidades</v>
          </cell>
          <cell r="AH15" t="str">
            <v>%</v>
          </cell>
          <cell r="AI15"/>
          <cell r="AJ15" t="str">
            <v>Anterior</v>
          </cell>
          <cell r="AK15" t="str">
            <v>Real</v>
          </cell>
          <cell r="AL15" t="str">
            <v>Programado</v>
          </cell>
          <cell r="AM15" t="str">
            <v>Unidades</v>
          </cell>
          <cell r="AN15" t="str">
            <v>%</v>
          </cell>
          <cell r="AO15" t="str">
            <v>Unidades</v>
          </cell>
          <cell r="AP15" t="str">
            <v>%</v>
          </cell>
          <cell r="AQ15" t="str">
            <v>PPTO</v>
          </cell>
          <cell r="AR15" t="str">
            <v>Avance</v>
          </cell>
        </row>
        <row r="16">
          <cell r="B16">
            <v>39083</v>
          </cell>
          <cell r="C16">
            <v>39083</v>
          </cell>
          <cell r="D16" t="str">
            <v>GLOBAL</v>
          </cell>
          <cell r="E16"/>
          <cell r="F16" t="str">
            <v/>
          </cell>
          <cell r="G16" t="str">
            <v/>
          </cell>
          <cell r="H16" t="str">
            <v/>
          </cell>
          <cell r="I16">
            <v>0</v>
          </cell>
          <cell r="J16">
            <v>0</v>
          </cell>
          <cell r="K16"/>
          <cell r="L16" t="str">
            <v/>
          </cell>
          <cell r="M16" t="str">
            <v/>
          </cell>
          <cell r="N16" t="str">
            <v/>
          </cell>
          <cell r="O16">
            <v>0</v>
          </cell>
          <cell r="P16">
            <v>0</v>
          </cell>
          <cell r="R16">
            <v>39083</v>
          </cell>
          <cell r="S16" t="str">
            <v>GLOBAL</v>
          </cell>
          <cell r="T16"/>
          <cell r="U16"/>
          <cell r="V16"/>
          <cell r="W16" t="str">
            <v/>
          </cell>
          <cell r="X16"/>
          <cell r="Y16">
            <v>0</v>
          </cell>
          <cell r="Z16" t="e">
            <v>#DIV/0!</v>
          </cell>
          <cell r="AA16"/>
          <cell r="AB16"/>
          <cell r="AC16">
            <v>0</v>
          </cell>
          <cell r="AD16">
            <v>0</v>
          </cell>
          <cell r="AE16">
            <v>0</v>
          </cell>
          <cell r="AF16" t="e">
            <v>#DIV/0!</v>
          </cell>
          <cell r="AG16">
            <v>0</v>
          </cell>
          <cell r="AH16" t="e">
            <v>#DIV/0!</v>
          </cell>
          <cell r="AI16"/>
          <cell r="AJ16"/>
          <cell r="AK16"/>
          <cell r="AL16">
            <v>0</v>
          </cell>
          <cell r="AM16" t="str">
            <v/>
          </cell>
          <cell r="AN16"/>
          <cell r="AO16">
            <v>0</v>
          </cell>
          <cell r="AP16" t="e">
            <v>#DIV/0!</v>
          </cell>
          <cell r="AQ16">
            <v>0</v>
          </cell>
          <cell r="AR16" t="e">
            <v>#DIV/0!</v>
          </cell>
        </row>
        <row r="17">
          <cell r="B17">
            <v>39114</v>
          </cell>
          <cell r="C17">
            <v>39114</v>
          </cell>
          <cell r="D17" t="str">
            <v>GLOBAL</v>
          </cell>
          <cell r="E17"/>
          <cell r="F17" t="str">
            <v/>
          </cell>
          <cell r="G17" t="str">
            <v/>
          </cell>
          <cell r="H17" t="str">
            <v/>
          </cell>
          <cell r="I17">
            <v>0</v>
          </cell>
          <cell r="J17">
            <v>0</v>
          </cell>
          <cell r="K17"/>
          <cell r="L17" t="str">
            <v/>
          </cell>
          <cell r="M17" t="str">
            <v/>
          </cell>
          <cell r="N17" t="str">
            <v/>
          </cell>
          <cell r="O17">
            <v>0</v>
          </cell>
          <cell r="P17">
            <v>0</v>
          </cell>
          <cell r="R17">
            <v>39114</v>
          </cell>
          <cell r="S17" t="str">
            <v>GLOBAL</v>
          </cell>
          <cell r="T17"/>
          <cell r="U17"/>
          <cell r="V17"/>
          <cell r="W17" t="str">
            <v/>
          </cell>
          <cell r="X17"/>
          <cell r="Y17">
            <v>0</v>
          </cell>
          <cell r="Z17" t="e">
            <v>#DIV/0!</v>
          </cell>
          <cell r="AA17"/>
          <cell r="AB17"/>
          <cell r="AC17">
            <v>0</v>
          </cell>
          <cell r="AD17">
            <v>0</v>
          </cell>
          <cell r="AE17">
            <v>0</v>
          </cell>
          <cell r="AF17" t="e">
            <v>#DIV/0!</v>
          </cell>
          <cell r="AG17">
            <v>0</v>
          </cell>
          <cell r="AH17" t="e">
            <v>#DIV/0!</v>
          </cell>
          <cell r="AI17"/>
          <cell r="AJ17"/>
          <cell r="AK17"/>
          <cell r="AL17">
            <v>0</v>
          </cell>
          <cell r="AM17" t="str">
            <v/>
          </cell>
          <cell r="AN17"/>
          <cell r="AO17">
            <v>0</v>
          </cell>
          <cell r="AP17" t="e">
            <v>#DIV/0!</v>
          </cell>
          <cell r="AQ17">
            <v>0</v>
          </cell>
          <cell r="AR17" t="e">
            <v>#DIV/0!</v>
          </cell>
        </row>
        <row r="18">
          <cell r="B18">
            <v>39142</v>
          </cell>
          <cell r="C18">
            <v>39142</v>
          </cell>
          <cell r="D18" t="str">
            <v>GLOBAL</v>
          </cell>
          <cell r="E18"/>
          <cell r="F18" t="str">
            <v/>
          </cell>
          <cell r="G18" t="str">
            <v/>
          </cell>
          <cell r="H18" t="str">
            <v/>
          </cell>
          <cell r="I18">
            <v>0</v>
          </cell>
          <cell r="J18">
            <v>0</v>
          </cell>
          <cell r="K18"/>
          <cell r="L18" t="str">
            <v/>
          </cell>
          <cell r="M18" t="str">
            <v/>
          </cell>
          <cell r="N18" t="str">
            <v/>
          </cell>
          <cell r="O18">
            <v>0</v>
          </cell>
          <cell r="P18">
            <v>0</v>
          </cell>
          <cell r="R18">
            <v>39142</v>
          </cell>
          <cell r="S18" t="str">
            <v>GLOBAL</v>
          </cell>
          <cell r="T18"/>
          <cell r="U18"/>
          <cell r="V18"/>
          <cell r="W18" t="str">
            <v/>
          </cell>
          <cell r="X18"/>
          <cell r="Y18">
            <v>0</v>
          </cell>
          <cell r="Z18" t="e">
            <v>#DIV/0!</v>
          </cell>
          <cell r="AA18"/>
          <cell r="AB18"/>
          <cell r="AC18">
            <v>0</v>
          </cell>
          <cell r="AD18">
            <v>0</v>
          </cell>
          <cell r="AE18">
            <v>0</v>
          </cell>
          <cell r="AF18" t="e">
            <v>#DIV/0!</v>
          </cell>
          <cell r="AG18">
            <v>0</v>
          </cell>
          <cell r="AH18" t="e">
            <v>#DIV/0!</v>
          </cell>
          <cell r="AI18"/>
          <cell r="AJ18"/>
          <cell r="AK18"/>
          <cell r="AL18">
            <v>0</v>
          </cell>
          <cell r="AM18" t="str">
            <v/>
          </cell>
          <cell r="AN18"/>
          <cell r="AO18">
            <v>0</v>
          </cell>
          <cell r="AP18" t="e">
            <v>#DIV/0!</v>
          </cell>
          <cell r="AQ18">
            <v>0</v>
          </cell>
          <cell r="AR18" t="e">
            <v>#DIV/0!</v>
          </cell>
        </row>
        <row r="19">
          <cell r="B19">
            <v>39173</v>
          </cell>
          <cell r="C19">
            <v>39173</v>
          </cell>
          <cell r="D19" t="str">
            <v>GLOBAL</v>
          </cell>
          <cell r="E19"/>
          <cell r="F19" t="str">
            <v/>
          </cell>
          <cell r="G19" t="str">
            <v/>
          </cell>
          <cell r="H19" t="str">
            <v/>
          </cell>
          <cell r="I19">
            <v>0</v>
          </cell>
          <cell r="J19">
            <v>0</v>
          </cell>
          <cell r="K19"/>
          <cell r="L19" t="str">
            <v/>
          </cell>
          <cell r="M19" t="str">
            <v/>
          </cell>
          <cell r="N19" t="str">
            <v/>
          </cell>
          <cell r="O19">
            <v>0</v>
          </cell>
          <cell r="P19">
            <v>0</v>
          </cell>
          <cell r="R19">
            <v>39173</v>
          </cell>
          <cell r="S19" t="str">
            <v>GLOBAL</v>
          </cell>
          <cell r="T19"/>
          <cell r="U19"/>
          <cell r="V19"/>
          <cell r="W19" t="str">
            <v/>
          </cell>
          <cell r="X19"/>
          <cell r="Y19">
            <v>0</v>
          </cell>
          <cell r="Z19" t="e">
            <v>#DIV/0!</v>
          </cell>
          <cell r="AA19"/>
          <cell r="AB19"/>
          <cell r="AC19">
            <v>0</v>
          </cell>
          <cell r="AD19">
            <v>0</v>
          </cell>
          <cell r="AE19">
            <v>0</v>
          </cell>
          <cell r="AF19" t="e">
            <v>#DIV/0!</v>
          </cell>
          <cell r="AG19">
            <v>0</v>
          </cell>
          <cell r="AH19" t="e">
            <v>#DIV/0!</v>
          </cell>
          <cell r="AI19"/>
          <cell r="AJ19"/>
          <cell r="AK19"/>
          <cell r="AL19">
            <v>0</v>
          </cell>
          <cell r="AM19" t="str">
            <v/>
          </cell>
          <cell r="AN19"/>
          <cell r="AO19">
            <v>0</v>
          </cell>
          <cell r="AP19" t="e">
            <v>#DIV/0!</v>
          </cell>
          <cell r="AQ19">
            <v>0</v>
          </cell>
          <cell r="AR19" t="e">
            <v>#DIV/0!</v>
          </cell>
        </row>
        <row r="20">
          <cell r="B20">
            <v>39203</v>
          </cell>
          <cell r="C20">
            <v>39203</v>
          </cell>
          <cell r="D20" t="str">
            <v>GLOBAL</v>
          </cell>
          <cell r="E20"/>
          <cell r="F20" t="str">
            <v/>
          </cell>
          <cell r="G20" t="str">
            <v/>
          </cell>
          <cell r="H20" t="str">
            <v/>
          </cell>
          <cell r="I20">
            <v>0</v>
          </cell>
          <cell r="J20">
            <v>0</v>
          </cell>
          <cell r="K20"/>
          <cell r="L20" t="str">
            <v/>
          </cell>
          <cell r="M20" t="str">
            <v/>
          </cell>
          <cell r="N20" t="str">
            <v/>
          </cell>
          <cell r="O20">
            <v>0</v>
          </cell>
          <cell r="P20">
            <v>0</v>
          </cell>
          <cell r="R20">
            <v>39203</v>
          </cell>
          <cell r="S20" t="str">
            <v>GLOBAL</v>
          </cell>
          <cell r="T20"/>
          <cell r="U20"/>
          <cell r="V20"/>
          <cell r="W20" t="str">
            <v/>
          </cell>
          <cell r="X20"/>
          <cell r="Y20">
            <v>0</v>
          </cell>
          <cell r="Z20" t="e">
            <v>#DIV/0!</v>
          </cell>
          <cell r="AA20"/>
          <cell r="AB20"/>
          <cell r="AC20">
            <v>0</v>
          </cell>
          <cell r="AD20">
            <v>0</v>
          </cell>
          <cell r="AE20">
            <v>0</v>
          </cell>
          <cell r="AF20" t="e">
            <v>#DIV/0!</v>
          </cell>
          <cell r="AG20">
            <v>0</v>
          </cell>
          <cell r="AH20" t="e">
            <v>#DIV/0!</v>
          </cell>
          <cell r="AI20"/>
          <cell r="AJ20"/>
          <cell r="AK20"/>
          <cell r="AL20">
            <v>0</v>
          </cell>
          <cell r="AM20" t="str">
            <v/>
          </cell>
          <cell r="AN20"/>
          <cell r="AO20">
            <v>0</v>
          </cell>
          <cell r="AP20" t="e">
            <v>#DIV/0!</v>
          </cell>
          <cell r="AQ20">
            <v>0</v>
          </cell>
          <cell r="AR20" t="e">
            <v>#DIV/0!</v>
          </cell>
        </row>
        <row r="21">
          <cell r="B21">
            <v>39234</v>
          </cell>
          <cell r="C21">
            <v>39234</v>
          </cell>
          <cell r="D21" t="str">
            <v>GLOBAL</v>
          </cell>
          <cell r="E21"/>
          <cell r="F21" t="str">
            <v/>
          </cell>
          <cell r="G21" t="str">
            <v/>
          </cell>
          <cell r="H21" t="str">
            <v/>
          </cell>
          <cell r="I21">
            <v>0</v>
          </cell>
          <cell r="J21">
            <v>0</v>
          </cell>
          <cell r="K21"/>
          <cell r="L21" t="str">
            <v/>
          </cell>
          <cell r="M21" t="str">
            <v/>
          </cell>
          <cell r="N21" t="str">
            <v/>
          </cell>
          <cell r="O21">
            <v>0</v>
          </cell>
          <cell r="P21">
            <v>0</v>
          </cell>
          <cell r="R21">
            <v>39234</v>
          </cell>
          <cell r="S21" t="str">
            <v>GLOBAL</v>
          </cell>
          <cell r="T21"/>
          <cell r="U21"/>
          <cell r="V21"/>
          <cell r="W21" t="str">
            <v/>
          </cell>
          <cell r="X21"/>
          <cell r="Y21">
            <v>0</v>
          </cell>
          <cell r="Z21" t="e">
            <v>#DIV/0!</v>
          </cell>
          <cell r="AA21"/>
          <cell r="AB21"/>
          <cell r="AC21">
            <v>0</v>
          </cell>
          <cell r="AD21">
            <v>0</v>
          </cell>
          <cell r="AE21">
            <v>0</v>
          </cell>
          <cell r="AF21" t="e">
            <v>#DIV/0!</v>
          </cell>
          <cell r="AG21">
            <v>0</v>
          </cell>
          <cell r="AH21" t="e">
            <v>#DIV/0!</v>
          </cell>
          <cell r="AI21"/>
          <cell r="AJ21"/>
          <cell r="AK21"/>
          <cell r="AL21">
            <v>0</v>
          </cell>
          <cell r="AM21" t="str">
            <v/>
          </cell>
          <cell r="AN21"/>
          <cell r="AO21">
            <v>0</v>
          </cell>
          <cell r="AP21" t="e">
            <v>#DIV/0!</v>
          </cell>
          <cell r="AQ21">
            <v>0</v>
          </cell>
          <cell r="AR21" t="e">
            <v>#DIV/0!</v>
          </cell>
        </row>
        <row r="22">
          <cell r="B22">
            <v>39264</v>
          </cell>
          <cell r="C22">
            <v>39264</v>
          </cell>
          <cell r="D22" t="str">
            <v>GLOBAL</v>
          </cell>
          <cell r="E22"/>
          <cell r="F22" t="str">
            <v/>
          </cell>
          <cell r="G22" t="str">
            <v/>
          </cell>
          <cell r="H22" t="str">
            <v/>
          </cell>
          <cell r="I22">
            <v>0</v>
          </cell>
          <cell r="J22">
            <v>0</v>
          </cell>
          <cell r="K22"/>
          <cell r="L22" t="str">
            <v/>
          </cell>
          <cell r="M22" t="str">
            <v/>
          </cell>
          <cell r="N22" t="str">
            <v/>
          </cell>
          <cell r="O22">
            <v>0</v>
          </cell>
          <cell r="P22">
            <v>0</v>
          </cell>
          <cell r="R22">
            <v>39264</v>
          </cell>
          <cell r="S22" t="str">
            <v>GLOBAL</v>
          </cell>
          <cell r="T22"/>
          <cell r="U22"/>
          <cell r="V22"/>
          <cell r="W22" t="str">
            <v/>
          </cell>
          <cell r="X22"/>
          <cell r="Y22">
            <v>0</v>
          </cell>
          <cell r="Z22" t="e">
            <v>#DIV/0!</v>
          </cell>
          <cell r="AA22"/>
          <cell r="AB22"/>
          <cell r="AC22">
            <v>0</v>
          </cell>
          <cell r="AD22">
            <v>0</v>
          </cell>
          <cell r="AE22">
            <v>0</v>
          </cell>
          <cell r="AF22" t="e">
            <v>#DIV/0!</v>
          </cell>
          <cell r="AG22">
            <v>0</v>
          </cell>
          <cell r="AH22" t="e">
            <v>#DIV/0!</v>
          </cell>
          <cell r="AI22"/>
          <cell r="AJ22"/>
          <cell r="AK22"/>
          <cell r="AL22">
            <v>0</v>
          </cell>
          <cell r="AM22" t="str">
            <v/>
          </cell>
          <cell r="AN22"/>
          <cell r="AO22">
            <v>0</v>
          </cell>
          <cell r="AP22" t="e">
            <v>#DIV/0!</v>
          </cell>
          <cell r="AQ22">
            <v>0</v>
          </cell>
          <cell r="AR22" t="e">
            <v>#DIV/0!</v>
          </cell>
        </row>
        <row r="23">
          <cell r="B23">
            <v>39295</v>
          </cell>
          <cell r="C23">
            <v>39295</v>
          </cell>
          <cell r="D23" t="str">
            <v>GLOBAL</v>
          </cell>
          <cell r="E23"/>
          <cell r="F23" t="str">
            <v/>
          </cell>
          <cell r="G23" t="str">
            <v/>
          </cell>
          <cell r="H23" t="str">
            <v/>
          </cell>
          <cell r="I23">
            <v>0</v>
          </cell>
          <cell r="J23">
            <v>0</v>
          </cell>
          <cell r="K23"/>
          <cell r="L23" t="str">
            <v/>
          </cell>
          <cell r="M23" t="str">
            <v/>
          </cell>
          <cell r="N23" t="str">
            <v/>
          </cell>
          <cell r="O23">
            <v>0</v>
          </cell>
          <cell r="P23">
            <v>0</v>
          </cell>
          <cell r="R23">
            <v>39295</v>
          </cell>
          <cell r="S23" t="str">
            <v>GLOBAL</v>
          </cell>
          <cell r="T23"/>
          <cell r="U23"/>
          <cell r="V23"/>
          <cell r="W23" t="str">
            <v/>
          </cell>
          <cell r="X23"/>
          <cell r="Y23">
            <v>0</v>
          </cell>
          <cell r="Z23" t="e">
            <v>#DIV/0!</v>
          </cell>
          <cell r="AA23"/>
          <cell r="AB23"/>
          <cell r="AC23">
            <v>0</v>
          </cell>
          <cell r="AD23">
            <v>0</v>
          </cell>
          <cell r="AE23">
            <v>0</v>
          </cell>
          <cell r="AF23" t="e">
            <v>#DIV/0!</v>
          </cell>
          <cell r="AG23">
            <v>0</v>
          </cell>
          <cell r="AH23" t="e">
            <v>#DIV/0!</v>
          </cell>
          <cell r="AI23"/>
          <cell r="AJ23"/>
          <cell r="AK23"/>
          <cell r="AL23">
            <v>0</v>
          </cell>
          <cell r="AM23" t="str">
            <v/>
          </cell>
          <cell r="AN23"/>
          <cell r="AO23">
            <v>0</v>
          </cell>
          <cell r="AP23" t="e">
            <v>#DIV/0!</v>
          </cell>
          <cell r="AQ23">
            <v>0</v>
          </cell>
          <cell r="AR23" t="e">
            <v>#DIV/0!</v>
          </cell>
        </row>
        <row r="24">
          <cell r="B24">
            <v>39326</v>
          </cell>
          <cell r="C24">
            <v>39326</v>
          </cell>
          <cell r="D24" t="str">
            <v>GLOBAL</v>
          </cell>
          <cell r="E24"/>
          <cell r="F24" t="str">
            <v/>
          </cell>
          <cell r="G24" t="str">
            <v/>
          </cell>
          <cell r="H24" t="str">
            <v/>
          </cell>
          <cell r="I24">
            <v>0</v>
          </cell>
          <cell r="J24">
            <v>0</v>
          </cell>
          <cell r="K24"/>
          <cell r="L24" t="str">
            <v/>
          </cell>
          <cell r="M24" t="str">
            <v/>
          </cell>
          <cell r="N24" t="str">
            <v/>
          </cell>
          <cell r="O24">
            <v>0</v>
          </cell>
          <cell r="P24">
            <v>0</v>
          </cell>
          <cell r="R24">
            <v>39326</v>
          </cell>
          <cell r="S24" t="str">
            <v>GLOBAL</v>
          </cell>
          <cell r="T24"/>
          <cell r="U24"/>
          <cell r="V24"/>
          <cell r="W24" t="str">
            <v/>
          </cell>
          <cell r="X24"/>
          <cell r="Y24">
            <v>0</v>
          </cell>
          <cell r="Z24" t="e">
            <v>#DIV/0!</v>
          </cell>
          <cell r="AA24"/>
          <cell r="AB24"/>
          <cell r="AC24">
            <v>0</v>
          </cell>
          <cell r="AD24">
            <v>0</v>
          </cell>
          <cell r="AE24">
            <v>0</v>
          </cell>
          <cell r="AF24" t="e">
            <v>#DIV/0!</v>
          </cell>
          <cell r="AG24">
            <v>0</v>
          </cell>
          <cell r="AH24" t="e">
            <v>#DIV/0!</v>
          </cell>
          <cell r="AI24"/>
          <cell r="AJ24"/>
          <cell r="AK24"/>
          <cell r="AL24">
            <v>0</v>
          </cell>
          <cell r="AM24" t="str">
            <v/>
          </cell>
          <cell r="AN24"/>
          <cell r="AO24">
            <v>0</v>
          </cell>
          <cell r="AP24" t="e">
            <v>#DIV/0!</v>
          </cell>
          <cell r="AQ24">
            <v>0</v>
          </cell>
          <cell r="AR24" t="e">
            <v>#DIV/0!</v>
          </cell>
        </row>
        <row r="25">
          <cell r="B25">
            <v>39356</v>
          </cell>
          <cell r="C25">
            <v>39356</v>
          </cell>
          <cell r="D25" t="str">
            <v>GLOBAL</v>
          </cell>
          <cell r="E25"/>
          <cell r="F25" t="str">
            <v/>
          </cell>
          <cell r="G25" t="str">
            <v/>
          </cell>
          <cell r="H25" t="str">
            <v/>
          </cell>
          <cell r="I25">
            <v>0</v>
          </cell>
          <cell r="J25">
            <v>0</v>
          </cell>
          <cell r="K25"/>
          <cell r="L25" t="str">
            <v/>
          </cell>
          <cell r="M25" t="str">
            <v/>
          </cell>
          <cell r="N25" t="str">
            <v/>
          </cell>
          <cell r="O25">
            <v>0</v>
          </cell>
          <cell r="P25">
            <v>0</v>
          </cell>
          <cell r="R25">
            <v>39356</v>
          </cell>
          <cell r="S25" t="str">
            <v>GLOBAL</v>
          </cell>
          <cell r="T25"/>
          <cell r="U25"/>
          <cell r="V25"/>
          <cell r="W25" t="str">
            <v/>
          </cell>
          <cell r="X25"/>
          <cell r="Y25">
            <v>0</v>
          </cell>
          <cell r="Z25" t="e">
            <v>#DIV/0!</v>
          </cell>
          <cell r="AA25"/>
          <cell r="AB25"/>
          <cell r="AC25">
            <v>0</v>
          </cell>
          <cell r="AD25">
            <v>0</v>
          </cell>
          <cell r="AE25">
            <v>0</v>
          </cell>
          <cell r="AF25" t="e">
            <v>#DIV/0!</v>
          </cell>
          <cell r="AG25">
            <v>0</v>
          </cell>
          <cell r="AH25" t="e">
            <v>#DIV/0!</v>
          </cell>
          <cell r="AI25"/>
          <cell r="AJ25"/>
          <cell r="AK25"/>
          <cell r="AL25">
            <v>0</v>
          </cell>
          <cell r="AM25" t="str">
            <v/>
          </cell>
          <cell r="AN25"/>
          <cell r="AO25">
            <v>0</v>
          </cell>
          <cell r="AP25" t="e">
            <v>#DIV/0!</v>
          </cell>
          <cell r="AQ25">
            <v>0</v>
          </cell>
          <cell r="AR25" t="e">
            <v>#DIV/0!</v>
          </cell>
        </row>
        <row r="26">
          <cell r="B26">
            <v>39387</v>
          </cell>
          <cell r="C26">
            <v>39387</v>
          </cell>
          <cell r="D26" t="str">
            <v>GLOBAL</v>
          </cell>
          <cell r="E26"/>
          <cell r="F26" t="str">
            <v/>
          </cell>
          <cell r="G26" t="str">
            <v/>
          </cell>
          <cell r="H26" t="str">
            <v/>
          </cell>
          <cell r="I26">
            <v>0</v>
          </cell>
          <cell r="J26">
            <v>0</v>
          </cell>
          <cell r="K26"/>
          <cell r="L26" t="str">
            <v/>
          </cell>
          <cell r="M26" t="str">
            <v/>
          </cell>
          <cell r="N26" t="str">
            <v/>
          </cell>
          <cell r="O26">
            <v>0</v>
          </cell>
          <cell r="P26">
            <v>0</v>
          </cell>
          <cell r="R26">
            <v>39387</v>
          </cell>
          <cell r="S26" t="str">
            <v>GLOBAL</v>
          </cell>
          <cell r="T26"/>
          <cell r="U26"/>
          <cell r="V26"/>
          <cell r="W26" t="str">
            <v/>
          </cell>
          <cell r="X26"/>
          <cell r="Y26">
            <v>0</v>
          </cell>
          <cell r="Z26" t="e">
            <v>#DIV/0!</v>
          </cell>
          <cell r="AA26"/>
          <cell r="AB26"/>
          <cell r="AC26">
            <v>0</v>
          </cell>
          <cell r="AD26">
            <v>0</v>
          </cell>
          <cell r="AE26">
            <v>0</v>
          </cell>
          <cell r="AF26" t="e">
            <v>#DIV/0!</v>
          </cell>
          <cell r="AG26">
            <v>0</v>
          </cell>
          <cell r="AH26" t="e">
            <v>#DIV/0!</v>
          </cell>
          <cell r="AI26"/>
          <cell r="AJ26"/>
          <cell r="AK26"/>
          <cell r="AL26">
            <v>0</v>
          </cell>
          <cell r="AM26" t="str">
            <v/>
          </cell>
          <cell r="AN26"/>
          <cell r="AO26">
            <v>0</v>
          </cell>
          <cell r="AP26" t="e">
            <v>#DIV/0!</v>
          </cell>
          <cell r="AQ26">
            <v>0</v>
          </cell>
          <cell r="AR26" t="e">
            <v>#DIV/0!</v>
          </cell>
        </row>
        <row r="27">
          <cell r="B27">
            <v>39417</v>
          </cell>
          <cell r="C27">
            <v>39417</v>
          </cell>
          <cell r="D27" t="str">
            <v>GLOBAL</v>
          </cell>
          <cell r="E27"/>
          <cell r="F27" t="str">
            <v/>
          </cell>
          <cell r="G27" t="str">
            <v/>
          </cell>
          <cell r="H27" t="str">
            <v/>
          </cell>
          <cell r="I27">
            <v>0</v>
          </cell>
          <cell r="J27">
            <v>0</v>
          </cell>
          <cell r="K27"/>
          <cell r="L27" t="str">
            <v/>
          </cell>
          <cell r="M27" t="str">
            <v/>
          </cell>
          <cell r="N27" t="str">
            <v/>
          </cell>
          <cell r="O27">
            <v>0</v>
          </cell>
          <cell r="P27">
            <v>0</v>
          </cell>
          <cell r="R27">
            <v>39417</v>
          </cell>
          <cell r="S27" t="str">
            <v>GLOBAL</v>
          </cell>
          <cell r="T27"/>
          <cell r="U27"/>
          <cell r="V27"/>
          <cell r="W27" t="str">
            <v/>
          </cell>
          <cell r="X27"/>
          <cell r="Y27">
            <v>0</v>
          </cell>
          <cell r="Z27" t="e">
            <v>#DIV/0!</v>
          </cell>
          <cell r="AA27"/>
          <cell r="AB27"/>
          <cell r="AC27">
            <v>0</v>
          </cell>
          <cell r="AD27">
            <v>0</v>
          </cell>
          <cell r="AE27">
            <v>0</v>
          </cell>
          <cell r="AF27" t="e">
            <v>#DIV/0!</v>
          </cell>
          <cell r="AG27">
            <v>0</v>
          </cell>
          <cell r="AH27" t="e">
            <v>#DIV/0!</v>
          </cell>
          <cell r="AI27"/>
          <cell r="AJ27"/>
          <cell r="AK27"/>
          <cell r="AL27">
            <v>0</v>
          </cell>
          <cell r="AM27" t="str">
            <v/>
          </cell>
          <cell r="AN27"/>
          <cell r="AO27">
            <v>0</v>
          </cell>
          <cell r="AP27" t="e">
            <v>#DIV/0!</v>
          </cell>
          <cell r="AQ27">
            <v>0</v>
          </cell>
          <cell r="AR27" t="e">
            <v>#DIV/0!</v>
          </cell>
        </row>
        <row r="28">
          <cell r="B28">
            <v>39448</v>
          </cell>
          <cell r="C28">
            <v>39448</v>
          </cell>
          <cell r="D28" t="str">
            <v>GLOBAL</v>
          </cell>
          <cell r="E28">
            <v>5.4731805902126167E-2</v>
          </cell>
          <cell r="F28" t="str">
            <v>c</v>
          </cell>
          <cell r="G28" t="str">
            <v>c</v>
          </cell>
          <cell r="H28" t="str">
            <v>g</v>
          </cell>
          <cell r="I28">
            <v>0.03</v>
          </cell>
          <cell r="J28">
            <v>1.2E-2</v>
          </cell>
          <cell r="K28">
            <v>5.4731805902126167E-2</v>
          </cell>
          <cell r="L28" t="str">
            <v>c</v>
          </cell>
          <cell r="M28" t="str">
            <v>c</v>
          </cell>
          <cell r="N28" t="str">
            <v>g</v>
          </cell>
          <cell r="O28">
            <v>0.03</v>
          </cell>
          <cell r="P28">
            <v>1.2E-2</v>
          </cell>
          <cell r="R28">
            <v>39448</v>
          </cell>
          <cell r="S28" t="str">
            <v>GLOBAL</v>
          </cell>
          <cell r="T28"/>
          <cell r="U28">
            <v>5.4731805902126167E-2</v>
          </cell>
          <cell r="V28">
            <v>1</v>
          </cell>
          <cell r="W28">
            <v>5.4731805902126167E-2</v>
          </cell>
          <cell r="X28"/>
          <cell r="Y28">
            <v>-0.94526819409787388</v>
          </cell>
          <cell r="Z28">
            <v>-0.94526819409787388</v>
          </cell>
          <cell r="AA28"/>
          <cell r="AB28">
            <v>0</v>
          </cell>
          <cell r="AC28">
            <v>13270</v>
          </cell>
          <cell r="AD28">
            <v>1</v>
          </cell>
          <cell r="AE28">
            <v>13270</v>
          </cell>
          <cell r="AF28">
            <v>-1</v>
          </cell>
          <cell r="AG28">
            <v>13269</v>
          </cell>
          <cell r="AH28">
            <v>-0.9999246420497363</v>
          </cell>
          <cell r="AI28"/>
          <cell r="AJ28"/>
          <cell r="AK28">
            <v>5.4731805902126167E-2</v>
          </cell>
          <cell r="AL28">
            <v>1</v>
          </cell>
          <cell r="AM28">
            <v>5.4731805902126167E-2</v>
          </cell>
          <cell r="AN28"/>
          <cell r="AO28">
            <v>-0.94526819409787388</v>
          </cell>
          <cell r="AP28">
            <v>-0.94526819409787388</v>
          </cell>
          <cell r="AQ28">
            <v>12</v>
          </cell>
          <cell r="AR28">
            <v>4.5609838251771803E-3</v>
          </cell>
        </row>
        <row r="29">
          <cell r="B29">
            <v>39479</v>
          </cell>
          <cell r="C29">
            <v>39479</v>
          </cell>
          <cell r="D29" t="str">
            <v>GLOBAL</v>
          </cell>
          <cell r="E29">
            <v>4.66020868092736E-2</v>
          </cell>
          <cell r="F29" t="str">
            <v>c</v>
          </cell>
          <cell r="G29" t="str">
            <v>c</v>
          </cell>
          <cell r="H29" t="str">
            <v>g</v>
          </cell>
          <cell r="I29">
            <v>0.03</v>
          </cell>
          <cell r="J29">
            <v>1.2E-2</v>
          </cell>
          <cell r="K29">
            <v>5.1049093042144209E-2</v>
          </cell>
          <cell r="L29" t="str">
            <v>c</v>
          </cell>
          <cell r="M29" t="str">
            <v>c</v>
          </cell>
          <cell r="N29" t="str">
            <v>g</v>
          </cell>
          <cell r="O29">
            <v>0.03</v>
          </cell>
          <cell r="P29">
            <v>1.2E-2</v>
          </cell>
          <cell r="R29">
            <v>39479</v>
          </cell>
          <cell r="S29" t="str">
            <v>GLOBAL</v>
          </cell>
          <cell r="T29"/>
          <cell r="U29">
            <v>4.66020868092736E-2</v>
          </cell>
          <cell r="V29">
            <v>1</v>
          </cell>
          <cell r="W29">
            <v>4.66020868092736E-2</v>
          </cell>
          <cell r="X29"/>
          <cell r="Y29">
            <v>-0.95339791319072642</v>
          </cell>
          <cell r="Z29">
            <v>-0.95339791319072642</v>
          </cell>
          <cell r="AA29"/>
          <cell r="AB29">
            <v>0</v>
          </cell>
          <cell r="AC29">
            <v>9357</v>
          </cell>
          <cell r="AD29">
            <v>1</v>
          </cell>
          <cell r="AE29">
            <v>9357</v>
          </cell>
          <cell r="AF29">
            <v>-1</v>
          </cell>
          <cell r="AG29">
            <v>9356</v>
          </cell>
          <cell r="AH29">
            <v>-0.99989312813936093</v>
          </cell>
          <cell r="AI29"/>
          <cell r="AJ29"/>
          <cell r="AK29">
            <v>5.1049093042144209E-2</v>
          </cell>
          <cell r="AL29">
            <v>2</v>
          </cell>
          <cell r="AM29">
            <v>5.1049093042144209E-2</v>
          </cell>
          <cell r="AN29"/>
          <cell r="AO29">
            <v>-1.9489509069578559</v>
          </cell>
          <cell r="AP29">
            <v>-0.97447545347892794</v>
          </cell>
          <cell r="AQ29">
            <v>12</v>
          </cell>
          <cell r="AR29">
            <v>4.254091086845351E-3</v>
          </cell>
        </row>
        <row r="30">
          <cell r="B30">
            <v>39508</v>
          </cell>
          <cell r="C30">
            <v>39508</v>
          </cell>
          <cell r="D30" t="str">
            <v>GLOBAL</v>
          </cell>
          <cell r="E30">
            <v>4.5925848345203184E-2</v>
          </cell>
          <cell r="F30" t="str">
            <v>c</v>
          </cell>
          <cell r="G30" t="str">
            <v>c</v>
          </cell>
          <cell r="H30" t="str">
            <v>g</v>
          </cell>
          <cell r="I30">
            <v>0.03</v>
          </cell>
          <cell r="J30">
            <v>1.2000000000000004E-2</v>
          </cell>
          <cell r="K30">
            <v>4.9506464837590664E-2</v>
          </cell>
          <cell r="L30" t="str">
            <v>c</v>
          </cell>
          <cell r="M30" t="str">
            <v>c</v>
          </cell>
          <cell r="N30" t="str">
            <v>g</v>
          </cell>
          <cell r="O30">
            <v>0.03</v>
          </cell>
          <cell r="P30">
            <v>1.2000000000000004E-2</v>
          </cell>
          <cell r="R30">
            <v>39508</v>
          </cell>
          <cell r="S30" t="str">
            <v>GLOBAL</v>
          </cell>
          <cell r="T30"/>
          <cell r="U30">
            <v>4.5925848345203184E-2</v>
          </cell>
          <cell r="V30">
            <v>1</v>
          </cell>
          <cell r="W30">
            <v>4.5925848345203184E-2</v>
          </cell>
          <cell r="X30"/>
          <cell r="Y30">
            <v>-0.95407415165479681</v>
          </cell>
          <cell r="Z30">
            <v>-0.95407415165479681</v>
          </cell>
          <cell r="AA30"/>
          <cell r="AB30">
            <v>0</v>
          </cell>
          <cell r="AC30">
            <v>8770</v>
          </cell>
          <cell r="AD30">
            <v>1</v>
          </cell>
          <cell r="AE30">
            <v>8770</v>
          </cell>
          <cell r="AF30">
            <v>-1</v>
          </cell>
          <cell r="AG30">
            <v>8769</v>
          </cell>
          <cell r="AH30">
            <v>-0.99988597491448117</v>
          </cell>
          <cell r="AI30"/>
          <cell r="AJ30"/>
          <cell r="AK30">
            <v>4.9506464837590664E-2</v>
          </cell>
          <cell r="AL30">
            <v>3</v>
          </cell>
          <cell r="AM30">
            <v>4.9506464837590664E-2</v>
          </cell>
          <cell r="AN30"/>
          <cell r="AO30">
            <v>-2.9504935351624093</v>
          </cell>
          <cell r="AP30">
            <v>-0.9834978450541364</v>
          </cell>
          <cell r="AQ30">
            <v>12</v>
          </cell>
          <cell r="AR30">
            <v>4.1255387364658889E-3</v>
          </cell>
        </row>
        <row r="31">
          <cell r="B31">
            <v>39539</v>
          </cell>
          <cell r="C31">
            <v>39539</v>
          </cell>
          <cell r="D31" t="str">
            <v>GLOBAL</v>
          </cell>
          <cell r="E31">
            <v>3.4680229412401252E-2</v>
          </cell>
          <cell r="F31" t="str">
            <v>c</v>
          </cell>
          <cell r="G31" t="str">
            <v>c</v>
          </cell>
          <cell r="H31" t="str">
            <v>g</v>
          </cell>
          <cell r="I31">
            <v>0.03</v>
          </cell>
          <cell r="J31">
            <v>1.1999999999999997E-2</v>
          </cell>
          <cell r="K31">
            <v>4.5547689907249563E-2</v>
          </cell>
          <cell r="L31" t="str">
            <v>c</v>
          </cell>
          <cell r="M31" t="str">
            <v>c</v>
          </cell>
          <cell r="N31" t="str">
            <v>g</v>
          </cell>
          <cell r="O31">
            <v>0.03</v>
          </cell>
          <cell r="P31">
            <v>1.1999999999999997E-2</v>
          </cell>
          <cell r="R31">
            <v>39539</v>
          </cell>
          <cell r="S31" t="str">
            <v>GLOBAL</v>
          </cell>
          <cell r="T31"/>
          <cell r="U31">
            <v>3.4680229412401252E-2</v>
          </cell>
          <cell r="V31">
            <v>1</v>
          </cell>
          <cell r="W31">
            <v>3.4680229412401252E-2</v>
          </cell>
          <cell r="X31"/>
          <cell r="Y31">
            <v>-0.96531977058759877</v>
          </cell>
          <cell r="Z31">
            <v>-0.96531977058759877</v>
          </cell>
          <cell r="AA31"/>
          <cell r="AB31">
            <v>0</v>
          </cell>
          <cell r="AC31">
            <v>8012</v>
          </cell>
          <cell r="AD31">
            <v>1</v>
          </cell>
          <cell r="AE31">
            <v>8012</v>
          </cell>
          <cell r="AF31">
            <v>-1</v>
          </cell>
          <cell r="AG31">
            <v>8011</v>
          </cell>
          <cell r="AH31">
            <v>-0.99987518721917124</v>
          </cell>
          <cell r="AI31"/>
          <cell r="AJ31"/>
          <cell r="AK31">
            <v>4.5547689907249563E-2</v>
          </cell>
          <cell r="AL31">
            <v>4</v>
          </cell>
          <cell r="AM31">
            <v>4.5547689907249563E-2</v>
          </cell>
          <cell r="AN31"/>
          <cell r="AO31">
            <v>-3.9544523100927504</v>
          </cell>
          <cell r="AP31">
            <v>-0.98861307752318761</v>
          </cell>
          <cell r="AQ31">
            <v>12</v>
          </cell>
          <cell r="AR31">
            <v>3.7956408256041301E-3</v>
          </cell>
        </row>
        <row r="32">
          <cell r="B32">
            <v>39569</v>
          </cell>
          <cell r="C32">
            <v>39569</v>
          </cell>
          <cell r="D32" t="str">
            <v>GLOBAL</v>
          </cell>
          <cell r="E32">
            <v>4.2924894831328206E-2</v>
          </cell>
          <cell r="F32" t="str">
            <v>c</v>
          </cell>
          <cell r="G32" t="str">
            <v>c</v>
          </cell>
          <cell r="H32" t="str">
            <v>g</v>
          </cell>
          <cell r="I32">
            <v>0.03</v>
          </cell>
          <cell r="J32">
            <v>1.1999999999999997E-2</v>
          </cell>
          <cell r="K32">
            <v>4.5082380232547084E-2</v>
          </cell>
          <cell r="L32" t="str">
            <v>c</v>
          </cell>
          <cell r="M32" t="str">
            <v>c</v>
          </cell>
          <cell r="N32" t="str">
            <v>g</v>
          </cell>
          <cell r="O32">
            <v>0.03</v>
          </cell>
          <cell r="P32">
            <v>1.1999999999999997E-2</v>
          </cell>
          <cell r="R32">
            <v>39569</v>
          </cell>
          <cell r="S32" t="str">
            <v>GLOBAL</v>
          </cell>
          <cell r="T32"/>
          <cell r="U32">
            <v>4.2924894831328206E-2</v>
          </cell>
          <cell r="V32">
            <v>1</v>
          </cell>
          <cell r="W32">
            <v>4.2924894831328206E-2</v>
          </cell>
          <cell r="X32"/>
          <cell r="Y32">
            <v>-0.95707510516867178</v>
          </cell>
          <cell r="Z32">
            <v>-0.95707510516867178</v>
          </cell>
          <cell r="AA32"/>
          <cell r="AB32">
            <v>0</v>
          </cell>
          <cell r="AC32">
            <v>8010</v>
          </cell>
          <cell r="AD32">
            <v>1</v>
          </cell>
          <cell r="AE32">
            <v>8010</v>
          </cell>
          <cell r="AF32">
            <v>-1</v>
          </cell>
          <cell r="AG32">
            <v>8009</v>
          </cell>
          <cell r="AH32">
            <v>-0.99987515605493138</v>
          </cell>
          <cell r="AI32"/>
          <cell r="AJ32"/>
          <cell r="AK32">
            <v>4.5082380232547084E-2</v>
          </cell>
          <cell r="AL32">
            <v>5</v>
          </cell>
          <cell r="AM32">
            <v>4.5082380232547084E-2</v>
          </cell>
          <cell r="AN32"/>
          <cell r="AO32">
            <v>-4.9549176197674525</v>
          </cell>
          <cell r="AP32">
            <v>-0.99098352395349054</v>
          </cell>
          <cell r="AQ32">
            <v>12</v>
          </cell>
          <cell r="AR32">
            <v>3.7568650193789237E-3</v>
          </cell>
        </row>
        <row r="33">
          <cell r="B33">
            <v>39600</v>
          </cell>
          <cell r="C33">
            <v>39600</v>
          </cell>
          <cell r="D33" t="str">
            <v>GLOBAL</v>
          </cell>
          <cell r="E33">
            <v>5.4177911563213617E-2</v>
          </cell>
          <cell r="F33" t="str">
            <v>c</v>
          </cell>
          <cell r="G33" t="str">
            <v>c</v>
          </cell>
          <cell r="H33" t="str">
            <v>g</v>
          </cell>
          <cell r="I33">
            <v>0.03</v>
          </cell>
          <cell r="J33">
            <v>1.1999999999999997E-2</v>
          </cell>
          <cell r="K33">
            <v>4.6490586656595771E-2</v>
          </cell>
          <cell r="L33" t="str">
            <v>c</v>
          </cell>
          <cell r="M33" t="str">
            <v>c</v>
          </cell>
          <cell r="N33" t="str">
            <v>g</v>
          </cell>
          <cell r="O33">
            <v>0.03</v>
          </cell>
          <cell r="P33">
            <v>1.1999999999999997E-2</v>
          </cell>
          <cell r="R33">
            <v>39600</v>
          </cell>
          <cell r="S33" t="str">
            <v>GLOBAL</v>
          </cell>
          <cell r="T33"/>
          <cell r="U33">
            <v>5.4177911563213617E-2</v>
          </cell>
          <cell r="V33">
            <v>1</v>
          </cell>
          <cell r="W33">
            <v>5.4177911563213617E-2</v>
          </cell>
          <cell r="X33"/>
          <cell r="Y33">
            <v>-0.94582208843678639</v>
          </cell>
          <cell r="Z33">
            <v>-0.94582208843678639</v>
          </cell>
          <cell r="AA33"/>
          <cell r="AB33">
            <v>0</v>
          </cell>
          <cell r="AC33">
            <v>10439</v>
          </cell>
          <cell r="AD33">
            <v>1</v>
          </cell>
          <cell r="AE33">
            <v>10439</v>
          </cell>
          <cell r="AF33">
            <v>-1</v>
          </cell>
          <cell r="AG33">
            <v>10438</v>
          </cell>
          <cell r="AH33">
            <v>-0.99990420538365743</v>
          </cell>
          <cell r="AI33"/>
          <cell r="AJ33"/>
          <cell r="AK33">
            <v>4.6490586656595771E-2</v>
          </cell>
          <cell r="AL33">
            <v>6</v>
          </cell>
          <cell r="AM33">
            <v>4.6490586656595771E-2</v>
          </cell>
          <cell r="AN33"/>
          <cell r="AO33">
            <v>-5.9535094133434043</v>
          </cell>
          <cell r="AP33">
            <v>-0.99225156889056743</v>
          </cell>
          <cell r="AQ33">
            <v>12</v>
          </cell>
          <cell r="AR33">
            <v>3.8742155547163144E-3</v>
          </cell>
        </row>
        <row r="34">
          <cell r="B34">
            <v>39630</v>
          </cell>
          <cell r="C34">
            <v>39630</v>
          </cell>
          <cell r="D34" t="str">
            <v>GLOBAL</v>
          </cell>
          <cell r="E34">
            <v>4.1483837304643827E-2</v>
          </cell>
          <cell r="F34" t="str">
            <v>c</v>
          </cell>
          <cell r="G34" t="str">
            <v>c</v>
          </cell>
          <cell r="H34" t="str">
            <v>g</v>
          </cell>
          <cell r="I34">
            <v>0.03</v>
          </cell>
          <cell r="J34">
            <v>1.1999999999999997E-2</v>
          </cell>
          <cell r="K34">
            <v>4.5793691141937203E-2</v>
          </cell>
          <cell r="L34" t="str">
            <v>c</v>
          </cell>
          <cell r="M34" t="str">
            <v>c</v>
          </cell>
          <cell r="N34" t="str">
            <v>g</v>
          </cell>
          <cell r="O34">
            <v>0.03</v>
          </cell>
          <cell r="P34">
            <v>1.1999999999999997E-2</v>
          </cell>
          <cell r="R34">
            <v>39630</v>
          </cell>
          <cell r="S34" t="str">
            <v>GLOBAL</v>
          </cell>
          <cell r="T34"/>
          <cell r="U34">
            <v>4.1483837304643827E-2</v>
          </cell>
          <cell r="V34">
            <v>1</v>
          </cell>
          <cell r="W34">
            <v>4.1483837304643827E-2</v>
          </cell>
          <cell r="X34"/>
          <cell r="Y34">
            <v>-0.95851616269535622</v>
          </cell>
          <cell r="Z34">
            <v>-0.95851616269535622</v>
          </cell>
          <cell r="AA34"/>
          <cell r="AB34">
            <v>0</v>
          </cell>
          <cell r="AC34">
            <v>8348</v>
          </cell>
          <cell r="AD34">
            <v>1</v>
          </cell>
          <cell r="AE34">
            <v>8348</v>
          </cell>
          <cell r="AF34">
            <v>-1</v>
          </cell>
          <cell r="AG34">
            <v>8347</v>
          </cell>
          <cell r="AH34">
            <v>-0.99988021082894107</v>
          </cell>
          <cell r="AI34"/>
          <cell r="AJ34"/>
          <cell r="AK34">
            <v>4.5793691141937203E-2</v>
          </cell>
          <cell r="AL34">
            <v>7</v>
          </cell>
          <cell r="AM34">
            <v>4.5793691141937203E-2</v>
          </cell>
          <cell r="AN34"/>
          <cell r="AO34">
            <v>-6.9542063088580628</v>
          </cell>
          <cell r="AP34">
            <v>-0.99345804412258043</v>
          </cell>
          <cell r="AQ34">
            <v>12</v>
          </cell>
          <cell r="AR34">
            <v>3.8161409284947667E-3</v>
          </cell>
        </row>
        <row r="35">
          <cell r="B35">
            <v>39661</v>
          </cell>
          <cell r="C35">
            <v>39661</v>
          </cell>
          <cell r="D35" t="str">
            <v>GLOBAL</v>
          </cell>
          <cell r="E35">
            <v>4.1792364990689015E-2</v>
          </cell>
          <cell r="F35" t="str">
            <v>c</v>
          </cell>
          <cell r="G35" t="str">
            <v>c</v>
          </cell>
          <cell r="H35" t="str">
            <v>g</v>
          </cell>
          <cell r="I35">
            <v>0.03</v>
          </cell>
          <cell r="J35">
            <v>1.1999999999999997E-2</v>
          </cell>
          <cell r="K35">
            <v>4.5276099112038518E-2</v>
          </cell>
          <cell r="L35" t="str">
            <v>c</v>
          </cell>
          <cell r="M35" t="str">
            <v>c</v>
          </cell>
          <cell r="N35" t="str">
            <v>g</v>
          </cell>
          <cell r="O35">
            <v>0.03</v>
          </cell>
          <cell r="P35">
            <v>1.1999999999999997E-2</v>
          </cell>
          <cell r="R35">
            <v>39661</v>
          </cell>
          <cell r="S35" t="str">
            <v>GLOBAL</v>
          </cell>
          <cell r="T35"/>
          <cell r="U35">
            <v>4.1792364990689015E-2</v>
          </cell>
          <cell r="V35">
            <v>1</v>
          </cell>
          <cell r="W35">
            <v>4.1792364990689015E-2</v>
          </cell>
          <cell r="X35"/>
          <cell r="Y35">
            <v>-0.95820763500931094</v>
          </cell>
          <cell r="Z35">
            <v>-0.95820763500931094</v>
          </cell>
          <cell r="AA35"/>
          <cell r="AB35">
            <v>0</v>
          </cell>
          <cell r="AC35">
            <v>8977</v>
          </cell>
          <cell r="AD35">
            <v>1</v>
          </cell>
          <cell r="AE35">
            <v>8977</v>
          </cell>
          <cell r="AF35">
            <v>-1</v>
          </cell>
          <cell r="AG35">
            <v>8976</v>
          </cell>
          <cell r="AH35">
            <v>-0.99988860421076087</v>
          </cell>
          <cell r="AI35"/>
          <cell r="AJ35"/>
          <cell r="AK35">
            <v>4.5276099112038518E-2</v>
          </cell>
          <cell r="AL35">
            <v>8</v>
          </cell>
          <cell r="AM35">
            <v>4.5276099112038518E-2</v>
          </cell>
          <cell r="AN35"/>
          <cell r="AO35">
            <v>-7.9547239008879611</v>
          </cell>
          <cell r="AP35">
            <v>-0.99434048761099514</v>
          </cell>
          <cell r="AQ35">
            <v>12</v>
          </cell>
          <cell r="AR35">
            <v>3.7730082593365431E-3</v>
          </cell>
        </row>
        <row r="36">
          <cell r="B36">
            <v>39692</v>
          </cell>
          <cell r="C36">
            <v>39692</v>
          </cell>
          <cell r="D36" t="str">
            <v>GLOBAL</v>
          </cell>
          <cell r="E36">
            <v>5.4747534852091127E-2</v>
          </cell>
          <cell r="F36" t="str">
            <v>c</v>
          </cell>
          <cell r="G36" t="str">
            <v>c</v>
          </cell>
          <cell r="H36" t="str">
            <v>g</v>
          </cell>
          <cell r="I36">
            <v>3.0000000000000027E-2</v>
          </cell>
          <cell r="J36">
            <v>1.1999999999999997E-2</v>
          </cell>
          <cell r="K36">
            <v>4.645154484195535E-2</v>
          </cell>
          <cell r="L36" t="str">
            <v>c</v>
          </cell>
          <cell r="M36" t="str">
            <v>c</v>
          </cell>
          <cell r="N36" t="str">
            <v>g</v>
          </cell>
          <cell r="O36">
            <v>3.0000000000000027E-2</v>
          </cell>
          <cell r="P36">
            <v>1.1999999999999997E-2</v>
          </cell>
          <cell r="R36">
            <v>39692</v>
          </cell>
          <cell r="S36" t="str">
            <v>GLOBAL</v>
          </cell>
          <cell r="T36"/>
          <cell r="U36">
            <v>5.4747534852091127E-2</v>
          </cell>
          <cell r="V36">
            <v>1</v>
          </cell>
          <cell r="W36">
            <v>5.4747534852091127E-2</v>
          </cell>
          <cell r="X36"/>
          <cell r="Y36">
            <v>-0.94525246514790884</v>
          </cell>
          <cell r="Z36">
            <v>-0.94525246514790884</v>
          </cell>
          <cell r="AA36"/>
          <cell r="AB36">
            <v>0</v>
          </cell>
          <cell r="AC36">
            <v>12881</v>
          </cell>
          <cell r="AD36">
            <v>1</v>
          </cell>
          <cell r="AE36">
            <v>12881</v>
          </cell>
          <cell r="AF36">
            <v>-1</v>
          </cell>
          <cell r="AG36">
            <v>12880</v>
          </cell>
          <cell r="AH36">
            <v>-0.99992236627591025</v>
          </cell>
          <cell r="AI36"/>
          <cell r="AJ36"/>
          <cell r="AK36">
            <v>4.645154484195535E-2</v>
          </cell>
          <cell r="AL36">
            <v>9</v>
          </cell>
          <cell r="AM36">
            <v>4.645154484195535E-2</v>
          </cell>
          <cell r="AN36"/>
          <cell r="AO36">
            <v>-8.9535484551580442</v>
          </cell>
          <cell r="AP36">
            <v>-0.99483871723978279</v>
          </cell>
          <cell r="AQ36">
            <v>12</v>
          </cell>
          <cell r="AR36">
            <v>3.8709620701629457E-3</v>
          </cell>
        </row>
        <row r="37">
          <cell r="B37">
            <v>39722</v>
          </cell>
          <cell r="C37">
            <v>39722</v>
          </cell>
          <cell r="D37" t="str">
            <v>GLOBAL</v>
          </cell>
          <cell r="E37">
            <v>5.1730114145700112E-2</v>
          </cell>
          <cell r="F37" t="str">
            <v>c</v>
          </cell>
          <cell r="G37" t="str">
            <v>c</v>
          </cell>
          <cell r="H37" t="str">
            <v>g</v>
          </cell>
          <cell r="I37">
            <v>3.0000000000000027E-2</v>
          </cell>
          <cell r="J37">
            <v>1.1999999999999997E-2</v>
          </cell>
          <cell r="K37">
            <v>4.7068687640323827E-2</v>
          </cell>
          <cell r="L37" t="str">
            <v>c</v>
          </cell>
          <cell r="M37" t="str">
            <v>c</v>
          </cell>
          <cell r="N37" t="str">
            <v>g</v>
          </cell>
          <cell r="O37">
            <v>3.0000000000000027E-2</v>
          </cell>
          <cell r="P37">
            <v>1.1999999999999997E-2</v>
          </cell>
          <cell r="R37">
            <v>39722</v>
          </cell>
          <cell r="S37" t="str">
            <v>GLOBAL</v>
          </cell>
          <cell r="T37"/>
          <cell r="U37">
            <v>5.1730114145700112E-2</v>
          </cell>
          <cell r="V37">
            <v>1</v>
          </cell>
          <cell r="W37">
            <v>5.1730114145700112E-2</v>
          </cell>
          <cell r="X37"/>
          <cell r="Y37">
            <v>-0.94826988585429994</v>
          </cell>
          <cell r="Z37">
            <v>-0.94826988585429994</v>
          </cell>
          <cell r="AA37"/>
          <cell r="AB37">
            <v>0</v>
          </cell>
          <cell r="AC37">
            <v>12984</v>
          </cell>
          <cell r="AD37">
            <v>1</v>
          </cell>
          <cell r="AE37">
            <v>12984</v>
          </cell>
          <cell r="AF37">
            <v>-1</v>
          </cell>
          <cell r="AG37">
            <v>12983</v>
          </cell>
          <cell r="AH37">
            <v>-0.9999229821318546</v>
          </cell>
          <cell r="AI37"/>
          <cell r="AJ37"/>
          <cell r="AK37">
            <v>4.7068687640323827E-2</v>
          </cell>
          <cell r="AL37">
            <v>10</v>
          </cell>
          <cell r="AM37">
            <v>4.7068687640323827E-2</v>
          </cell>
          <cell r="AN37"/>
          <cell r="AO37">
            <v>-9.9529313123596754</v>
          </cell>
          <cell r="AP37">
            <v>-0.99529313123596763</v>
          </cell>
          <cell r="AQ37">
            <v>12</v>
          </cell>
          <cell r="AR37">
            <v>3.9223906366936522E-3</v>
          </cell>
        </row>
        <row r="38">
          <cell r="B38">
            <v>39753</v>
          </cell>
          <cell r="C38">
            <v>39753</v>
          </cell>
          <cell r="D38" t="str">
            <v>GLOBAL</v>
          </cell>
          <cell r="E38">
            <v>5.8192709474760754E-2</v>
          </cell>
          <cell r="F38" t="str">
            <v>c</v>
          </cell>
          <cell r="G38" t="str">
            <v>c</v>
          </cell>
          <cell r="H38" t="str">
            <v>g</v>
          </cell>
          <cell r="I38">
            <v>3.0000000000000027E-2</v>
          </cell>
          <cell r="J38">
            <v>1.1999999999999997E-2</v>
          </cell>
          <cell r="K38">
            <v>4.8039776290252981E-2</v>
          </cell>
          <cell r="L38" t="str">
            <v>c</v>
          </cell>
          <cell r="M38" t="str">
            <v>c</v>
          </cell>
          <cell r="N38" t="str">
            <v>g</v>
          </cell>
          <cell r="O38">
            <v>3.0000000000000027E-2</v>
          </cell>
          <cell r="P38">
            <v>1.1999999999999997E-2</v>
          </cell>
          <cell r="R38">
            <v>39753</v>
          </cell>
          <cell r="S38" t="str">
            <v>GLOBAL</v>
          </cell>
          <cell r="T38"/>
          <cell r="U38">
            <v>5.8192709474760754E-2</v>
          </cell>
          <cell r="V38">
            <v>1</v>
          </cell>
          <cell r="W38">
            <v>5.8192709474760754E-2</v>
          </cell>
          <cell r="X38"/>
          <cell r="Y38">
            <v>-0.94180729052523926</v>
          </cell>
          <cell r="Z38">
            <v>-0.94180729052523926</v>
          </cell>
          <cell r="AA38"/>
          <cell r="AB38">
            <v>0</v>
          </cell>
          <cell r="AC38">
            <v>11949</v>
          </cell>
          <cell r="AD38">
            <v>1</v>
          </cell>
          <cell r="AE38">
            <v>11949</v>
          </cell>
          <cell r="AF38">
            <v>-1</v>
          </cell>
          <cell r="AG38">
            <v>11948</v>
          </cell>
          <cell r="AH38">
            <v>-0.9999163109883672</v>
          </cell>
          <cell r="AI38"/>
          <cell r="AJ38"/>
          <cell r="AK38">
            <v>4.8039776290252981E-2</v>
          </cell>
          <cell r="AL38">
            <v>11</v>
          </cell>
          <cell r="AM38">
            <v>4.8039776290252981E-2</v>
          </cell>
          <cell r="AN38"/>
          <cell r="AO38">
            <v>-10.951960223709747</v>
          </cell>
          <cell r="AP38">
            <v>-0.995632747609977</v>
          </cell>
          <cell r="AQ38">
            <v>12</v>
          </cell>
          <cell r="AR38">
            <v>4.0033146908544153E-3</v>
          </cell>
        </row>
        <row r="39">
          <cell r="B39">
            <v>39783</v>
          </cell>
          <cell r="C39">
            <v>39783</v>
          </cell>
          <cell r="D39" t="str">
            <v>GLOBAL</v>
          </cell>
          <cell r="E39">
            <v>3.2033998676281046E-2</v>
          </cell>
          <cell r="F39" t="str">
            <v>c</v>
          </cell>
          <cell r="G39" t="str">
            <v>c</v>
          </cell>
          <cell r="H39" t="str">
            <v>g</v>
          </cell>
          <cell r="I39">
            <v>3.0000000000000027E-2</v>
          </cell>
          <cell r="J39">
            <v>1.2000000000000011E-2</v>
          </cell>
          <cell r="K39">
            <v>4.7119233558655119E-2</v>
          </cell>
          <cell r="L39" t="str">
            <v>c</v>
          </cell>
          <cell r="M39" t="str">
            <v>c</v>
          </cell>
          <cell r="N39" t="str">
            <v>g</v>
          </cell>
          <cell r="O39">
            <v>3.0000000000000027E-2</v>
          </cell>
          <cell r="P39">
            <v>1.2000000000000011E-2</v>
          </cell>
          <cell r="R39">
            <v>39783</v>
          </cell>
          <cell r="S39" t="str">
            <v>GLOBAL</v>
          </cell>
          <cell r="T39"/>
          <cell r="U39">
            <v>3.2033998676281046E-2</v>
          </cell>
          <cell r="V39">
            <v>1</v>
          </cell>
          <cell r="W39">
            <v>3.2033998676281046E-2</v>
          </cell>
          <cell r="X39"/>
          <cell r="Y39">
            <v>-0.96796600132371891</v>
          </cell>
          <cell r="Z39">
            <v>-0.96796600132371891</v>
          </cell>
          <cell r="AA39"/>
          <cell r="AB39">
            <v>0</v>
          </cell>
          <cell r="AC39">
            <v>4598</v>
          </cell>
          <cell r="AD39">
            <v>1</v>
          </cell>
          <cell r="AE39">
            <v>4598</v>
          </cell>
          <cell r="AF39">
            <v>-1</v>
          </cell>
          <cell r="AG39">
            <v>4597</v>
          </cell>
          <cell r="AH39">
            <v>-0.99978251413658115</v>
          </cell>
          <cell r="AI39"/>
          <cell r="AJ39"/>
          <cell r="AK39">
            <v>4.7119233558655119E-2</v>
          </cell>
          <cell r="AL39">
            <v>12</v>
          </cell>
          <cell r="AM39">
            <v>4.7119233558655119E-2</v>
          </cell>
          <cell r="AN39"/>
          <cell r="AO39">
            <v>-11.952880766441345</v>
          </cell>
          <cell r="AP39">
            <v>-0.99607339720344545</v>
          </cell>
          <cell r="AQ39">
            <v>12</v>
          </cell>
          <cell r="AR39">
            <v>3.9266027965545935E-3</v>
          </cell>
        </row>
        <row r="40">
          <cell r="B40">
            <v>39814</v>
          </cell>
          <cell r="C40"/>
          <cell r="D40" t="str">
            <v>GLOBAL</v>
          </cell>
          <cell r="E40" t="str">
            <v/>
          </cell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  <cell r="L40" t="str">
            <v/>
          </cell>
          <cell r="M40" t="str">
            <v/>
          </cell>
          <cell r="N40" t="str">
            <v/>
          </cell>
          <cell r="O40" t="str">
            <v/>
          </cell>
          <cell r="P40" t="str">
            <v/>
          </cell>
          <cell r="R40">
            <v>39814</v>
          </cell>
          <cell r="S40" t="str">
            <v>GLOBAL</v>
          </cell>
          <cell r="T40">
            <v>5.4731805902126167E-2</v>
          </cell>
          <cell r="U40" t="str">
            <v/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 t="str">
            <v/>
          </cell>
          <cell r="AA40"/>
          <cell r="AB40">
            <v>13270</v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/>
          <cell r="AJ40">
            <v>5.4731805902126167E-2</v>
          </cell>
          <cell r="AK40" t="str">
            <v/>
          </cell>
          <cell r="AL40" t="str">
            <v/>
          </cell>
          <cell r="AM40" t="str">
            <v/>
          </cell>
          <cell r="AN40" t="str">
            <v/>
          </cell>
          <cell r="AO40" t="str">
            <v/>
          </cell>
          <cell r="AP40" t="str">
            <v/>
          </cell>
          <cell r="AQ40">
            <v>0</v>
          </cell>
          <cell r="AR40" t="str">
            <v/>
          </cell>
        </row>
        <row r="41">
          <cell r="B41">
            <v>39845</v>
          </cell>
          <cell r="C41"/>
          <cell r="D41" t="str">
            <v>GLOBAL</v>
          </cell>
          <cell r="E41" t="str">
            <v/>
          </cell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  <cell r="J41" t="str">
            <v/>
          </cell>
          <cell r="K41" t="str">
            <v/>
          </cell>
          <cell r="L41" t="str">
            <v/>
          </cell>
          <cell r="M41" t="str">
            <v/>
          </cell>
          <cell r="N41" t="str">
            <v/>
          </cell>
          <cell r="O41"/>
          <cell r="P41"/>
          <cell r="R41">
            <v>39845</v>
          </cell>
          <cell r="S41" t="str">
            <v>GLOBAL</v>
          </cell>
          <cell r="T41">
            <v>4.66020868092736E-2</v>
          </cell>
          <cell r="U41" t="str">
            <v/>
          </cell>
          <cell r="V41" t="str">
            <v/>
          </cell>
          <cell r="W41" t="str">
            <v/>
          </cell>
          <cell r="X41" t="str">
            <v/>
          </cell>
          <cell r="Y41" t="str">
            <v/>
          </cell>
          <cell r="Z41" t="str">
            <v/>
          </cell>
          <cell r="AA41"/>
          <cell r="AB41">
            <v>9357</v>
          </cell>
          <cell r="AC41" t="str">
            <v/>
          </cell>
          <cell r="AD41" t="str">
            <v/>
          </cell>
          <cell r="AE41" t="str">
            <v/>
          </cell>
          <cell r="AF41" t="str">
            <v/>
          </cell>
          <cell r="AG41" t="str">
            <v/>
          </cell>
          <cell r="AH41" t="str">
            <v/>
          </cell>
          <cell r="AI41"/>
          <cell r="AJ41">
            <v>5.1049093042144209E-2</v>
          </cell>
          <cell r="AK41" t="str">
            <v/>
          </cell>
          <cell r="AL41" t="str">
            <v/>
          </cell>
          <cell r="AM41" t="str">
            <v/>
          </cell>
          <cell r="AN41" t="str">
            <v/>
          </cell>
          <cell r="AO41" t="str">
            <v/>
          </cell>
          <cell r="AP41" t="str">
            <v/>
          </cell>
          <cell r="AQ41">
            <v>0</v>
          </cell>
          <cell r="AR41"/>
        </row>
        <row r="42">
          <cell r="B42">
            <v>39873</v>
          </cell>
          <cell r="C42"/>
          <cell r="D42" t="str">
            <v>GLOBAL</v>
          </cell>
          <cell r="E42" t="str">
            <v/>
          </cell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  <cell r="J42" t="str">
            <v/>
          </cell>
          <cell r="K42" t="str">
            <v/>
          </cell>
          <cell r="L42" t="str">
            <v/>
          </cell>
          <cell r="M42" t="str">
            <v/>
          </cell>
          <cell r="N42" t="str">
            <v/>
          </cell>
          <cell r="O42"/>
          <cell r="P42"/>
          <cell r="R42">
            <v>39873</v>
          </cell>
          <cell r="S42" t="str">
            <v>GLOBAL</v>
          </cell>
          <cell r="T42">
            <v>4.5925848345203184E-2</v>
          </cell>
          <cell r="U42" t="str">
            <v/>
          </cell>
          <cell r="V42" t="str">
            <v/>
          </cell>
          <cell r="W42" t="str">
            <v/>
          </cell>
          <cell r="X42" t="str">
            <v/>
          </cell>
          <cell r="Y42" t="str">
            <v/>
          </cell>
          <cell r="Z42" t="str">
            <v/>
          </cell>
          <cell r="AA42"/>
          <cell r="AB42">
            <v>8770</v>
          </cell>
          <cell r="AC42" t="str">
            <v/>
          </cell>
          <cell r="AD42" t="str">
            <v/>
          </cell>
          <cell r="AE42" t="str">
            <v/>
          </cell>
          <cell r="AF42" t="str">
            <v/>
          </cell>
          <cell r="AG42" t="str">
            <v/>
          </cell>
          <cell r="AH42" t="str">
            <v/>
          </cell>
          <cell r="AI42"/>
          <cell r="AJ42">
            <v>4.9506464837590664E-2</v>
          </cell>
          <cell r="AK42" t="str">
            <v/>
          </cell>
          <cell r="AL42" t="str">
            <v/>
          </cell>
          <cell r="AM42" t="str">
            <v/>
          </cell>
          <cell r="AN42" t="str">
            <v/>
          </cell>
          <cell r="AO42" t="str">
            <v/>
          </cell>
          <cell r="AP42" t="str">
            <v/>
          </cell>
          <cell r="AQ42">
            <v>0</v>
          </cell>
          <cell r="AR42"/>
        </row>
        <row r="43">
          <cell r="B43">
            <v>39904</v>
          </cell>
          <cell r="C43"/>
          <cell r="D43" t="str">
            <v>GLOBAL</v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 t="str">
            <v/>
          </cell>
          <cell r="L43" t="str">
            <v/>
          </cell>
          <cell r="M43" t="str">
            <v/>
          </cell>
          <cell r="N43" t="str">
            <v/>
          </cell>
          <cell r="O43"/>
          <cell r="P43"/>
          <cell r="R43">
            <v>39904</v>
          </cell>
          <cell r="S43" t="str">
            <v>GLOBAL</v>
          </cell>
          <cell r="T43">
            <v>3.4680229412401252E-2</v>
          </cell>
          <cell r="U43" t="str">
            <v/>
          </cell>
          <cell r="V43" t="str">
            <v/>
          </cell>
          <cell r="W43" t="str">
            <v/>
          </cell>
          <cell r="X43" t="str">
            <v/>
          </cell>
          <cell r="Y43" t="str">
            <v/>
          </cell>
          <cell r="Z43" t="str">
            <v/>
          </cell>
          <cell r="AA43"/>
          <cell r="AB43">
            <v>8012</v>
          </cell>
          <cell r="AC43" t="str">
            <v/>
          </cell>
          <cell r="AD43" t="str">
            <v/>
          </cell>
          <cell r="AE43" t="str">
            <v/>
          </cell>
          <cell r="AF43" t="str">
            <v/>
          </cell>
          <cell r="AG43" t="str">
            <v/>
          </cell>
          <cell r="AH43" t="str">
            <v/>
          </cell>
          <cell r="AI43"/>
          <cell r="AJ43">
            <v>4.5547689907249563E-2</v>
          </cell>
          <cell r="AK43" t="str">
            <v/>
          </cell>
          <cell r="AL43" t="str">
            <v/>
          </cell>
          <cell r="AM43" t="str">
            <v/>
          </cell>
          <cell r="AN43" t="str">
            <v/>
          </cell>
          <cell r="AO43" t="str">
            <v/>
          </cell>
          <cell r="AP43" t="str">
            <v/>
          </cell>
          <cell r="AQ43">
            <v>0</v>
          </cell>
          <cell r="AR43"/>
        </row>
        <row r="44">
          <cell r="B44">
            <v>39934</v>
          </cell>
          <cell r="C44"/>
          <cell r="D44" t="str">
            <v>GLOBAL</v>
          </cell>
          <cell r="E44" t="str">
            <v/>
          </cell>
          <cell r="F44" t="str">
            <v/>
          </cell>
          <cell r="G44" t="str">
            <v/>
          </cell>
          <cell r="H44" t="str">
            <v/>
          </cell>
          <cell r="I44" t="str">
            <v/>
          </cell>
          <cell r="J44" t="str">
            <v/>
          </cell>
          <cell r="K44" t="str">
            <v/>
          </cell>
          <cell r="L44" t="str">
            <v/>
          </cell>
          <cell r="M44" t="str">
            <v/>
          </cell>
          <cell r="N44" t="str">
            <v/>
          </cell>
          <cell r="O44"/>
          <cell r="P44"/>
          <cell r="R44">
            <v>39934</v>
          </cell>
          <cell r="S44" t="str">
            <v>GLOBAL</v>
          </cell>
          <cell r="T44">
            <v>4.2924894831328206E-2</v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  <cell r="AA44"/>
          <cell r="AB44">
            <v>8010</v>
          </cell>
          <cell r="AC44" t="str">
            <v/>
          </cell>
          <cell r="AD44" t="str">
            <v/>
          </cell>
          <cell r="AE44" t="str">
            <v/>
          </cell>
          <cell r="AF44" t="str">
            <v/>
          </cell>
          <cell r="AG44" t="str">
            <v/>
          </cell>
          <cell r="AH44" t="str">
            <v/>
          </cell>
          <cell r="AI44"/>
          <cell r="AJ44">
            <v>4.5082380232547084E-2</v>
          </cell>
          <cell r="AK44" t="str">
            <v/>
          </cell>
          <cell r="AL44" t="str">
            <v/>
          </cell>
          <cell r="AM44" t="str">
            <v/>
          </cell>
          <cell r="AN44" t="str">
            <v/>
          </cell>
          <cell r="AO44" t="str">
            <v/>
          </cell>
          <cell r="AP44" t="str">
            <v/>
          </cell>
          <cell r="AQ44">
            <v>0</v>
          </cell>
          <cell r="AR44"/>
        </row>
        <row r="45">
          <cell r="B45">
            <v>39965</v>
          </cell>
          <cell r="C45"/>
          <cell r="D45" t="str">
            <v>GLOBAL</v>
          </cell>
          <cell r="E45" t="str">
            <v/>
          </cell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  <cell r="M45" t="str">
            <v/>
          </cell>
          <cell r="N45" t="str">
            <v/>
          </cell>
          <cell r="O45"/>
          <cell r="P45"/>
          <cell r="R45">
            <v>39965</v>
          </cell>
          <cell r="S45" t="str">
            <v>GLOBAL</v>
          </cell>
          <cell r="T45">
            <v>5.4177911563213617E-2</v>
          </cell>
          <cell r="U45" t="str">
            <v/>
          </cell>
          <cell r="V45" t="str">
            <v/>
          </cell>
          <cell r="W45" t="str">
            <v/>
          </cell>
          <cell r="X45" t="str">
            <v/>
          </cell>
          <cell r="Y45" t="str">
            <v/>
          </cell>
          <cell r="Z45" t="str">
            <v/>
          </cell>
          <cell r="AA45"/>
          <cell r="AB45">
            <v>10439</v>
          </cell>
          <cell r="AC45" t="str">
            <v/>
          </cell>
          <cell r="AD45" t="str">
            <v/>
          </cell>
          <cell r="AE45" t="str">
            <v/>
          </cell>
          <cell r="AF45" t="str">
            <v/>
          </cell>
          <cell r="AG45" t="str">
            <v/>
          </cell>
          <cell r="AH45" t="str">
            <v/>
          </cell>
          <cell r="AI45"/>
          <cell r="AJ45">
            <v>4.6490586656595771E-2</v>
          </cell>
          <cell r="AK45" t="str">
            <v/>
          </cell>
          <cell r="AL45" t="str">
            <v/>
          </cell>
          <cell r="AM45" t="str">
            <v/>
          </cell>
          <cell r="AN45" t="str">
            <v/>
          </cell>
          <cell r="AO45" t="str">
            <v/>
          </cell>
          <cell r="AP45" t="str">
            <v/>
          </cell>
          <cell r="AQ45">
            <v>0</v>
          </cell>
          <cell r="AR45"/>
        </row>
        <row r="46">
          <cell r="B46">
            <v>39995</v>
          </cell>
          <cell r="C46"/>
          <cell r="D46" t="str">
            <v>GLOBAL</v>
          </cell>
          <cell r="E46" t="str">
            <v/>
          </cell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  <cell r="M46" t="str">
            <v/>
          </cell>
          <cell r="N46" t="str">
            <v/>
          </cell>
          <cell r="O46"/>
          <cell r="P46"/>
          <cell r="R46">
            <v>39995</v>
          </cell>
          <cell r="S46" t="str">
            <v>GLOBAL</v>
          </cell>
          <cell r="T46">
            <v>4.1483837304643827E-2</v>
          </cell>
          <cell r="U46" t="str">
            <v/>
          </cell>
          <cell r="V46" t="str">
            <v/>
          </cell>
          <cell r="W46" t="str">
            <v/>
          </cell>
          <cell r="X46" t="str">
            <v/>
          </cell>
          <cell r="Y46" t="str">
            <v/>
          </cell>
          <cell r="Z46" t="str">
            <v/>
          </cell>
          <cell r="AA46"/>
          <cell r="AB46">
            <v>8348</v>
          </cell>
          <cell r="AC46" t="str">
            <v/>
          </cell>
          <cell r="AD46" t="str">
            <v/>
          </cell>
          <cell r="AE46" t="str">
            <v/>
          </cell>
          <cell r="AF46" t="str">
            <v/>
          </cell>
          <cell r="AG46" t="str">
            <v/>
          </cell>
          <cell r="AH46" t="str">
            <v/>
          </cell>
          <cell r="AI46"/>
          <cell r="AJ46">
            <v>4.5793691141937203E-2</v>
          </cell>
          <cell r="AK46" t="str">
            <v/>
          </cell>
          <cell r="AL46" t="str">
            <v/>
          </cell>
          <cell r="AM46" t="str">
            <v/>
          </cell>
          <cell r="AN46" t="str">
            <v/>
          </cell>
          <cell r="AO46" t="str">
            <v/>
          </cell>
          <cell r="AP46" t="str">
            <v/>
          </cell>
          <cell r="AQ46">
            <v>0</v>
          </cell>
          <cell r="AR46"/>
        </row>
        <row r="47">
          <cell r="B47">
            <v>40026</v>
          </cell>
          <cell r="C47"/>
          <cell r="D47" t="str">
            <v>GLOBAL</v>
          </cell>
          <cell r="E47" t="str">
            <v/>
          </cell>
          <cell r="F47" t="str">
            <v/>
          </cell>
          <cell r="G47" t="str">
            <v/>
          </cell>
          <cell r="H47" t="str">
            <v/>
          </cell>
          <cell r="I47" t="str">
            <v/>
          </cell>
          <cell r="J47" t="str">
            <v/>
          </cell>
          <cell r="K47" t="str">
            <v/>
          </cell>
          <cell r="L47" t="str">
            <v/>
          </cell>
          <cell r="M47" t="str">
            <v/>
          </cell>
          <cell r="N47" t="str">
            <v/>
          </cell>
          <cell r="O47"/>
          <cell r="P47"/>
          <cell r="R47">
            <v>40026</v>
          </cell>
          <cell r="S47" t="str">
            <v>GLOBAL</v>
          </cell>
          <cell r="T47">
            <v>4.1792364990689015E-2</v>
          </cell>
          <cell r="U47" t="str">
            <v/>
          </cell>
          <cell r="V47" t="str">
            <v/>
          </cell>
          <cell r="W47" t="str">
            <v/>
          </cell>
          <cell r="X47" t="str">
            <v/>
          </cell>
          <cell r="Y47" t="str">
            <v/>
          </cell>
          <cell r="Z47" t="str">
            <v/>
          </cell>
          <cell r="AA47"/>
          <cell r="AB47">
            <v>8977</v>
          </cell>
          <cell r="AC47" t="str">
            <v/>
          </cell>
          <cell r="AD47" t="str">
            <v/>
          </cell>
          <cell r="AE47" t="str">
            <v/>
          </cell>
          <cell r="AF47" t="str">
            <v/>
          </cell>
          <cell r="AG47" t="str">
            <v/>
          </cell>
          <cell r="AH47" t="str">
            <v/>
          </cell>
          <cell r="AI47"/>
          <cell r="AJ47">
            <v>4.5276099112038518E-2</v>
          </cell>
          <cell r="AK47" t="str">
            <v/>
          </cell>
          <cell r="AL47" t="str">
            <v/>
          </cell>
          <cell r="AM47" t="str">
            <v/>
          </cell>
          <cell r="AN47" t="str">
            <v/>
          </cell>
          <cell r="AO47" t="str">
            <v/>
          </cell>
          <cell r="AP47" t="str">
            <v/>
          </cell>
          <cell r="AQ47">
            <v>0</v>
          </cell>
          <cell r="AR47"/>
        </row>
        <row r="48">
          <cell r="B48">
            <v>40057</v>
          </cell>
          <cell r="C48"/>
          <cell r="D48" t="str">
            <v>GLOBAL</v>
          </cell>
          <cell r="E48" t="str">
            <v/>
          </cell>
          <cell r="F48" t="str">
            <v/>
          </cell>
          <cell r="G48" t="str">
            <v/>
          </cell>
          <cell r="H48" t="str">
            <v/>
          </cell>
          <cell r="I48" t="str">
            <v/>
          </cell>
          <cell r="J48" t="str">
            <v/>
          </cell>
          <cell r="K48" t="str">
            <v/>
          </cell>
          <cell r="L48" t="str">
            <v/>
          </cell>
          <cell r="M48" t="str">
            <v/>
          </cell>
          <cell r="N48" t="str">
            <v/>
          </cell>
          <cell r="O48"/>
          <cell r="P48"/>
          <cell r="R48">
            <v>40057</v>
          </cell>
          <cell r="S48" t="str">
            <v>GLOBAL</v>
          </cell>
          <cell r="T48">
            <v>5.4747534852091127E-2</v>
          </cell>
          <cell r="U48" t="str">
            <v/>
          </cell>
          <cell r="V48" t="str">
            <v/>
          </cell>
          <cell r="W48" t="str">
            <v/>
          </cell>
          <cell r="X48" t="str">
            <v/>
          </cell>
          <cell r="Y48" t="str">
            <v/>
          </cell>
          <cell r="Z48" t="str">
            <v/>
          </cell>
          <cell r="AA48"/>
          <cell r="AB48">
            <v>12881</v>
          </cell>
          <cell r="AC48" t="str">
            <v/>
          </cell>
          <cell r="AD48" t="str">
            <v/>
          </cell>
          <cell r="AE48" t="str">
            <v/>
          </cell>
          <cell r="AF48" t="str">
            <v/>
          </cell>
          <cell r="AG48" t="str">
            <v/>
          </cell>
          <cell r="AH48" t="str">
            <v/>
          </cell>
          <cell r="AI48"/>
          <cell r="AJ48">
            <v>4.645154484195535E-2</v>
          </cell>
          <cell r="AK48" t="str">
            <v/>
          </cell>
          <cell r="AL48" t="str">
            <v/>
          </cell>
          <cell r="AM48" t="str">
            <v/>
          </cell>
          <cell r="AN48" t="str">
            <v/>
          </cell>
          <cell r="AO48" t="str">
            <v/>
          </cell>
          <cell r="AP48" t="str">
            <v/>
          </cell>
          <cell r="AQ48">
            <v>0</v>
          </cell>
          <cell r="AR48"/>
        </row>
        <row r="49">
          <cell r="B49">
            <v>40087</v>
          </cell>
          <cell r="C49"/>
          <cell r="D49" t="str">
            <v>GLOBAL</v>
          </cell>
          <cell r="E49" t="str">
            <v/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  <cell r="L49" t="str">
            <v/>
          </cell>
          <cell r="M49" t="str">
            <v/>
          </cell>
          <cell r="N49" t="str">
            <v/>
          </cell>
          <cell r="O49"/>
          <cell r="P49"/>
          <cell r="R49">
            <v>40087</v>
          </cell>
          <cell r="S49" t="str">
            <v>GLOBAL</v>
          </cell>
          <cell r="T49">
            <v>5.1730114145700112E-2</v>
          </cell>
          <cell r="U49" t="str">
            <v/>
          </cell>
          <cell r="V49" t="str">
            <v/>
          </cell>
          <cell r="W49" t="str">
            <v/>
          </cell>
          <cell r="X49" t="str">
            <v/>
          </cell>
          <cell r="Y49" t="str">
            <v/>
          </cell>
          <cell r="Z49" t="str">
            <v/>
          </cell>
          <cell r="AA49"/>
          <cell r="AB49">
            <v>12984</v>
          </cell>
          <cell r="AC49" t="str">
            <v/>
          </cell>
          <cell r="AD49" t="str">
            <v/>
          </cell>
          <cell r="AE49" t="str">
            <v/>
          </cell>
          <cell r="AF49" t="str">
            <v/>
          </cell>
          <cell r="AG49" t="str">
            <v/>
          </cell>
          <cell r="AH49" t="str">
            <v/>
          </cell>
          <cell r="AI49"/>
          <cell r="AJ49">
            <v>4.7068687640323827E-2</v>
          </cell>
          <cell r="AK49" t="str">
            <v/>
          </cell>
          <cell r="AL49" t="str">
            <v/>
          </cell>
          <cell r="AM49" t="str">
            <v/>
          </cell>
          <cell r="AN49" t="str">
            <v/>
          </cell>
          <cell r="AO49" t="str">
            <v/>
          </cell>
          <cell r="AP49" t="str">
            <v/>
          </cell>
          <cell r="AQ49">
            <v>0</v>
          </cell>
          <cell r="AR49"/>
        </row>
        <row r="50">
          <cell r="R50">
            <v>40118</v>
          </cell>
          <cell r="S50"/>
          <cell r="T50"/>
          <cell r="U50"/>
          <cell r="V50"/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 t="str">
            <v/>
          </cell>
          <cell r="AL50" t="str">
            <v/>
          </cell>
          <cell r="AM50"/>
          <cell r="AN50"/>
          <cell r="AO50"/>
          <cell r="AP50"/>
          <cell r="AQ50">
            <v>0</v>
          </cell>
          <cell r="AR50"/>
        </row>
        <row r="51">
          <cell r="R51">
            <v>40148</v>
          </cell>
          <cell r="S51"/>
          <cell r="T51"/>
          <cell r="U51"/>
          <cell r="V51"/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 t="str">
            <v/>
          </cell>
          <cell r="AL51" t="str">
            <v/>
          </cell>
          <cell r="AM51"/>
          <cell r="AN51"/>
          <cell r="AO51"/>
          <cell r="AP51"/>
          <cell r="AQ51">
            <v>0</v>
          </cell>
          <cell r="AR51"/>
        </row>
        <row r="52">
          <cell r="R52"/>
          <cell r="S52"/>
          <cell r="T52"/>
          <cell r="U52"/>
          <cell r="V52"/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 t="str">
            <v/>
          </cell>
          <cell r="AM52"/>
          <cell r="AN52"/>
          <cell r="AO52"/>
          <cell r="AP52"/>
          <cell r="AQ52"/>
          <cell r="AR52"/>
        </row>
      </sheetData>
      <sheetData sheetId="53"/>
      <sheetData sheetId="54">
        <row r="16">
          <cell r="B16">
            <v>39083</v>
          </cell>
          <cell r="C16">
            <v>39083</v>
          </cell>
          <cell r="D16" t="str">
            <v>TOTAL</v>
          </cell>
          <cell r="E16"/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 t="str">
            <v/>
          </cell>
          <cell r="K16">
            <v>1</v>
          </cell>
          <cell r="L16">
            <v>7.0000000000000007E-2</v>
          </cell>
          <cell r="M16">
            <v>0.98</v>
          </cell>
          <cell r="N16">
            <v>0.95</v>
          </cell>
          <cell r="O16">
            <v>0.16991111676798931</v>
          </cell>
          <cell r="P16" t="str">
            <v>c</v>
          </cell>
          <cell r="Q16" t="str">
            <v>g</v>
          </cell>
          <cell r="R16" t="str">
            <v>c</v>
          </cell>
          <cell r="S16" t="str">
            <v>g</v>
          </cell>
          <cell r="T16" t="str">
            <v>c</v>
          </cell>
          <cell r="U16">
            <v>0.21</v>
          </cell>
          <cell r="V16">
            <v>0.12</v>
          </cell>
          <cell r="W16">
            <v>0.18</v>
          </cell>
          <cell r="X16">
            <v>0.16</v>
          </cell>
          <cell r="Y16"/>
          <cell r="Z16" t="str">
            <v/>
          </cell>
          <cell r="AA16" t="str">
            <v/>
          </cell>
          <cell r="AB16" t="str">
            <v/>
          </cell>
          <cell r="AC16" t="str">
            <v/>
          </cell>
          <cell r="AD16" t="str">
            <v/>
          </cell>
          <cell r="AE16">
            <v>1</v>
          </cell>
          <cell r="AF16">
            <v>7.0000000000000007E-2</v>
          </cell>
          <cell r="AG16">
            <v>0.98</v>
          </cell>
          <cell r="AH16">
            <v>0.95</v>
          </cell>
          <cell r="AI16">
            <v>0.16991111676798931</v>
          </cell>
          <cell r="AJ16" t="str">
            <v>c</v>
          </cell>
          <cell r="AK16" t="str">
            <v>g</v>
          </cell>
          <cell r="AL16" t="str">
            <v>c</v>
          </cell>
          <cell r="AM16" t="str">
            <v>g</v>
          </cell>
          <cell r="AN16" t="str">
            <v>c</v>
          </cell>
          <cell r="AO16">
            <v>0.21</v>
          </cell>
          <cell r="AP16">
            <v>0.12</v>
          </cell>
          <cell r="AQ16">
            <v>0.18</v>
          </cell>
          <cell r="AR16">
            <v>0.16</v>
          </cell>
          <cell r="AS16"/>
          <cell r="AT16">
            <v>39083</v>
          </cell>
          <cell r="AU16" t="str">
            <v>TOTAL</v>
          </cell>
          <cell r="AV16"/>
          <cell r="AW16"/>
          <cell r="AX16"/>
          <cell r="AY16"/>
          <cell r="AZ16"/>
          <cell r="BA16"/>
          <cell r="BB16" t="e">
            <v>#DIV/0!</v>
          </cell>
          <cell r="BC16"/>
          <cell r="BD16"/>
          <cell r="BE16">
            <v>161000.70000000001</v>
          </cell>
          <cell r="BF16">
            <v>0</v>
          </cell>
          <cell r="BG16">
            <v>161000.70000000001</v>
          </cell>
          <cell r="BH16"/>
          <cell r="BI16">
            <v>161000.70000000001</v>
          </cell>
          <cell r="BJ16">
            <v>-1</v>
          </cell>
          <cell r="BK16"/>
          <cell r="BL16"/>
          <cell r="BM16"/>
          <cell r="BN16"/>
          <cell r="BO16"/>
          <cell r="BP16"/>
          <cell r="BQ16"/>
          <cell r="BR16" t="str">
            <v/>
          </cell>
        </row>
        <row r="17">
          <cell r="B17">
            <v>39114</v>
          </cell>
          <cell r="C17">
            <v>39114</v>
          </cell>
          <cell r="D17" t="str">
            <v>TOTAL</v>
          </cell>
          <cell r="E17"/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  <cell r="J17" t="str">
            <v/>
          </cell>
          <cell r="K17">
            <v>1</v>
          </cell>
          <cell r="L17">
            <v>7.0000000000000007E-2</v>
          </cell>
          <cell r="M17">
            <v>0.98</v>
          </cell>
          <cell r="N17">
            <v>0.95</v>
          </cell>
          <cell r="O17">
            <v>0.1861463192622457</v>
          </cell>
          <cell r="P17" t="str">
            <v>c</v>
          </cell>
          <cell r="Q17" t="str">
            <v>g</v>
          </cell>
          <cell r="R17" t="str">
            <v>g</v>
          </cell>
          <cell r="S17" t="str">
            <v>c</v>
          </cell>
          <cell r="T17" t="str">
            <v>c</v>
          </cell>
          <cell r="U17">
            <v>0.21</v>
          </cell>
          <cell r="V17">
            <v>0.12</v>
          </cell>
          <cell r="W17">
            <v>0.18</v>
          </cell>
          <cell r="X17">
            <v>0.16</v>
          </cell>
          <cell r="Y17"/>
          <cell r="Z17" t="str">
            <v/>
          </cell>
          <cell r="AA17" t="str">
            <v/>
          </cell>
          <cell r="AB17" t="str">
            <v/>
          </cell>
          <cell r="AC17" t="str">
            <v/>
          </cell>
          <cell r="AD17" t="str">
            <v/>
          </cell>
          <cell r="AE17">
            <v>1</v>
          </cell>
          <cell r="AF17">
            <v>7.0000000000000007E-2</v>
          </cell>
          <cell r="AG17">
            <v>0.98</v>
          </cell>
          <cell r="AH17">
            <v>0.95</v>
          </cell>
          <cell r="AI17">
            <v>0.17812491281711568</v>
          </cell>
          <cell r="AJ17" t="str">
            <v>c</v>
          </cell>
          <cell r="AK17" t="str">
            <v>g</v>
          </cell>
          <cell r="AL17" t="str">
            <v>c</v>
          </cell>
          <cell r="AM17" t="str">
            <v>g</v>
          </cell>
          <cell r="AN17" t="str">
            <v>c</v>
          </cell>
          <cell r="AO17">
            <v>0.21</v>
          </cell>
          <cell r="AP17">
            <v>0.12</v>
          </cell>
          <cell r="AQ17">
            <v>0.18</v>
          </cell>
          <cell r="AR17">
            <v>0.16</v>
          </cell>
          <cell r="AS17"/>
          <cell r="AT17">
            <v>39114</v>
          </cell>
          <cell r="AU17" t="str">
            <v>TOTAL</v>
          </cell>
          <cell r="AV17"/>
          <cell r="AW17"/>
          <cell r="AX17"/>
          <cell r="AY17"/>
          <cell r="AZ17"/>
          <cell r="BA17"/>
          <cell r="BB17" t="e">
            <v>#DIV/0!</v>
          </cell>
          <cell r="BC17"/>
          <cell r="BD17"/>
          <cell r="BE17">
            <v>180615</v>
          </cell>
          <cell r="BF17">
            <v>0</v>
          </cell>
          <cell r="BG17">
            <v>180615</v>
          </cell>
          <cell r="BH17"/>
          <cell r="BI17">
            <v>180615</v>
          </cell>
          <cell r="BJ17">
            <v>-1</v>
          </cell>
          <cell r="BK17"/>
          <cell r="BL17"/>
          <cell r="BM17"/>
          <cell r="BN17"/>
          <cell r="BO17"/>
          <cell r="BP17"/>
          <cell r="BQ17"/>
          <cell r="BR17" t="str">
            <v/>
          </cell>
        </row>
        <row r="18">
          <cell r="B18">
            <v>39142</v>
          </cell>
          <cell r="C18">
            <v>39142</v>
          </cell>
          <cell r="D18" t="str">
            <v>TOTAL</v>
          </cell>
          <cell r="E18"/>
          <cell r="F18" t="str">
            <v/>
          </cell>
          <cell r="G18" t="str">
            <v/>
          </cell>
          <cell r="H18" t="str">
            <v/>
          </cell>
          <cell r="I18" t="str">
            <v/>
          </cell>
          <cell r="J18" t="str">
            <v/>
          </cell>
          <cell r="K18">
            <v>1</v>
          </cell>
          <cell r="L18">
            <v>7.0000000000000007E-2</v>
          </cell>
          <cell r="M18">
            <v>0.98</v>
          </cell>
          <cell r="N18">
            <v>0.95</v>
          </cell>
          <cell r="O18">
            <v>0.19810743290976457</v>
          </cell>
          <cell r="P18" t="str">
            <v>c</v>
          </cell>
          <cell r="Q18" t="str">
            <v>g</v>
          </cell>
          <cell r="R18" t="str">
            <v>g</v>
          </cell>
          <cell r="S18" t="str">
            <v>c</v>
          </cell>
          <cell r="T18" t="str">
            <v>c</v>
          </cell>
          <cell r="U18">
            <v>0.21</v>
          </cell>
          <cell r="V18">
            <v>0.12</v>
          </cell>
          <cell r="W18">
            <v>0.18</v>
          </cell>
          <cell r="X18">
            <v>0.16</v>
          </cell>
          <cell r="Y18"/>
          <cell r="Z18" t="str">
            <v/>
          </cell>
          <cell r="AA18" t="str">
            <v/>
          </cell>
          <cell r="AB18" t="str">
            <v/>
          </cell>
          <cell r="AC18" t="str">
            <v/>
          </cell>
          <cell r="AD18" t="str">
            <v/>
          </cell>
          <cell r="AE18">
            <v>1</v>
          </cell>
          <cell r="AF18">
            <v>7.0000000000000007E-2</v>
          </cell>
          <cell r="AG18">
            <v>0.98</v>
          </cell>
          <cell r="AH18">
            <v>0.95</v>
          </cell>
          <cell r="AI18">
            <v>0.18548944007271886</v>
          </cell>
          <cell r="AJ18" t="str">
            <v>c</v>
          </cell>
          <cell r="AK18" t="str">
            <v>g</v>
          </cell>
          <cell r="AL18" t="str">
            <v>g</v>
          </cell>
          <cell r="AM18" t="str">
            <v>c</v>
          </cell>
          <cell r="AN18" t="str">
            <v>c</v>
          </cell>
          <cell r="AO18">
            <v>0.21</v>
          </cell>
          <cell r="AP18">
            <v>0.12</v>
          </cell>
          <cell r="AQ18">
            <v>0.18</v>
          </cell>
          <cell r="AR18">
            <v>0.16</v>
          </cell>
          <cell r="AS18"/>
          <cell r="AT18">
            <v>39142</v>
          </cell>
          <cell r="AU18" t="str">
            <v>TOTAL</v>
          </cell>
          <cell r="AV18"/>
          <cell r="AW18"/>
          <cell r="AX18"/>
          <cell r="AY18"/>
          <cell r="AZ18"/>
          <cell r="BA18"/>
          <cell r="BB18" t="e">
            <v>#DIV/0!</v>
          </cell>
          <cell r="BC18"/>
          <cell r="BD18"/>
          <cell r="BE18">
            <v>221752.49999999994</v>
          </cell>
          <cell r="BF18">
            <v>0</v>
          </cell>
          <cell r="BG18">
            <v>221752.49999999994</v>
          </cell>
          <cell r="BH18"/>
          <cell r="BI18">
            <v>221752.49999999994</v>
          </cell>
          <cell r="BJ18">
            <v>-1</v>
          </cell>
          <cell r="BK18"/>
          <cell r="BL18"/>
          <cell r="BM18"/>
          <cell r="BN18"/>
          <cell r="BO18"/>
          <cell r="BP18"/>
          <cell r="BQ18"/>
          <cell r="BR18" t="str">
            <v/>
          </cell>
        </row>
        <row r="19">
          <cell r="B19">
            <v>39173</v>
          </cell>
          <cell r="C19">
            <v>39173</v>
          </cell>
          <cell r="D19" t="str">
            <v>TOTAL</v>
          </cell>
          <cell r="E19"/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  <cell r="J19" t="str">
            <v/>
          </cell>
          <cell r="K19">
            <v>1</v>
          </cell>
          <cell r="L19">
            <v>7.0000000000000007E-2</v>
          </cell>
          <cell r="M19">
            <v>0.98</v>
          </cell>
          <cell r="N19">
            <v>0.95</v>
          </cell>
          <cell r="O19">
            <v>0.21654690835807147</v>
          </cell>
          <cell r="P19" t="str">
            <v>g</v>
          </cell>
          <cell r="Q19" t="str">
            <v>c</v>
          </cell>
          <cell r="R19" t="str">
            <v>c</v>
          </cell>
          <cell r="S19" t="str">
            <v>c</v>
          </cell>
          <cell r="T19" t="str">
            <v>c</v>
          </cell>
          <cell r="U19">
            <v>0.21</v>
          </cell>
          <cell r="V19">
            <v>0.12</v>
          </cell>
          <cell r="W19">
            <v>0.18</v>
          </cell>
          <cell r="X19">
            <v>0.16</v>
          </cell>
          <cell r="Y19"/>
          <cell r="Z19" t="str">
            <v/>
          </cell>
          <cell r="AA19" t="str">
            <v/>
          </cell>
          <cell r="AB19" t="str">
            <v/>
          </cell>
          <cell r="AC19" t="str">
            <v/>
          </cell>
          <cell r="AD19" t="str">
            <v/>
          </cell>
          <cell r="AE19">
            <v>1</v>
          </cell>
          <cell r="AF19">
            <v>7.0000000000000007E-2</v>
          </cell>
          <cell r="AG19">
            <v>0.98</v>
          </cell>
          <cell r="AH19">
            <v>0.95</v>
          </cell>
          <cell r="AI19">
            <v>0.1928684960163152</v>
          </cell>
          <cell r="AJ19" t="str">
            <v>c</v>
          </cell>
          <cell r="AK19" t="str">
            <v>g</v>
          </cell>
          <cell r="AL19" t="str">
            <v>g</v>
          </cell>
          <cell r="AM19" t="str">
            <v>c</v>
          </cell>
          <cell r="AN19" t="str">
            <v>c</v>
          </cell>
          <cell r="AO19">
            <v>0.21</v>
          </cell>
          <cell r="AP19">
            <v>0.12</v>
          </cell>
          <cell r="AQ19">
            <v>0.18</v>
          </cell>
          <cell r="AR19">
            <v>0.16</v>
          </cell>
          <cell r="AS19"/>
          <cell r="AT19">
            <v>39173</v>
          </cell>
          <cell r="AU19" t="str">
            <v>TOTAL</v>
          </cell>
          <cell r="AV19"/>
          <cell r="AW19"/>
          <cell r="AX19"/>
          <cell r="AY19"/>
          <cell r="AZ19"/>
          <cell r="BA19"/>
          <cell r="BB19" t="e">
            <v>#DIV/0!</v>
          </cell>
          <cell r="BC19"/>
          <cell r="BD19"/>
          <cell r="BE19">
            <v>204962</v>
          </cell>
          <cell r="BF19">
            <v>0</v>
          </cell>
          <cell r="BG19">
            <v>204962</v>
          </cell>
          <cell r="BH19"/>
          <cell r="BI19">
            <v>204962</v>
          </cell>
          <cell r="BJ19">
            <v>-1</v>
          </cell>
          <cell r="BK19"/>
          <cell r="BL19"/>
          <cell r="BM19"/>
          <cell r="BN19"/>
          <cell r="BO19"/>
          <cell r="BP19"/>
          <cell r="BQ19"/>
          <cell r="BR19" t="str">
            <v/>
          </cell>
        </row>
        <row r="20">
          <cell r="B20">
            <v>39203</v>
          </cell>
          <cell r="C20">
            <v>39203</v>
          </cell>
          <cell r="D20" t="str">
            <v>TOTAL</v>
          </cell>
          <cell r="E20"/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  <cell r="J20" t="str">
            <v/>
          </cell>
          <cell r="K20">
            <v>1</v>
          </cell>
          <cell r="L20">
            <v>7.0000000000000007E-2</v>
          </cell>
          <cell r="M20">
            <v>0.98</v>
          </cell>
          <cell r="N20">
            <v>0.95</v>
          </cell>
          <cell r="O20">
            <v>0.24191097215553917</v>
          </cell>
          <cell r="P20" t="str">
            <v>g</v>
          </cell>
          <cell r="Q20" t="str">
            <v>c</v>
          </cell>
          <cell r="R20" t="str">
            <v>c</v>
          </cell>
          <cell r="S20" t="str">
            <v>c</v>
          </cell>
          <cell r="T20" t="str">
            <v>c</v>
          </cell>
          <cell r="U20">
            <v>0.21</v>
          </cell>
          <cell r="V20">
            <v>0.12</v>
          </cell>
          <cell r="W20">
            <v>0.18</v>
          </cell>
          <cell r="X20">
            <v>0.16</v>
          </cell>
          <cell r="Y20"/>
          <cell r="Z20" t="str">
            <v/>
          </cell>
          <cell r="AA20" t="str">
            <v/>
          </cell>
          <cell r="AB20" t="str">
            <v/>
          </cell>
          <cell r="AC20" t="str">
            <v/>
          </cell>
          <cell r="AD20" t="str">
            <v/>
          </cell>
          <cell r="AE20">
            <v>1</v>
          </cell>
          <cell r="AF20">
            <v>7.0000000000000007E-2</v>
          </cell>
          <cell r="AG20">
            <v>0.98</v>
          </cell>
          <cell r="AH20">
            <v>0.95</v>
          </cell>
          <cell r="AI20">
            <v>0.20338910989659456</v>
          </cell>
          <cell r="AJ20" t="str">
            <v>c</v>
          </cell>
          <cell r="AK20" t="str">
            <v>g</v>
          </cell>
          <cell r="AL20" t="str">
            <v>g</v>
          </cell>
          <cell r="AM20" t="str">
            <v>c</v>
          </cell>
          <cell r="AN20" t="str">
            <v>c</v>
          </cell>
          <cell r="AO20">
            <v>0.21</v>
          </cell>
          <cell r="AP20">
            <v>0.12</v>
          </cell>
          <cell r="AQ20">
            <v>0.18</v>
          </cell>
          <cell r="AR20">
            <v>0.16</v>
          </cell>
          <cell r="AS20"/>
          <cell r="AT20">
            <v>39203</v>
          </cell>
          <cell r="AU20" t="str">
            <v>TOTAL</v>
          </cell>
          <cell r="AV20"/>
          <cell r="AW20"/>
          <cell r="AX20"/>
          <cell r="AY20"/>
          <cell r="AZ20"/>
          <cell r="BA20"/>
          <cell r="BB20" t="e">
            <v>#DIV/0!</v>
          </cell>
          <cell r="BC20"/>
          <cell r="BD20"/>
          <cell r="BE20">
            <v>263194</v>
          </cell>
          <cell r="BF20">
            <v>0</v>
          </cell>
          <cell r="BG20">
            <v>263194</v>
          </cell>
          <cell r="BH20"/>
          <cell r="BI20">
            <v>263194</v>
          </cell>
          <cell r="BJ20">
            <v>-1</v>
          </cell>
          <cell r="BK20"/>
          <cell r="BL20"/>
          <cell r="BM20"/>
          <cell r="BN20"/>
          <cell r="BO20"/>
          <cell r="BP20"/>
          <cell r="BQ20"/>
          <cell r="BR20" t="str">
            <v/>
          </cell>
        </row>
        <row r="21">
          <cell r="B21">
            <v>39234</v>
          </cell>
          <cell r="C21">
            <v>39234</v>
          </cell>
          <cell r="D21" t="str">
            <v>TOTAL</v>
          </cell>
          <cell r="E21"/>
          <cell r="F21" t="str">
            <v/>
          </cell>
          <cell r="G21" t="str">
            <v/>
          </cell>
          <cell r="H21" t="str">
            <v/>
          </cell>
          <cell r="I21" t="str">
            <v/>
          </cell>
          <cell r="J21" t="str">
            <v/>
          </cell>
          <cell r="K21">
            <v>1</v>
          </cell>
          <cell r="L21">
            <v>7.0000000000000007E-2</v>
          </cell>
          <cell r="M21">
            <v>0.98</v>
          </cell>
          <cell r="N21">
            <v>0.95</v>
          </cell>
          <cell r="O21">
            <v>0.11374656636637759</v>
          </cell>
          <cell r="P21" t="str">
            <v>c</v>
          </cell>
          <cell r="Q21" t="str">
            <v>c</v>
          </cell>
          <cell r="R21" t="str">
            <v>c</v>
          </cell>
          <cell r="S21" t="str">
            <v>c</v>
          </cell>
          <cell r="T21" t="str">
            <v>g</v>
          </cell>
          <cell r="U21">
            <v>0.21</v>
          </cell>
          <cell r="V21">
            <v>0.12</v>
          </cell>
          <cell r="W21">
            <v>0.18</v>
          </cell>
          <cell r="X21">
            <v>0.16</v>
          </cell>
          <cell r="Y21"/>
          <cell r="Z21" t="str">
            <v/>
          </cell>
          <cell r="AA21" t="str">
            <v/>
          </cell>
          <cell r="AB21" t="str">
            <v/>
          </cell>
          <cell r="AC21" t="str">
            <v/>
          </cell>
          <cell r="AD21" t="str">
            <v/>
          </cell>
          <cell r="AE21">
            <v>1</v>
          </cell>
          <cell r="AF21">
            <v>7.0000000000000007E-2</v>
          </cell>
          <cell r="AG21">
            <v>0.98</v>
          </cell>
          <cell r="AH21">
            <v>0.95</v>
          </cell>
          <cell r="AI21">
            <v>0.18903107139175496</v>
          </cell>
          <cell r="AJ21" t="str">
            <v>c</v>
          </cell>
          <cell r="AK21" t="str">
            <v>g</v>
          </cell>
          <cell r="AL21" t="str">
            <v>g</v>
          </cell>
          <cell r="AM21" t="str">
            <v>c</v>
          </cell>
          <cell r="AN21" t="str">
            <v>c</v>
          </cell>
          <cell r="AO21">
            <v>0.21</v>
          </cell>
          <cell r="AP21">
            <v>0.12</v>
          </cell>
          <cell r="AQ21">
            <v>0.18</v>
          </cell>
          <cell r="AR21">
            <v>0.16</v>
          </cell>
          <cell r="AS21"/>
          <cell r="AT21">
            <v>39234</v>
          </cell>
          <cell r="AU21" t="str">
            <v>TOTAL</v>
          </cell>
          <cell r="AV21"/>
          <cell r="AW21"/>
          <cell r="AX21"/>
          <cell r="AY21"/>
          <cell r="AZ21"/>
          <cell r="BA21"/>
          <cell r="BB21" t="e">
            <v>#DIV/0!</v>
          </cell>
          <cell r="BC21"/>
          <cell r="BD21"/>
          <cell r="BE21">
            <v>110022</v>
          </cell>
          <cell r="BF21">
            <v>0</v>
          </cell>
          <cell r="BG21">
            <v>110022</v>
          </cell>
          <cell r="BH21"/>
          <cell r="BI21">
            <v>110022</v>
          </cell>
          <cell r="BJ21">
            <v>-1</v>
          </cell>
          <cell r="BK21"/>
          <cell r="BL21"/>
          <cell r="BM21"/>
          <cell r="BN21"/>
          <cell r="BO21"/>
          <cell r="BP21"/>
          <cell r="BQ21"/>
          <cell r="BR21" t="str">
            <v/>
          </cell>
        </row>
        <row r="22">
          <cell r="B22">
            <v>39264</v>
          </cell>
          <cell r="C22">
            <v>39264</v>
          </cell>
          <cell r="D22" t="str">
            <v>TOTAL</v>
          </cell>
          <cell r="E22"/>
          <cell r="F22" t="str">
            <v/>
          </cell>
          <cell r="G22" t="str">
            <v/>
          </cell>
          <cell r="H22" t="str">
            <v/>
          </cell>
          <cell r="I22" t="str">
            <v/>
          </cell>
          <cell r="J22" t="str">
            <v/>
          </cell>
          <cell r="K22">
            <v>1</v>
          </cell>
          <cell r="L22">
            <v>7.0000000000000007E-2</v>
          </cell>
          <cell r="M22">
            <v>0.98</v>
          </cell>
          <cell r="N22">
            <v>0.95</v>
          </cell>
          <cell r="O22">
            <v>0.17244766219354726</v>
          </cell>
          <cell r="P22" t="str">
            <v>c</v>
          </cell>
          <cell r="Q22" t="str">
            <v>g</v>
          </cell>
          <cell r="R22" t="str">
            <v>c</v>
          </cell>
          <cell r="S22" t="str">
            <v>g</v>
          </cell>
          <cell r="T22" t="str">
            <v>c</v>
          </cell>
          <cell r="U22">
            <v>0.21</v>
          </cell>
          <cell r="V22">
            <v>0.12</v>
          </cell>
          <cell r="W22">
            <v>0.18</v>
          </cell>
          <cell r="X22">
            <v>0.16</v>
          </cell>
          <cell r="Y22"/>
          <cell r="Z22" t="str">
            <v/>
          </cell>
          <cell r="AA22" t="str">
            <v/>
          </cell>
          <cell r="AB22" t="str">
            <v/>
          </cell>
          <cell r="AC22" t="str">
            <v/>
          </cell>
          <cell r="AD22" t="str">
            <v/>
          </cell>
          <cell r="AE22">
            <v>1</v>
          </cell>
          <cell r="AF22">
            <v>7.0000000000000007E-2</v>
          </cell>
          <cell r="AG22">
            <v>0.98</v>
          </cell>
          <cell r="AH22">
            <v>0.95</v>
          </cell>
          <cell r="AI22">
            <v>0.18639062474342352</v>
          </cell>
          <cell r="AJ22" t="str">
            <v>c</v>
          </cell>
          <cell r="AK22" t="str">
            <v>g</v>
          </cell>
          <cell r="AL22" t="str">
            <v>g</v>
          </cell>
          <cell r="AM22" t="str">
            <v>c</v>
          </cell>
          <cell r="AN22" t="str">
            <v>c</v>
          </cell>
          <cell r="AO22">
            <v>0.21</v>
          </cell>
          <cell r="AP22">
            <v>0.12</v>
          </cell>
          <cell r="AQ22">
            <v>0.18</v>
          </cell>
          <cell r="AR22">
            <v>0.16</v>
          </cell>
          <cell r="AS22"/>
          <cell r="AT22">
            <v>39264</v>
          </cell>
          <cell r="AU22" t="str">
            <v>TOTAL</v>
          </cell>
          <cell r="AV22"/>
          <cell r="AW22"/>
          <cell r="AX22"/>
          <cell r="AY22"/>
          <cell r="AZ22"/>
          <cell r="BA22"/>
          <cell r="BB22" t="e">
            <v>#DIV/0!</v>
          </cell>
          <cell r="BC22"/>
          <cell r="BD22"/>
          <cell r="BE22">
            <v>197215</v>
          </cell>
          <cell r="BF22">
            <v>0</v>
          </cell>
          <cell r="BG22">
            <v>197215</v>
          </cell>
          <cell r="BH22"/>
          <cell r="BI22">
            <v>197215</v>
          </cell>
          <cell r="BJ22">
            <v>-1</v>
          </cell>
          <cell r="BK22"/>
          <cell r="BL22"/>
          <cell r="BM22"/>
          <cell r="BN22"/>
          <cell r="BO22"/>
          <cell r="BP22"/>
          <cell r="BQ22"/>
          <cell r="BR22" t="str">
            <v/>
          </cell>
        </row>
        <row r="23">
          <cell r="B23">
            <v>39295</v>
          </cell>
          <cell r="C23">
            <v>39295</v>
          </cell>
          <cell r="D23" t="str">
            <v>TOTAL</v>
          </cell>
          <cell r="E23"/>
          <cell r="F23" t="str">
            <v/>
          </cell>
          <cell r="G23" t="str">
            <v/>
          </cell>
          <cell r="H23" t="str">
            <v/>
          </cell>
          <cell r="I23" t="str">
            <v/>
          </cell>
          <cell r="J23" t="str">
            <v/>
          </cell>
          <cell r="K23">
            <v>1</v>
          </cell>
          <cell r="L23">
            <v>7.0000000000000007E-2</v>
          </cell>
          <cell r="M23">
            <v>0.98</v>
          </cell>
          <cell r="N23">
            <v>0.95</v>
          </cell>
          <cell r="O23">
            <v>0.19385918857474421</v>
          </cell>
          <cell r="P23" t="str">
            <v>c</v>
          </cell>
          <cell r="Q23" t="str">
            <v>g</v>
          </cell>
          <cell r="R23" t="str">
            <v>g</v>
          </cell>
          <cell r="S23" t="str">
            <v>c</v>
          </cell>
          <cell r="T23" t="str">
            <v>c</v>
          </cell>
          <cell r="U23">
            <v>0.21</v>
          </cell>
          <cell r="V23">
            <v>0.12</v>
          </cell>
          <cell r="W23">
            <v>0.18</v>
          </cell>
          <cell r="X23">
            <v>0.16</v>
          </cell>
          <cell r="Y23"/>
          <cell r="Z23" t="str">
            <v/>
          </cell>
          <cell r="AA23" t="str">
            <v/>
          </cell>
          <cell r="AB23" t="str">
            <v/>
          </cell>
          <cell r="AC23" t="str">
            <v/>
          </cell>
          <cell r="AD23" t="str">
            <v/>
          </cell>
          <cell r="AE23">
            <v>1</v>
          </cell>
          <cell r="AF23">
            <v>7.0000000000000007E-2</v>
          </cell>
          <cell r="AG23">
            <v>0.98</v>
          </cell>
          <cell r="AH23">
            <v>0.95</v>
          </cell>
          <cell r="AI23">
            <v>0.18731523480662218</v>
          </cell>
          <cell r="AJ23" t="str">
            <v>c</v>
          </cell>
          <cell r="AK23" t="str">
            <v>g</v>
          </cell>
          <cell r="AL23" t="str">
            <v>g</v>
          </cell>
          <cell r="AM23" t="str">
            <v>c</v>
          </cell>
          <cell r="AN23" t="str">
            <v>c</v>
          </cell>
          <cell r="AO23">
            <v>0.21</v>
          </cell>
          <cell r="AP23">
            <v>0.12</v>
          </cell>
          <cell r="AQ23">
            <v>0.18</v>
          </cell>
          <cell r="AR23">
            <v>0.16</v>
          </cell>
          <cell r="AS23"/>
          <cell r="AT23">
            <v>39295</v>
          </cell>
          <cell r="AU23" t="str">
            <v>TOTAL</v>
          </cell>
          <cell r="AV23"/>
          <cell r="AW23"/>
          <cell r="AX23"/>
          <cell r="AY23"/>
          <cell r="AZ23"/>
          <cell r="BA23"/>
          <cell r="BB23" t="e">
            <v>#DIV/0!</v>
          </cell>
          <cell r="BC23"/>
          <cell r="BD23"/>
          <cell r="BE23">
            <v>196736</v>
          </cell>
          <cell r="BF23">
            <v>0</v>
          </cell>
          <cell r="BG23">
            <v>196736</v>
          </cell>
          <cell r="BH23"/>
          <cell r="BI23">
            <v>196736</v>
          </cell>
          <cell r="BJ23">
            <v>-1</v>
          </cell>
          <cell r="BK23"/>
          <cell r="BL23"/>
          <cell r="BM23"/>
          <cell r="BN23"/>
          <cell r="BO23"/>
          <cell r="BP23"/>
          <cell r="BQ23"/>
          <cell r="BR23" t="str">
            <v/>
          </cell>
        </row>
        <row r="24">
          <cell r="B24">
            <v>39326</v>
          </cell>
          <cell r="C24">
            <v>39326</v>
          </cell>
          <cell r="D24" t="str">
            <v>TOTAL</v>
          </cell>
          <cell r="E24"/>
          <cell r="F24" t="str">
            <v/>
          </cell>
          <cell r="G24" t="str">
            <v/>
          </cell>
          <cell r="H24" t="str">
            <v/>
          </cell>
          <cell r="I24" t="str">
            <v/>
          </cell>
          <cell r="J24" t="str">
            <v/>
          </cell>
          <cell r="K24">
            <v>1</v>
          </cell>
          <cell r="L24">
            <v>7.0000000000000007E-2</v>
          </cell>
          <cell r="M24">
            <v>0.98</v>
          </cell>
          <cell r="N24">
            <v>0.95</v>
          </cell>
          <cell r="O24">
            <v>0.21408765462311452</v>
          </cell>
          <cell r="P24" t="str">
            <v>g</v>
          </cell>
          <cell r="Q24" t="str">
            <v>c</v>
          </cell>
          <cell r="R24" t="str">
            <v>c</v>
          </cell>
          <cell r="S24" t="str">
            <v>c</v>
          </cell>
          <cell r="T24" t="str">
            <v>c</v>
          </cell>
          <cell r="U24">
            <v>0.21</v>
          </cell>
          <cell r="V24">
            <v>0.12</v>
          </cell>
          <cell r="W24">
            <v>0.18</v>
          </cell>
          <cell r="X24">
            <v>0.16</v>
          </cell>
          <cell r="Y24"/>
          <cell r="Z24" t="str">
            <v/>
          </cell>
          <cell r="AA24" t="str">
            <v/>
          </cell>
          <cell r="AB24" t="str">
            <v/>
          </cell>
          <cell r="AC24" t="str">
            <v/>
          </cell>
          <cell r="AD24" t="str">
            <v/>
          </cell>
          <cell r="AE24">
            <v>1</v>
          </cell>
          <cell r="AF24">
            <v>7.0000000000000007E-2</v>
          </cell>
          <cell r="AG24">
            <v>0.98</v>
          </cell>
          <cell r="AH24">
            <v>0.95</v>
          </cell>
          <cell r="AI24">
            <v>0.19065211518118461</v>
          </cell>
          <cell r="AJ24" t="str">
            <v>c</v>
          </cell>
          <cell r="AK24" t="str">
            <v>g</v>
          </cell>
          <cell r="AL24" t="str">
            <v>g</v>
          </cell>
          <cell r="AM24" t="str">
            <v>c</v>
          </cell>
          <cell r="AN24" t="str">
            <v>c</v>
          </cell>
          <cell r="AO24">
            <v>0.21</v>
          </cell>
          <cell r="AP24">
            <v>0.12</v>
          </cell>
          <cell r="AQ24">
            <v>0.18</v>
          </cell>
          <cell r="AR24">
            <v>0.16</v>
          </cell>
          <cell r="AS24"/>
          <cell r="AT24">
            <v>39326</v>
          </cell>
          <cell r="AU24" t="str">
            <v>TOTAL</v>
          </cell>
          <cell r="AV24"/>
          <cell r="AW24"/>
          <cell r="AX24"/>
          <cell r="AY24"/>
          <cell r="AZ24"/>
          <cell r="BA24"/>
          <cell r="BB24" t="e">
            <v>#DIV/0!</v>
          </cell>
          <cell r="BC24"/>
          <cell r="BD24"/>
          <cell r="BE24">
            <v>249881</v>
          </cell>
          <cell r="BF24">
            <v>0</v>
          </cell>
          <cell r="BG24">
            <v>249881</v>
          </cell>
          <cell r="BH24"/>
          <cell r="BI24">
            <v>249881</v>
          </cell>
          <cell r="BJ24">
            <v>-1</v>
          </cell>
          <cell r="BK24"/>
          <cell r="BL24"/>
          <cell r="BM24"/>
          <cell r="BN24"/>
          <cell r="BO24"/>
          <cell r="BP24"/>
          <cell r="BQ24"/>
          <cell r="BR24" t="str">
            <v/>
          </cell>
        </row>
        <row r="25">
          <cell r="B25">
            <v>39356</v>
          </cell>
          <cell r="C25">
            <v>39356</v>
          </cell>
          <cell r="D25" t="str">
            <v>TOTAL</v>
          </cell>
          <cell r="E25"/>
          <cell r="F25" t="str">
            <v/>
          </cell>
          <cell r="G25" t="str">
            <v/>
          </cell>
          <cell r="H25" t="str">
            <v/>
          </cell>
          <cell r="I25" t="str">
            <v/>
          </cell>
          <cell r="J25" t="str">
            <v/>
          </cell>
          <cell r="K25">
            <v>1</v>
          </cell>
          <cell r="L25">
            <v>7.0000000000000007E-2</v>
          </cell>
          <cell r="M25">
            <v>0.98</v>
          </cell>
          <cell r="N25">
            <v>0.95</v>
          </cell>
          <cell r="O25">
            <v>0.17300831240923709</v>
          </cell>
          <cell r="P25" t="str">
            <v>c</v>
          </cell>
          <cell r="Q25" t="str">
            <v>g</v>
          </cell>
          <cell r="R25" t="str">
            <v>c</v>
          </cell>
          <cell r="S25" t="str">
            <v>g</v>
          </cell>
          <cell r="T25" t="str">
            <v>c</v>
          </cell>
          <cell r="U25">
            <v>0.21</v>
          </cell>
          <cell r="V25">
            <v>0.12</v>
          </cell>
          <cell r="W25">
            <v>0.18</v>
          </cell>
          <cell r="X25">
            <v>0.16</v>
          </cell>
          <cell r="Y25"/>
          <cell r="Z25" t="str">
            <v/>
          </cell>
          <cell r="AA25" t="str">
            <v/>
          </cell>
          <cell r="AB25" t="str">
            <v/>
          </cell>
          <cell r="AC25" t="str">
            <v/>
          </cell>
          <cell r="AD25" t="str">
            <v/>
          </cell>
          <cell r="AE25">
            <v>1</v>
          </cell>
          <cell r="AF25">
            <v>7.0000000000000007E-2</v>
          </cell>
          <cell r="AG25">
            <v>0.98</v>
          </cell>
          <cell r="AH25">
            <v>0.95</v>
          </cell>
          <cell r="AI25">
            <v>0.18870407509071796</v>
          </cell>
          <cell r="AJ25" t="str">
            <v>c</v>
          </cell>
          <cell r="AK25" t="str">
            <v>g</v>
          </cell>
          <cell r="AL25" t="str">
            <v>g</v>
          </cell>
          <cell r="AM25" t="str">
            <v>c</v>
          </cell>
          <cell r="AN25" t="str">
            <v>c</v>
          </cell>
          <cell r="AO25">
            <v>0.21</v>
          </cell>
          <cell r="AP25">
            <v>0.12</v>
          </cell>
          <cell r="AQ25">
            <v>0.18</v>
          </cell>
          <cell r="AR25">
            <v>0.16</v>
          </cell>
          <cell r="AS25"/>
          <cell r="AT25">
            <v>39356</v>
          </cell>
          <cell r="AU25" t="str">
            <v>TOTAL</v>
          </cell>
          <cell r="AV25"/>
          <cell r="AW25"/>
          <cell r="AX25"/>
          <cell r="AY25"/>
          <cell r="AZ25"/>
          <cell r="BA25"/>
          <cell r="BB25" t="e">
            <v>#DIV/0!</v>
          </cell>
          <cell r="BC25"/>
          <cell r="BD25"/>
          <cell r="BE25">
            <v>201081</v>
          </cell>
          <cell r="BF25">
            <v>0</v>
          </cell>
          <cell r="BG25">
            <v>201081</v>
          </cell>
          <cell r="BH25"/>
          <cell r="BI25">
            <v>201081</v>
          </cell>
          <cell r="BJ25">
            <v>-1</v>
          </cell>
          <cell r="BK25"/>
          <cell r="BL25"/>
          <cell r="BM25"/>
          <cell r="BN25"/>
          <cell r="BO25"/>
          <cell r="BP25"/>
          <cell r="BQ25"/>
          <cell r="BR25" t="str">
            <v/>
          </cell>
        </row>
        <row r="26">
          <cell r="B26">
            <v>39387</v>
          </cell>
          <cell r="C26">
            <v>39387</v>
          </cell>
          <cell r="D26" t="str">
            <v>TOTAL</v>
          </cell>
          <cell r="E26"/>
          <cell r="F26" t="str">
            <v/>
          </cell>
          <cell r="G26" t="str">
            <v/>
          </cell>
          <cell r="H26" t="str">
            <v/>
          </cell>
          <cell r="I26" t="str">
            <v/>
          </cell>
          <cell r="J26" t="str">
            <v/>
          </cell>
          <cell r="K26">
            <v>1</v>
          </cell>
          <cell r="L26">
            <v>7.0000000000000007E-2</v>
          </cell>
          <cell r="M26">
            <v>0.98</v>
          </cell>
          <cell r="N26">
            <v>0.95</v>
          </cell>
          <cell r="O26">
            <v>0.21897721041179771</v>
          </cell>
          <cell r="P26" t="str">
            <v>g</v>
          </cell>
          <cell r="Q26" t="str">
            <v>c</v>
          </cell>
          <cell r="R26" t="str">
            <v>c</v>
          </cell>
          <cell r="S26" t="str">
            <v>c</v>
          </cell>
          <cell r="T26" t="str">
            <v>c</v>
          </cell>
          <cell r="U26">
            <v>0.21</v>
          </cell>
          <cell r="V26">
            <v>0.12</v>
          </cell>
          <cell r="W26">
            <v>0.18</v>
          </cell>
          <cell r="X26">
            <v>0.16</v>
          </cell>
          <cell r="Y26"/>
          <cell r="Z26" t="str">
            <v/>
          </cell>
          <cell r="AA26" t="str">
            <v/>
          </cell>
          <cell r="AB26" t="str">
            <v/>
          </cell>
          <cell r="AC26" t="str">
            <v/>
          </cell>
          <cell r="AD26" t="str">
            <v/>
          </cell>
          <cell r="AE26">
            <v>1</v>
          </cell>
          <cell r="AF26">
            <v>7.0000000000000007E-2</v>
          </cell>
          <cell r="AG26">
            <v>0.98</v>
          </cell>
          <cell r="AH26">
            <v>0.95</v>
          </cell>
          <cell r="AI26">
            <v>0.19179871068267243</v>
          </cell>
          <cell r="AJ26" t="str">
            <v>c</v>
          </cell>
          <cell r="AK26" t="str">
            <v>g</v>
          </cell>
          <cell r="AL26" t="str">
            <v>g</v>
          </cell>
          <cell r="AM26" t="str">
            <v>c</v>
          </cell>
          <cell r="AN26" t="str">
            <v>c</v>
          </cell>
          <cell r="AO26">
            <v>0.21</v>
          </cell>
          <cell r="AP26">
            <v>0.12</v>
          </cell>
          <cell r="AQ26">
            <v>0.18</v>
          </cell>
          <cell r="AR26">
            <v>0.16</v>
          </cell>
          <cell r="AS26"/>
          <cell r="AT26">
            <v>39387</v>
          </cell>
          <cell r="AU26" t="str">
            <v>TOTAL</v>
          </cell>
          <cell r="AV26"/>
          <cell r="AW26"/>
          <cell r="AX26"/>
          <cell r="AY26"/>
          <cell r="AZ26"/>
          <cell r="BA26"/>
          <cell r="BB26" t="e">
            <v>#DIV/0!</v>
          </cell>
          <cell r="BC26"/>
          <cell r="BD26"/>
          <cell r="BE26">
            <v>262471.00000000023</v>
          </cell>
          <cell r="BF26">
            <v>0</v>
          </cell>
          <cell r="BG26">
            <v>262471.00000000023</v>
          </cell>
          <cell r="BH26"/>
          <cell r="BI26">
            <v>262471.00000000023</v>
          </cell>
          <cell r="BJ26">
            <v>-1</v>
          </cell>
          <cell r="BK26"/>
          <cell r="BL26"/>
          <cell r="BM26"/>
          <cell r="BN26"/>
          <cell r="BO26"/>
          <cell r="BP26"/>
          <cell r="BQ26"/>
          <cell r="BR26" t="str">
            <v/>
          </cell>
        </row>
        <row r="27">
          <cell r="B27">
            <v>39417</v>
          </cell>
          <cell r="C27">
            <v>39417</v>
          </cell>
          <cell r="D27" t="str">
            <v>TOTAL</v>
          </cell>
          <cell r="E27"/>
          <cell r="F27" t="str">
            <v/>
          </cell>
          <cell r="G27" t="str">
            <v/>
          </cell>
          <cell r="H27" t="str">
            <v/>
          </cell>
          <cell r="I27" t="str">
            <v/>
          </cell>
          <cell r="J27" t="str">
            <v/>
          </cell>
          <cell r="K27">
            <v>1</v>
          </cell>
          <cell r="L27">
            <v>7.0000000000000007E-2</v>
          </cell>
          <cell r="M27">
            <v>0.98</v>
          </cell>
          <cell r="N27">
            <v>0.95</v>
          </cell>
          <cell r="O27">
            <v>0.17530431930830673</v>
          </cell>
          <cell r="P27" t="str">
            <v>c</v>
          </cell>
          <cell r="Q27" t="str">
            <v>g</v>
          </cell>
          <cell r="R27" t="str">
            <v>c</v>
          </cell>
          <cell r="S27" t="str">
            <v>g</v>
          </cell>
          <cell r="T27" t="str">
            <v>c</v>
          </cell>
          <cell r="U27">
            <v>0.21</v>
          </cell>
          <cell r="V27">
            <v>0.12</v>
          </cell>
          <cell r="W27">
            <v>0.18</v>
          </cell>
          <cell r="X27">
            <v>0.16</v>
          </cell>
          <cell r="Y27"/>
          <cell r="Z27" t="str">
            <v/>
          </cell>
          <cell r="AA27" t="str">
            <v/>
          </cell>
          <cell r="AB27" t="str">
            <v/>
          </cell>
          <cell r="AC27" t="str">
            <v/>
          </cell>
          <cell r="AD27" t="str">
            <v/>
          </cell>
          <cell r="AE27">
            <v>1</v>
          </cell>
          <cell r="AF27">
            <v>7.0000000000000007E-2</v>
          </cell>
          <cell r="AG27">
            <v>0.98</v>
          </cell>
          <cell r="AH27">
            <v>0.95</v>
          </cell>
          <cell r="AI27">
            <v>0.19041063711564415</v>
          </cell>
          <cell r="AJ27" t="str">
            <v>c</v>
          </cell>
          <cell r="AK27" t="str">
            <v>g</v>
          </cell>
          <cell r="AL27" t="str">
            <v>g</v>
          </cell>
          <cell r="AM27" t="str">
            <v>c</v>
          </cell>
          <cell r="AN27" t="str">
            <v>c</v>
          </cell>
          <cell r="AO27">
            <v>0.21</v>
          </cell>
          <cell r="AP27">
            <v>0.12</v>
          </cell>
          <cell r="AQ27">
            <v>0.18</v>
          </cell>
          <cell r="AR27">
            <v>0.16</v>
          </cell>
          <cell r="AS27"/>
          <cell r="AT27">
            <v>39417</v>
          </cell>
          <cell r="AU27" t="str">
            <v>TOTAL</v>
          </cell>
          <cell r="AV27"/>
          <cell r="AW27"/>
          <cell r="AX27"/>
          <cell r="AY27"/>
          <cell r="AZ27"/>
          <cell r="BA27"/>
          <cell r="BB27" t="e">
            <v>#DIV/0!</v>
          </cell>
          <cell r="BC27"/>
          <cell r="BD27"/>
          <cell r="BE27">
            <v>188876</v>
          </cell>
          <cell r="BF27">
            <v>0</v>
          </cell>
          <cell r="BG27">
            <v>188876</v>
          </cell>
          <cell r="BH27"/>
          <cell r="BI27">
            <v>188876</v>
          </cell>
          <cell r="BJ27">
            <v>-1</v>
          </cell>
          <cell r="BK27"/>
          <cell r="BL27"/>
          <cell r="BM27"/>
          <cell r="BN27"/>
          <cell r="BO27"/>
          <cell r="BP27"/>
          <cell r="BQ27"/>
          <cell r="BR27" t="str">
            <v/>
          </cell>
        </row>
        <row r="28">
          <cell r="B28">
            <v>39448</v>
          </cell>
          <cell r="C28">
            <v>39448</v>
          </cell>
          <cell r="D28" t="str">
            <v>TOTAL</v>
          </cell>
          <cell r="E28">
            <v>1.2019825701457407</v>
          </cell>
          <cell r="F28" t="str">
            <v>g</v>
          </cell>
          <cell r="G28" t="str">
            <v>c</v>
          </cell>
          <cell r="H28" t="str">
            <v>c</v>
          </cell>
          <cell r="I28" t="str">
            <v>c</v>
          </cell>
          <cell r="J28" t="str">
            <v>c</v>
          </cell>
          <cell r="K28">
            <v>1</v>
          </cell>
          <cell r="L28">
            <v>7.0000000000000007E-2</v>
          </cell>
          <cell r="M28">
            <v>0.98</v>
          </cell>
          <cell r="N28">
            <v>0.95</v>
          </cell>
          <cell r="O28">
            <v>0.21039451859959793</v>
          </cell>
          <cell r="P28" t="str">
            <v>g</v>
          </cell>
          <cell r="Q28" t="str">
            <v>c</v>
          </cell>
          <cell r="R28" t="str">
            <v>c</v>
          </cell>
          <cell r="S28" t="str">
            <v>c</v>
          </cell>
          <cell r="T28" t="str">
            <v>c</v>
          </cell>
          <cell r="U28">
            <v>0.21</v>
          </cell>
          <cell r="V28">
            <v>0.12</v>
          </cell>
          <cell r="W28">
            <v>0.18</v>
          </cell>
          <cell r="X28">
            <v>0.16</v>
          </cell>
          <cell r="Y28">
            <v>1.2019825701457407</v>
          </cell>
          <cell r="Z28" t="str">
            <v>g</v>
          </cell>
          <cell r="AA28" t="str">
            <v>c</v>
          </cell>
          <cell r="AB28" t="str">
            <v>c</v>
          </cell>
          <cell r="AC28" t="str">
            <v>c</v>
          </cell>
          <cell r="AD28" t="str">
            <v>c</v>
          </cell>
          <cell r="AE28">
            <v>1</v>
          </cell>
          <cell r="AF28">
            <v>7.0000000000000007E-2</v>
          </cell>
          <cell r="AG28">
            <v>0.98</v>
          </cell>
          <cell r="AH28">
            <v>0.95</v>
          </cell>
          <cell r="AI28">
            <v>0.21039451859959793</v>
          </cell>
          <cell r="AJ28" t="str">
            <v>g</v>
          </cell>
          <cell r="AK28" t="str">
            <v>c</v>
          </cell>
          <cell r="AL28" t="str">
            <v>c</v>
          </cell>
          <cell r="AM28" t="str">
            <v>c</v>
          </cell>
          <cell r="AN28" t="str">
            <v>c</v>
          </cell>
          <cell r="AO28">
            <v>0.21</v>
          </cell>
          <cell r="AP28">
            <v>0.12</v>
          </cell>
          <cell r="AQ28">
            <v>0.18</v>
          </cell>
          <cell r="AR28">
            <v>0.16</v>
          </cell>
          <cell r="AS28"/>
          <cell r="AT28">
            <v>39448</v>
          </cell>
          <cell r="AU28" t="str">
            <v>TOTAL</v>
          </cell>
          <cell r="AV28"/>
          <cell r="AW28">
            <v>1.2019825701457407</v>
          </cell>
          <cell r="AX28">
            <v>0</v>
          </cell>
          <cell r="AY28">
            <v>1.2019825701457407</v>
          </cell>
          <cell r="AZ28"/>
          <cell r="BA28">
            <v>1.2019825701457407</v>
          </cell>
          <cell r="BB28" t="e">
            <v>#DIV/0!</v>
          </cell>
          <cell r="BC28"/>
          <cell r="BD28">
            <v>161000.70000000001</v>
          </cell>
          <cell r="BE28">
            <v>253729</v>
          </cell>
          <cell r="BF28">
            <v>0</v>
          </cell>
          <cell r="BG28">
            <v>92728.299999999988</v>
          </cell>
          <cell r="BH28">
            <v>0.57594966978404427</v>
          </cell>
          <cell r="BI28">
            <v>253729</v>
          </cell>
          <cell r="BJ28">
            <v>-1</v>
          </cell>
          <cell r="BK28"/>
          <cell r="BL28"/>
          <cell r="BM28">
            <v>1.2019825701457407</v>
          </cell>
          <cell r="BN28">
            <v>0</v>
          </cell>
          <cell r="BO28">
            <v>1.2019825701457407</v>
          </cell>
          <cell r="BP28"/>
          <cell r="BQ28">
            <v>1.2019825701457407</v>
          </cell>
          <cell r="BR28" t="str">
            <v/>
          </cell>
        </row>
        <row r="29">
          <cell r="B29">
            <v>39479</v>
          </cell>
          <cell r="C29">
            <v>39479</v>
          </cell>
          <cell r="D29" t="str">
            <v>TOTAL</v>
          </cell>
          <cell r="E29">
            <v>1.0011035019960404</v>
          </cell>
          <cell r="F29" t="str">
            <v>g</v>
          </cell>
          <cell r="G29" t="str">
            <v>c</v>
          </cell>
          <cell r="H29" t="str">
            <v>c</v>
          </cell>
          <cell r="I29" t="str">
            <v>c</v>
          </cell>
          <cell r="J29" t="str">
            <v>c</v>
          </cell>
          <cell r="K29">
            <v>1</v>
          </cell>
          <cell r="L29">
            <v>7.0000000000000007E-2</v>
          </cell>
          <cell r="M29">
            <v>0.98</v>
          </cell>
          <cell r="N29">
            <v>0.95</v>
          </cell>
          <cell r="O29">
            <v>0.13056385565427558</v>
          </cell>
          <cell r="P29" t="str">
            <v>c</v>
          </cell>
          <cell r="Q29" t="str">
            <v>g</v>
          </cell>
          <cell r="R29" t="str">
            <v>c</v>
          </cell>
          <cell r="S29" t="str">
            <v>c</v>
          </cell>
          <cell r="T29" t="str">
            <v>g</v>
          </cell>
          <cell r="U29">
            <v>0.21</v>
          </cell>
          <cell r="V29">
            <v>0.12</v>
          </cell>
          <cell r="W29">
            <v>0.18</v>
          </cell>
          <cell r="X29">
            <v>0.16</v>
          </cell>
          <cell r="Y29">
            <v>1.0973010722680629</v>
          </cell>
          <cell r="Z29" t="str">
            <v>g</v>
          </cell>
          <cell r="AA29" t="str">
            <v>c</v>
          </cell>
          <cell r="AB29" t="str">
            <v>c</v>
          </cell>
          <cell r="AC29" t="str">
            <v>c</v>
          </cell>
          <cell r="AD29" t="str">
            <v>c</v>
          </cell>
          <cell r="AE29">
            <v>1</v>
          </cell>
          <cell r="AF29">
            <v>7.0000000000000007E-2</v>
          </cell>
          <cell r="AG29">
            <v>0.98</v>
          </cell>
          <cell r="AH29">
            <v>0.95</v>
          </cell>
          <cell r="AI29">
            <v>0.1697886122711868</v>
          </cell>
          <cell r="AJ29" t="str">
            <v>c</v>
          </cell>
          <cell r="AK29" t="str">
            <v>g</v>
          </cell>
          <cell r="AL29" t="str">
            <v>c</v>
          </cell>
          <cell r="AM29" t="str">
            <v>g</v>
          </cell>
          <cell r="AN29" t="str">
            <v>c</v>
          </cell>
          <cell r="AO29">
            <v>0.21</v>
          </cell>
          <cell r="AP29">
            <v>0.12</v>
          </cell>
          <cell r="AQ29">
            <v>0.18</v>
          </cell>
          <cell r="AR29">
            <v>0.16</v>
          </cell>
          <cell r="AS29"/>
          <cell r="AT29">
            <v>39479</v>
          </cell>
          <cell r="AU29" t="str">
            <v>TOTAL</v>
          </cell>
          <cell r="AV29"/>
          <cell r="AW29">
            <v>1.0011035019960404</v>
          </cell>
          <cell r="AX29">
            <v>0</v>
          </cell>
          <cell r="AY29">
            <v>1.0011035019960404</v>
          </cell>
          <cell r="AZ29"/>
          <cell r="BA29">
            <v>1.0011035019960404</v>
          </cell>
          <cell r="BB29" t="e">
            <v>#DIV/0!</v>
          </cell>
          <cell r="BC29"/>
          <cell r="BD29">
            <v>180615</v>
          </cell>
          <cell r="BE29">
            <v>163000</v>
          </cell>
          <cell r="BF29">
            <v>0</v>
          </cell>
          <cell r="BG29">
            <v>-17615</v>
          </cell>
          <cell r="BH29">
            <v>-9.7527890817484697E-2</v>
          </cell>
          <cell r="BI29">
            <v>163000</v>
          </cell>
          <cell r="BJ29">
            <v>-1</v>
          </cell>
          <cell r="BK29"/>
          <cell r="BL29"/>
          <cell r="BM29">
            <v>1.0973010722680629</v>
          </cell>
          <cell r="BN29">
            <v>0</v>
          </cell>
          <cell r="BO29">
            <v>1.0973010722680629</v>
          </cell>
          <cell r="BP29"/>
          <cell r="BQ29">
            <v>1.0973010722680629</v>
          </cell>
          <cell r="BR29" t="str">
            <v/>
          </cell>
        </row>
        <row r="30">
          <cell r="B30">
            <v>39508</v>
          </cell>
          <cell r="C30">
            <v>39508</v>
          </cell>
          <cell r="D30" t="str">
            <v>TOTAL</v>
          </cell>
          <cell r="E30">
            <v>0.9984827849101473</v>
          </cell>
          <cell r="F30" t="str">
            <v>c</v>
          </cell>
          <cell r="G30" t="str">
            <v>g</v>
          </cell>
          <cell r="H30" t="str">
            <v>g</v>
          </cell>
          <cell r="I30" t="str">
            <v>c</v>
          </cell>
          <cell r="J30" t="str">
            <v>c</v>
          </cell>
          <cell r="K30">
            <v>1</v>
          </cell>
          <cell r="L30">
            <v>7.0000000000000007E-2</v>
          </cell>
          <cell r="M30">
            <v>0.98</v>
          </cell>
          <cell r="N30">
            <v>0.95</v>
          </cell>
          <cell r="O30">
            <v>0.22199310714686599</v>
          </cell>
          <cell r="P30" t="str">
            <v>g</v>
          </cell>
          <cell r="Q30" t="str">
            <v>c</v>
          </cell>
          <cell r="R30" t="str">
            <v>c</v>
          </cell>
          <cell r="S30" t="str">
            <v>c</v>
          </cell>
          <cell r="T30" t="str">
            <v>c</v>
          </cell>
          <cell r="U30">
            <v>0.21</v>
          </cell>
          <cell r="V30">
            <v>0.12</v>
          </cell>
          <cell r="W30">
            <v>0.18</v>
          </cell>
          <cell r="X30">
            <v>0.16</v>
          </cell>
          <cell r="Y30">
            <v>1.0643625550574793</v>
          </cell>
          <cell r="Z30" t="str">
            <v>g</v>
          </cell>
          <cell r="AA30" t="str">
            <v>c</v>
          </cell>
          <cell r="AB30" t="str">
            <v>c</v>
          </cell>
          <cell r="AC30" t="str">
            <v>c</v>
          </cell>
          <cell r="AD30" t="str">
            <v>c</v>
          </cell>
          <cell r="AE30">
            <v>1</v>
          </cell>
          <cell r="AF30">
            <v>7.0000000000000007E-2</v>
          </cell>
          <cell r="AG30">
            <v>0.98</v>
          </cell>
          <cell r="AH30">
            <v>0.95</v>
          </cell>
          <cell r="AI30">
            <v>0.18695691174111384</v>
          </cell>
          <cell r="AJ30" t="str">
            <v>c</v>
          </cell>
          <cell r="AK30" t="str">
            <v>g</v>
          </cell>
          <cell r="AL30" t="str">
            <v>g</v>
          </cell>
          <cell r="AM30" t="str">
            <v>c</v>
          </cell>
          <cell r="AN30" t="str">
            <v>c</v>
          </cell>
          <cell r="AO30">
            <v>0.21</v>
          </cell>
          <cell r="AP30">
            <v>0.12</v>
          </cell>
          <cell r="AQ30">
            <v>0.18</v>
          </cell>
          <cell r="AR30">
            <v>0.16</v>
          </cell>
          <cell r="AS30"/>
          <cell r="AT30">
            <v>39508</v>
          </cell>
          <cell r="AU30" t="str">
            <v>TOTAL</v>
          </cell>
          <cell r="AV30"/>
          <cell r="AW30">
            <v>0.9984827849101473</v>
          </cell>
          <cell r="AX30">
            <v>0</v>
          </cell>
          <cell r="AY30">
            <v>0.9984827849101473</v>
          </cell>
          <cell r="AZ30"/>
          <cell r="BA30">
            <v>0.9984827849101473</v>
          </cell>
          <cell r="BB30" t="e">
            <v>#DIV/0!</v>
          </cell>
          <cell r="BC30"/>
          <cell r="BD30">
            <v>221752.49999999994</v>
          </cell>
          <cell r="BE30">
            <v>266990</v>
          </cell>
          <cell r="BF30">
            <v>0</v>
          </cell>
          <cell r="BG30">
            <v>45237.500000000058</v>
          </cell>
          <cell r="BH30">
            <v>0.20399995490468004</v>
          </cell>
          <cell r="BI30">
            <v>266990</v>
          </cell>
          <cell r="BJ30">
            <v>-1</v>
          </cell>
          <cell r="BK30"/>
          <cell r="BL30"/>
          <cell r="BM30">
            <v>1.0643625550574793</v>
          </cell>
          <cell r="BN30">
            <v>0</v>
          </cell>
          <cell r="BO30">
            <v>1.0643625550574793</v>
          </cell>
          <cell r="BP30"/>
          <cell r="BQ30">
            <v>1.0643625550574793</v>
          </cell>
          <cell r="BR30" t="str">
            <v/>
          </cell>
        </row>
        <row r="31">
          <cell r="B31">
            <v>39539</v>
          </cell>
          <cell r="C31">
            <v>39539</v>
          </cell>
          <cell r="D31" t="str">
            <v>TOTAL</v>
          </cell>
          <cell r="E31">
            <v>1.1851730670701919</v>
          </cell>
          <cell r="F31" t="str">
            <v>g</v>
          </cell>
          <cell r="G31" t="str">
            <v>c</v>
          </cell>
          <cell r="H31" t="str">
            <v>c</v>
          </cell>
          <cell r="I31" t="str">
            <v>c</v>
          </cell>
          <cell r="J31" t="str">
            <v>c</v>
          </cell>
          <cell r="K31">
            <v>1</v>
          </cell>
          <cell r="L31">
            <v>7.0000000000000007E-2</v>
          </cell>
          <cell r="M31">
            <v>0.98</v>
          </cell>
          <cell r="N31">
            <v>0.95</v>
          </cell>
          <cell r="O31">
            <v>0.20889182486819119</v>
          </cell>
          <cell r="P31" t="str">
            <v>c</v>
          </cell>
          <cell r="Q31" t="str">
            <v>g</v>
          </cell>
          <cell r="R31" t="str">
            <v>g</v>
          </cell>
          <cell r="S31" t="str">
            <v>c</v>
          </cell>
          <cell r="T31" t="str">
            <v>c</v>
          </cell>
          <cell r="U31">
            <v>0.21</v>
          </cell>
          <cell r="V31">
            <v>0.12</v>
          </cell>
          <cell r="W31">
            <v>0.18</v>
          </cell>
          <cell r="X31">
            <v>0.16</v>
          </cell>
          <cell r="Y31">
            <v>1.0958895403280562</v>
          </cell>
          <cell r="Z31" t="str">
            <v>g</v>
          </cell>
          <cell r="AA31" t="str">
            <v>c</v>
          </cell>
          <cell r="AB31" t="str">
            <v>c</v>
          </cell>
          <cell r="AC31" t="str">
            <v>c</v>
          </cell>
          <cell r="AD31" t="str">
            <v>c</v>
          </cell>
          <cell r="AE31">
            <v>1</v>
          </cell>
          <cell r="AF31">
            <v>7.0000000000000007E-2</v>
          </cell>
          <cell r="AG31">
            <v>0.98</v>
          </cell>
          <cell r="AH31">
            <v>0.95</v>
          </cell>
          <cell r="AI31">
            <v>0.19274911460900707</v>
          </cell>
          <cell r="AJ31" t="str">
            <v>c</v>
          </cell>
          <cell r="AK31" t="str">
            <v>g</v>
          </cell>
          <cell r="AL31" t="str">
            <v>g</v>
          </cell>
          <cell r="AM31" t="str">
            <v>c</v>
          </cell>
          <cell r="AN31" t="str">
            <v>c</v>
          </cell>
          <cell r="AO31">
            <v>0.21</v>
          </cell>
          <cell r="AP31">
            <v>0.12</v>
          </cell>
          <cell r="AQ31">
            <v>0.18</v>
          </cell>
          <cell r="AR31">
            <v>0.16</v>
          </cell>
          <cell r="AS31"/>
          <cell r="AT31">
            <v>39539</v>
          </cell>
          <cell r="AU31" t="str">
            <v>TOTAL</v>
          </cell>
          <cell r="AV31"/>
          <cell r="AW31">
            <v>1.1851730670701919</v>
          </cell>
          <cell r="AX31">
            <v>0</v>
          </cell>
          <cell r="AY31">
            <v>1.1851730670701919</v>
          </cell>
          <cell r="AZ31"/>
          <cell r="BA31">
            <v>1.1851730670701919</v>
          </cell>
          <cell r="BB31" t="e">
            <v>#DIV/0!</v>
          </cell>
          <cell r="BC31"/>
          <cell r="BD31">
            <v>204962</v>
          </cell>
          <cell r="BE31">
            <v>274110</v>
          </cell>
          <cell r="BF31">
            <v>0</v>
          </cell>
          <cell r="BG31">
            <v>69148</v>
          </cell>
          <cell r="BH31">
            <v>0.33736985392414209</v>
          </cell>
          <cell r="BI31">
            <v>274110</v>
          </cell>
          <cell r="BJ31">
            <v>-1</v>
          </cell>
          <cell r="BK31"/>
          <cell r="BL31"/>
          <cell r="BM31">
            <v>1.0958895403280562</v>
          </cell>
          <cell r="BN31">
            <v>0</v>
          </cell>
          <cell r="BO31">
            <v>1.0958895403280562</v>
          </cell>
          <cell r="BP31"/>
          <cell r="BQ31">
            <v>1.0958895403280562</v>
          </cell>
          <cell r="BR31" t="str">
            <v/>
          </cell>
        </row>
        <row r="32">
          <cell r="B32">
            <v>39569</v>
          </cell>
          <cell r="C32">
            <v>39569</v>
          </cell>
          <cell r="D32" t="str">
            <v>TOTAL</v>
          </cell>
          <cell r="E32">
            <v>0.94433094608495738</v>
          </cell>
          <cell r="F32" t="str">
            <v>c</v>
          </cell>
          <cell r="G32" t="str">
            <v>g</v>
          </cell>
          <cell r="H32" t="str">
            <v>c</v>
          </cell>
          <cell r="I32" t="str">
            <v>c</v>
          </cell>
          <cell r="J32" t="str">
            <v>g</v>
          </cell>
          <cell r="K32">
            <v>1</v>
          </cell>
          <cell r="L32">
            <v>7.0000000000000007E-2</v>
          </cell>
          <cell r="M32">
            <v>0.98</v>
          </cell>
          <cell r="N32">
            <v>0.95</v>
          </cell>
          <cell r="O32" t="e">
            <v>#DIV/0!</v>
          </cell>
          <cell r="P32" t="e">
            <v>#DIV/0!</v>
          </cell>
          <cell r="Q32" t="e">
            <v>#DIV/0!</v>
          </cell>
          <cell r="R32" t="e">
            <v>#DIV/0!</v>
          </cell>
          <cell r="S32" t="e">
            <v>#DIV/0!</v>
          </cell>
          <cell r="T32" t="e">
            <v>#DIV/0!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1.065112780859361</v>
          </cell>
          <cell r="Z32" t="str">
            <v>g</v>
          </cell>
          <cell r="AA32" t="str">
            <v>c</v>
          </cell>
          <cell r="AB32" t="str">
            <v>c</v>
          </cell>
          <cell r="AC32" t="str">
            <v>c</v>
          </cell>
          <cell r="AD32" t="str">
            <v>c</v>
          </cell>
          <cell r="AE32">
            <v>1</v>
          </cell>
          <cell r="AF32">
            <v>7.0000000000000007E-2</v>
          </cell>
          <cell r="AG32">
            <v>0.98</v>
          </cell>
          <cell r="AH32">
            <v>0.95</v>
          </cell>
          <cell r="AI32">
            <v>0.19274911460900707</v>
          </cell>
          <cell r="AJ32" t="str">
            <v>g</v>
          </cell>
          <cell r="AK32" t="str">
            <v>c</v>
          </cell>
          <cell r="AL32" t="str">
            <v>c</v>
          </cell>
          <cell r="AM32" t="str">
            <v>c</v>
          </cell>
          <cell r="AN32" t="str">
            <v>c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/>
          <cell r="AT32">
            <v>39569</v>
          </cell>
          <cell r="AU32" t="str">
            <v>TOTAL</v>
          </cell>
          <cell r="AV32"/>
          <cell r="AW32">
            <v>0.94433094608495738</v>
          </cell>
          <cell r="AX32">
            <v>0</v>
          </cell>
          <cell r="AY32">
            <v>0.94433094608495738</v>
          </cell>
          <cell r="AZ32"/>
          <cell r="BA32">
            <v>0.94433094608495738</v>
          </cell>
          <cell r="BB32" t="e">
            <v>#DIV/0!</v>
          </cell>
          <cell r="BC32"/>
          <cell r="BD32">
            <v>263194</v>
          </cell>
          <cell r="BE32">
            <v>0</v>
          </cell>
          <cell r="BF32">
            <v>0</v>
          </cell>
          <cell r="BG32">
            <v>-263194</v>
          </cell>
          <cell r="BH32">
            <v>-1</v>
          </cell>
          <cell r="BI32">
            <v>0</v>
          </cell>
          <cell r="BJ32" t="e">
            <v>#DIV/0!</v>
          </cell>
          <cell r="BK32"/>
          <cell r="BL32"/>
          <cell r="BM32">
            <v>1.065112780859361</v>
          </cell>
          <cell r="BN32">
            <v>0</v>
          </cell>
          <cell r="BO32">
            <v>1.065112780859361</v>
          </cell>
          <cell r="BP32"/>
          <cell r="BQ32">
            <v>1.065112780859361</v>
          </cell>
          <cell r="BR32" t="str">
            <v/>
          </cell>
        </row>
        <row r="33">
          <cell r="B33">
            <v>39600</v>
          </cell>
          <cell r="C33">
            <v>39600</v>
          </cell>
          <cell r="D33" t="str">
            <v>TOTAL</v>
          </cell>
          <cell r="E33">
            <v>0.88281343139836121</v>
          </cell>
          <cell r="F33" t="str">
            <v>c</v>
          </cell>
          <cell r="G33" t="str">
            <v>g</v>
          </cell>
          <cell r="H33" t="str">
            <v>c</v>
          </cell>
          <cell r="I33" t="str">
            <v>c</v>
          </cell>
          <cell r="J33" t="str">
            <v>g</v>
          </cell>
          <cell r="K33">
            <v>1</v>
          </cell>
          <cell r="L33">
            <v>7.0000000000000007E-2</v>
          </cell>
          <cell r="M33">
            <v>0.98</v>
          </cell>
          <cell r="N33">
            <v>0.95</v>
          </cell>
          <cell r="O33" t="e">
            <v>#DIV/0!</v>
          </cell>
          <cell r="P33" t="e">
            <v>#DIV/0!</v>
          </cell>
          <cell r="Q33" t="e">
            <v>#DIV/0!</v>
          </cell>
          <cell r="R33" t="e">
            <v>#DIV/0!</v>
          </cell>
          <cell r="S33" t="e">
            <v>#DIV/0!</v>
          </cell>
          <cell r="T33" t="e">
            <v>#DIV/0!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1.0325567917857876</v>
          </cell>
          <cell r="Z33" t="str">
            <v>g</v>
          </cell>
          <cell r="AA33" t="str">
            <v>c</v>
          </cell>
          <cell r="AB33" t="str">
            <v>c</v>
          </cell>
          <cell r="AC33" t="str">
            <v>c</v>
          </cell>
          <cell r="AD33" t="str">
            <v>c</v>
          </cell>
          <cell r="AE33">
            <v>1</v>
          </cell>
          <cell r="AF33">
            <v>7.0000000000000007E-2</v>
          </cell>
          <cell r="AG33">
            <v>0.98</v>
          </cell>
          <cell r="AH33">
            <v>0.95</v>
          </cell>
          <cell r="AI33">
            <v>0.19274911460900707</v>
          </cell>
          <cell r="AJ33" t="str">
            <v>g</v>
          </cell>
          <cell r="AK33" t="str">
            <v>c</v>
          </cell>
          <cell r="AL33" t="str">
            <v>c</v>
          </cell>
          <cell r="AM33" t="str">
            <v>c</v>
          </cell>
          <cell r="AN33" t="str">
            <v>c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/>
          <cell r="AT33">
            <v>39600</v>
          </cell>
          <cell r="AU33" t="str">
            <v>TOTAL</v>
          </cell>
          <cell r="AV33"/>
          <cell r="AW33">
            <v>0.88281343139836121</v>
          </cell>
          <cell r="AX33">
            <v>0</v>
          </cell>
          <cell r="AY33">
            <v>0.88281343139836121</v>
          </cell>
          <cell r="AZ33"/>
          <cell r="BA33">
            <v>0.88281343139836121</v>
          </cell>
          <cell r="BB33" t="e">
            <v>#DIV/0!</v>
          </cell>
          <cell r="BC33"/>
          <cell r="BD33">
            <v>110022</v>
          </cell>
          <cell r="BE33">
            <v>0</v>
          </cell>
          <cell r="BF33">
            <v>0</v>
          </cell>
          <cell r="BG33">
            <v>-110022</v>
          </cell>
          <cell r="BH33">
            <v>-1</v>
          </cell>
          <cell r="BI33">
            <v>0</v>
          </cell>
          <cell r="BJ33" t="e">
            <v>#DIV/0!</v>
          </cell>
          <cell r="BK33"/>
          <cell r="BL33"/>
          <cell r="BM33">
            <v>1.0325567917857876</v>
          </cell>
          <cell r="BN33">
            <v>0</v>
          </cell>
          <cell r="BO33">
            <v>1.0325567917857876</v>
          </cell>
          <cell r="BP33"/>
          <cell r="BQ33">
            <v>1.0325567917857876</v>
          </cell>
          <cell r="BR33" t="str">
            <v/>
          </cell>
        </row>
        <row r="34">
          <cell r="B34">
            <v>39630</v>
          </cell>
          <cell r="C34">
            <v>39630</v>
          </cell>
          <cell r="D34" t="str">
            <v>TOTAL</v>
          </cell>
          <cell r="E34">
            <v>0.99433076755439698</v>
          </cell>
          <cell r="F34" t="str">
            <v>c</v>
          </cell>
          <cell r="G34" t="str">
            <v>g</v>
          </cell>
          <cell r="H34" t="str">
            <v>g</v>
          </cell>
          <cell r="I34" t="str">
            <v>c</v>
          </cell>
          <cell r="J34" t="str">
            <v>c</v>
          </cell>
          <cell r="K34">
            <v>1</v>
          </cell>
          <cell r="L34">
            <v>7.0000000000000007E-2</v>
          </cell>
          <cell r="M34">
            <v>0.98</v>
          </cell>
          <cell r="N34">
            <v>0.95</v>
          </cell>
          <cell r="O34" t="e">
            <v>#DIV/0!</v>
          </cell>
          <cell r="P34" t="e">
            <v>#DIV/0!</v>
          </cell>
          <cell r="Q34" t="e">
            <v>#DIV/0!</v>
          </cell>
          <cell r="R34" t="e">
            <v>#DIV/0!</v>
          </cell>
          <cell r="S34" t="e">
            <v>#DIV/0!</v>
          </cell>
          <cell r="T34" t="e">
            <v>#DIV/0!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1.0266112359881201</v>
          </cell>
          <cell r="Z34" t="str">
            <v>g</v>
          </cell>
          <cell r="AA34" t="str">
            <v>c</v>
          </cell>
          <cell r="AB34" t="str">
            <v>c</v>
          </cell>
          <cell r="AC34" t="str">
            <v>c</v>
          </cell>
          <cell r="AD34" t="str">
            <v>c</v>
          </cell>
          <cell r="AE34">
            <v>1</v>
          </cell>
          <cell r="AF34">
            <v>7.0000000000000007E-2</v>
          </cell>
          <cell r="AG34">
            <v>0.98</v>
          </cell>
          <cell r="AH34">
            <v>0.95</v>
          </cell>
          <cell r="AI34">
            <v>0.19274911460900707</v>
          </cell>
          <cell r="AJ34" t="str">
            <v>g</v>
          </cell>
          <cell r="AK34" t="str">
            <v>c</v>
          </cell>
          <cell r="AL34" t="str">
            <v>c</v>
          </cell>
          <cell r="AM34" t="str">
            <v>c</v>
          </cell>
          <cell r="AN34" t="str">
            <v>c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/>
          <cell r="AT34">
            <v>39630</v>
          </cell>
          <cell r="AU34" t="str">
            <v>TOTAL</v>
          </cell>
          <cell r="AV34"/>
          <cell r="AW34">
            <v>0.99433076755439698</v>
          </cell>
          <cell r="AX34">
            <v>0</v>
          </cell>
          <cell r="AY34">
            <v>0.99433076755439698</v>
          </cell>
          <cell r="AZ34"/>
          <cell r="BA34">
            <v>0.99433076755439698</v>
          </cell>
          <cell r="BB34" t="e">
            <v>#DIV/0!</v>
          </cell>
          <cell r="BC34"/>
          <cell r="BD34">
            <v>197215</v>
          </cell>
          <cell r="BE34">
            <v>0</v>
          </cell>
          <cell r="BF34">
            <v>0</v>
          </cell>
          <cell r="BG34">
            <v>-197215</v>
          </cell>
          <cell r="BH34">
            <v>-1</v>
          </cell>
          <cell r="BI34">
            <v>0</v>
          </cell>
          <cell r="BJ34" t="e">
            <v>#DIV/0!</v>
          </cell>
          <cell r="BK34"/>
          <cell r="BL34"/>
          <cell r="BM34">
            <v>1.0266112359881201</v>
          </cell>
          <cell r="BN34">
            <v>0</v>
          </cell>
          <cell r="BO34">
            <v>1.0266112359881201</v>
          </cell>
          <cell r="BP34"/>
          <cell r="BQ34">
            <v>1.0266112359881201</v>
          </cell>
          <cell r="BR34" t="str">
            <v/>
          </cell>
        </row>
        <row r="35">
          <cell r="B35">
            <v>39661</v>
          </cell>
          <cell r="C35">
            <v>39661</v>
          </cell>
          <cell r="D35" t="str">
            <v>TOTAL</v>
          </cell>
          <cell r="E35">
            <v>1.0443627673922149</v>
          </cell>
          <cell r="F35" t="str">
            <v>g</v>
          </cell>
          <cell r="G35" t="str">
            <v>c</v>
          </cell>
          <cell r="H35" t="str">
            <v>c</v>
          </cell>
          <cell r="I35" t="str">
            <v>c</v>
          </cell>
          <cell r="J35" t="str">
            <v>c</v>
          </cell>
          <cell r="K35">
            <v>1</v>
          </cell>
          <cell r="L35">
            <v>7.0000000000000007E-2</v>
          </cell>
          <cell r="M35">
            <v>0.98</v>
          </cell>
          <cell r="N35">
            <v>0.95</v>
          </cell>
          <cell r="O35" t="e">
            <v>#DIV/0!</v>
          </cell>
          <cell r="P35" t="e">
            <v>#DIV/0!</v>
          </cell>
          <cell r="Q35" t="e">
            <v>#DIV/0!</v>
          </cell>
          <cell r="R35" t="e">
            <v>#DIV/0!</v>
          </cell>
          <cell r="S35" t="e">
            <v>#DIV/0!</v>
          </cell>
          <cell r="T35" t="e">
            <v>#DIV/0!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1.0289676738658644</v>
          </cell>
          <cell r="Z35" t="str">
            <v>g</v>
          </cell>
          <cell r="AA35" t="str">
            <v>c</v>
          </cell>
          <cell r="AB35" t="str">
            <v>c</v>
          </cell>
          <cell r="AC35" t="str">
            <v>c</v>
          </cell>
          <cell r="AD35" t="str">
            <v>c</v>
          </cell>
          <cell r="AE35">
            <v>1</v>
          </cell>
          <cell r="AF35">
            <v>7.0000000000000007E-2</v>
          </cell>
          <cell r="AG35">
            <v>0.98</v>
          </cell>
          <cell r="AH35">
            <v>0.95</v>
          </cell>
          <cell r="AI35">
            <v>0.19274911460900707</v>
          </cell>
          <cell r="AJ35" t="str">
            <v>g</v>
          </cell>
          <cell r="AK35" t="str">
            <v>c</v>
          </cell>
          <cell r="AL35" t="str">
            <v>c</v>
          </cell>
          <cell r="AM35" t="str">
            <v>c</v>
          </cell>
          <cell r="AN35" t="str">
            <v>c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/>
          <cell r="AT35">
            <v>39661</v>
          </cell>
          <cell r="AU35" t="str">
            <v>TOTAL</v>
          </cell>
          <cell r="AV35"/>
          <cell r="AW35">
            <v>1.0443627673922149</v>
          </cell>
          <cell r="AX35">
            <v>0</v>
          </cell>
          <cell r="AY35">
            <v>1.0443627673922149</v>
          </cell>
          <cell r="AZ35"/>
          <cell r="BA35">
            <v>1.0443627673922149</v>
          </cell>
          <cell r="BB35" t="e">
            <v>#DIV/0!</v>
          </cell>
          <cell r="BC35"/>
          <cell r="BD35">
            <v>196736</v>
          </cell>
          <cell r="BE35">
            <v>0</v>
          </cell>
          <cell r="BF35">
            <v>0</v>
          </cell>
          <cell r="BG35">
            <v>-196736</v>
          </cell>
          <cell r="BH35">
            <v>-1</v>
          </cell>
          <cell r="BI35">
            <v>0</v>
          </cell>
          <cell r="BJ35" t="e">
            <v>#DIV/0!</v>
          </cell>
          <cell r="BK35"/>
          <cell r="BL35"/>
          <cell r="BM35">
            <v>1.0289676738658644</v>
          </cell>
          <cell r="BN35">
            <v>0</v>
          </cell>
          <cell r="BO35">
            <v>1.0289676738658644</v>
          </cell>
          <cell r="BP35"/>
          <cell r="BQ35">
            <v>1.0289676738658644</v>
          </cell>
          <cell r="BR35" t="str">
            <v/>
          </cell>
        </row>
        <row r="36">
          <cell r="B36">
            <v>39692</v>
          </cell>
          <cell r="C36">
            <v>39692</v>
          </cell>
          <cell r="D36" t="str">
            <v>TOTAL</v>
          </cell>
          <cell r="E36">
            <v>0.96529450822628782</v>
          </cell>
          <cell r="F36" t="str">
            <v>c</v>
          </cell>
          <cell r="G36" t="str">
            <v>g</v>
          </cell>
          <cell r="H36" t="str">
            <v>c</v>
          </cell>
          <cell r="I36" t="str">
            <v>g</v>
          </cell>
          <cell r="J36" t="str">
            <v>c</v>
          </cell>
          <cell r="K36">
            <v>1</v>
          </cell>
          <cell r="L36">
            <v>7.0000000000000007E-2</v>
          </cell>
          <cell r="M36">
            <v>0.98</v>
          </cell>
          <cell r="N36">
            <v>0.95</v>
          </cell>
          <cell r="O36" t="e">
            <v>#DIV/0!</v>
          </cell>
          <cell r="P36" t="e">
            <v>#DIV/0!</v>
          </cell>
          <cell r="Q36" t="e">
            <v>#DIV/0!</v>
          </cell>
          <cell r="R36" t="e">
            <v>#DIV/0!</v>
          </cell>
          <cell r="S36" t="e">
            <v>#DIV/0!</v>
          </cell>
          <cell r="T36" t="e">
            <v>#DIV/0!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1.0216541790930829</v>
          </cell>
          <cell r="Z36" t="str">
            <v>g</v>
          </cell>
          <cell r="AA36" t="str">
            <v>c</v>
          </cell>
          <cell r="AB36" t="str">
            <v>c</v>
          </cell>
          <cell r="AC36" t="str">
            <v>c</v>
          </cell>
          <cell r="AD36" t="str">
            <v>c</v>
          </cell>
          <cell r="AE36">
            <v>1</v>
          </cell>
          <cell r="AF36">
            <v>7.0000000000000007E-2</v>
          </cell>
          <cell r="AG36">
            <v>0.98</v>
          </cell>
          <cell r="AH36">
            <v>0.95</v>
          </cell>
          <cell r="AI36">
            <v>0.19274911460900707</v>
          </cell>
          <cell r="AJ36" t="str">
            <v>g</v>
          </cell>
          <cell r="AK36" t="str">
            <v>c</v>
          </cell>
          <cell r="AL36" t="str">
            <v>c</v>
          </cell>
          <cell r="AM36" t="str">
            <v>c</v>
          </cell>
          <cell r="AN36" t="str">
            <v>c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/>
          <cell r="AT36">
            <v>39692</v>
          </cell>
          <cell r="AU36" t="str">
            <v>TOTAL</v>
          </cell>
          <cell r="AV36"/>
          <cell r="AW36">
            <v>0.96529450822628782</v>
          </cell>
          <cell r="AX36">
            <v>0</v>
          </cell>
          <cell r="AY36">
            <v>0.96529450822628782</v>
          </cell>
          <cell r="AZ36"/>
          <cell r="BA36">
            <v>0.96529450822628782</v>
          </cell>
          <cell r="BB36" t="e">
            <v>#DIV/0!</v>
          </cell>
          <cell r="BC36"/>
          <cell r="BD36">
            <v>249881</v>
          </cell>
          <cell r="BE36">
            <v>0</v>
          </cell>
          <cell r="BF36">
            <v>0</v>
          </cell>
          <cell r="BG36">
            <v>-249881</v>
          </cell>
          <cell r="BH36">
            <v>-1</v>
          </cell>
          <cell r="BI36">
            <v>0</v>
          </cell>
          <cell r="BJ36" t="e">
            <v>#DIV/0!</v>
          </cell>
          <cell r="BK36"/>
          <cell r="BL36"/>
          <cell r="BM36">
            <v>1.0216541790930829</v>
          </cell>
          <cell r="BN36">
            <v>0</v>
          </cell>
          <cell r="BO36">
            <v>1.0216541790930829</v>
          </cell>
          <cell r="BP36"/>
          <cell r="BQ36">
            <v>1.0216541790930829</v>
          </cell>
          <cell r="BR36" t="str">
            <v/>
          </cell>
        </row>
        <row r="37">
          <cell r="B37">
            <v>39722</v>
          </cell>
          <cell r="C37">
            <v>39722</v>
          </cell>
          <cell r="D37" t="str">
            <v>TOTAL</v>
          </cell>
          <cell r="E37">
            <v>1.1116007659321356</v>
          </cell>
          <cell r="F37" t="str">
            <v>g</v>
          </cell>
          <cell r="G37" t="str">
            <v>c</v>
          </cell>
          <cell r="H37" t="str">
            <v>c</v>
          </cell>
          <cell r="I37" t="str">
            <v>c</v>
          </cell>
          <cell r="J37" t="str">
            <v>c</v>
          </cell>
          <cell r="K37">
            <v>1</v>
          </cell>
          <cell r="L37">
            <v>7.0000000000000007E-2</v>
          </cell>
          <cell r="M37">
            <v>0.98</v>
          </cell>
          <cell r="N37">
            <v>0.95</v>
          </cell>
          <cell r="O37" t="e">
            <v>#DIV/0!</v>
          </cell>
          <cell r="P37" t="e">
            <v>#DIV/0!</v>
          </cell>
          <cell r="Q37" t="e">
            <v>#DIV/0!</v>
          </cell>
          <cell r="R37" t="e">
            <v>#DIV/0!</v>
          </cell>
          <cell r="S37" t="e">
            <v>#DIV/0!</v>
          </cell>
          <cell r="T37" t="e">
            <v>#DIV/0!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1.0317254577001709</v>
          </cell>
          <cell r="Z37" t="str">
            <v>g</v>
          </cell>
          <cell r="AA37" t="str">
            <v>c</v>
          </cell>
          <cell r="AB37" t="str">
            <v>c</v>
          </cell>
          <cell r="AC37" t="str">
            <v>c</v>
          </cell>
          <cell r="AD37" t="str">
            <v>c</v>
          </cell>
          <cell r="AE37">
            <v>1</v>
          </cell>
          <cell r="AF37">
            <v>7.0000000000000007E-2</v>
          </cell>
          <cell r="AG37">
            <v>0.98</v>
          </cell>
          <cell r="AH37">
            <v>0.95</v>
          </cell>
          <cell r="AI37">
            <v>0.19274911460900707</v>
          </cell>
          <cell r="AJ37" t="str">
            <v>g</v>
          </cell>
          <cell r="AK37" t="str">
            <v>c</v>
          </cell>
          <cell r="AL37" t="str">
            <v>c</v>
          </cell>
          <cell r="AM37" t="str">
            <v>c</v>
          </cell>
          <cell r="AN37" t="str">
            <v>c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/>
          <cell r="AT37">
            <v>39722</v>
          </cell>
          <cell r="AU37" t="str">
            <v>TOTAL</v>
          </cell>
          <cell r="AV37"/>
          <cell r="AW37">
            <v>1.1116007659321356</v>
          </cell>
          <cell r="AX37">
            <v>0</v>
          </cell>
          <cell r="AY37">
            <v>1.1116007659321356</v>
          </cell>
          <cell r="AZ37"/>
          <cell r="BA37">
            <v>1.1116007659321356</v>
          </cell>
          <cell r="BB37" t="e">
            <v>#DIV/0!</v>
          </cell>
          <cell r="BC37"/>
          <cell r="BD37">
            <v>201081</v>
          </cell>
          <cell r="BE37">
            <v>0</v>
          </cell>
          <cell r="BF37">
            <v>0</v>
          </cell>
          <cell r="BG37">
            <v>-201081</v>
          </cell>
          <cell r="BH37">
            <v>-1</v>
          </cell>
          <cell r="BI37">
            <v>0</v>
          </cell>
          <cell r="BJ37" t="e">
            <v>#DIV/0!</v>
          </cell>
          <cell r="BK37"/>
          <cell r="BL37"/>
          <cell r="BM37">
            <v>1.0317254577001709</v>
          </cell>
          <cell r="BN37">
            <v>0</v>
          </cell>
          <cell r="BO37">
            <v>1.0317254577001709</v>
          </cell>
          <cell r="BP37"/>
          <cell r="BQ37">
            <v>1.0317254577001709</v>
          </cell>
          <cell r="BR37" t="str">
            <v/>
          </cell>
        </row>
        <row r="38">
          <cell r="B38">
            <v>39753</v>
          </cell>
          <cell r="C38">
            <v>39753</v>
          </cell>
          <cell r="D38" t="str">
            <v>TOTAL</v>
          </cell>
          <cell r="E38">
            <v>1.0967070751227386</v>
          </cell>
          <cell r="F38" t="str">
            <v>g</v>
          </cell>
          <cell r="G38" t="str">
            <v>c</v>
          </cell>
          <cell r="H38" t="str">
            <v>c</v>
          </cell>
          <cell r="I38" t="str">
            <v>c</v>
          </cell>
          <cell r="J38" t="str">
            <v>c</v>
          </cell>
          <cell r="K38">
            <v>1</v>
          </cell>
          <cell r="L38">
            <v>7.0000000000000007E-2</v>
          </cell>
          <cell r="M38">
            <v>0.98</v>
          </cell>
          <cell r="N38">
            <v>0.95</v>
          </cell>
          <cell r="O38" t="e">
            <v>#DIV/0!</v>
          </cell>
          <cell r="P38" t="e">
            <v>#DIV/0!</v>
          </cell>
          <cell r="Q38" t="e">
            <v>#DIV/0!</v>
          </cell>
          <cell r="R38" t="e">
            <v>#DIV/0!</v>
          </cell>
          <cell r="S38" t="e">
            <v>#DIV/0!</v>
          </cell>
          <cell r="T38" t="e">
            <v>#DIV/0!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1.0367403320891164</v>
          </cell>
          <cell r="Z38" t="str">
            <v>g</v>
          </cell>
          <cell r="AA38" t="str">
            <v>c</v>
          </cell>
          <cell r="AB38" t="str">
            <v>c</v>
          </cell>
          <cell r="AC38" t="str">
            <v>c</v>
          </cell>
          <cell r="AD38" t="str">
            <v>c</v>
          </cell>
          <cell r="AE38">
            <v>1</v>
          </cell>
          <cell r="AF38">
            <v>7.0000000000000007E-2</v>
          </cell>
          <cell r="AG38">
            <v>0.98</v>
          </cell>
          <cell r="AH38">
            <v>0.95</v>
          </cell>
          <cell r="AI38">
            <v>0.19274911460900707</v>
          </cell>
          <cell r="AJ38" t="str">
            <v>g</v>
          </cell>
          <cell r="AK38" t="str">
            <v>c</v>
          </cell>
          <cell r="AL38" t="str">
            <v>c</v>
          </cell>
          <cell r="AM38" t="str">
            <v>c</v>
          </cell>
          <cell r="AN38" t="str">
            <v>c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/>
          <cell r="AT38">
            <v>39753</v>
          </cell>
          <cell r="AU38" t="str">
            <v>TOTAL</v>
          </cell>
          <cell r="AV38"/>
          <cell r="AW38">
            <v>1.0967070751227386</v>
          </cell>
          <cell r="AX38">
            <v>0</v>
          </cell>
          <cell r="AY38">
            <v>1.0967070751227386</v>
          </cell>
          <cell r="AZ38"/>
          <cell r="BA38">
            <v>1.0967070751227386</v>
          </cell>
          <cell r="BB38" t="e">
            <v>#DIV/0!</v>
          </cell>
          <cell r="BC38"/>
          <cell r="BD38">
            <v>262471.00000000023</v>
          </cell>
          <cell r="BE38">
            <v>0</v>
          </cell>
          <cell r="BF38">
            <v>0</v>
          </cell>
          <cell r="BG38">
            <v>-262471.00000000023</v>
          </cell>
          <cell r="BH38">
            <v>-1</v>
          </cell>
          <cell r="BI38">
            <v>0</v>
          </cell>
          <cell r="BJ38" t="e">
            <v>#DIV/0!</v>
          </cell>
          <cell r="BK38"/>
          <cell r="BL38"/>
          <cell r="BM38">
            <v>1.0367403320891164</v>
          </cell>
          <cell r="BN38">
            <v>0</v>
          </cell>
          <cell r="BO38">
            <v>1.0367403320891164</v>
          </cell>
          <cell r="BP38"/>
          <cell r="BQ38">
            <v>1.0367403320891164</v>
          </cell>
          <cell r="BR38" t="str">
            <v/>
          </cell>
        </row>
        <row r="39">
          <cell r="B39">
            <v>39783</v>
          </cell>
          <cell r="C39">
            <v>39783</v>
          </cell>
          <cell r="D39" t="str">
            <v>TOTAL</v>
          </cell>
          <cell r="E39">
            <v>0.83392865236795466</v>
          </cell>
          <cell r="F39" t="str">
            <v>c</v>
          </cell>
          <cell r="G39" t="str">
            <v>g</v>
          </cell>
          <cell r="H39" t="str">
            <v>c</v>
          </cell>
          <cell r="I39" t="str">
            <v>c</v>
          </cell>
          <cell r="J39" t="str">
            <v>g</v>
          </cell>
          <cell r="K39">
            <v>1</v>
          </cell>
          <cell r="L39">
            <v>7.0000000000000007E-2</v>
          </cell>
          <cell r="M39">
            <v>0.98</v>
          </cell>
          <cell r="N39">
            <v>0.95</v>
          </cell>
          <cell r="O39" t="e">
            <v>#DIV/0!</v>
          </cell>
          <cell r="P39" t="e">
            <v>#DIV/0!</v>
          </cell>
          <cell r="Q39" t="e">
            <v>#DIV/0!</v>
          </cell>
          <cell r="R39" t="e">
            <v>#DIV/0!</v>
          </cell>
          <cell r="S39" t="e">
            <v>#DIV/0!</v>
          </cell>
          <cell r="T39" t="e">
            <v>#DIV/0!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1.0186707407317301</v>
          </cell>
          <cell r="Z39" t="str">
            <v>g</v>
          </cell>
          <cell r="AA39" t="str">
            <v>c</v>
          </cell>
          <cell r="AB39" t="str">
            <v>c</v>
          </cell>
          <cell r="AC39" t="str">
            <v>c</v>
          </cell>
          <cell r="AD39" t="str">
            <v>c</v>
          </cell>
          <cell r="AE39">
            <v>1</v>
          </cell>
          <cell r="AF39">
            <v>7.0000000000000007E-2</v>
          </cell>
          <cell r="AG39">
            <v>0.98</v>
          </cell>
          <cell r="AH39">
            <v>0.95</v>
          </cell>
          <cell r="AI39">
            <v>0.19274911460900707</v>
          </cell>
          <cell r="AJ39" t="str">
            <v>g</v>
          </cell>
          <cell r="AK39" t="str">
            <v>c</v>
          </cell>
          <cell r="AL39" t="str">
            <v>c</v>
          </cell>
          <cell r="AM39" t="str">
            <v>c</v>
          </cell>
          <cell r="AN39" t="str">
            <v>c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/>
          <cell r="AT39">
            <v>39783</v>
          </cell>
          <cell r="AU39" t="str">
            <v>TOTAL</v>
          </cell>
          <cell r="AV39"/>
          <cell r="AW39">
            <v>0.83392865236795466</v>
          </cell>
          <cell r="AX39">
            <v>0</v>
          </cell>
          <cell r="AY39">
            <v>0.83392865236795466</v>
          </cell>
          <cell r="AZ39"/>
          <cell r="BA39">
            <v>0.83392865236795466</v>
          </cell>
          <cell r="BB39" t="e">
            <v>#DIV/0!</v>
          </cell>
          <cell r="BC39"/>
          <cell r="BD39">
            <v>188876</v>
          </cell>
          <cell r="BE39">
            <v>0</v>
          </cell>
          <cell r="BF39">
            <v>0</v>
          </cell>
          <cell r="BG39">
            <v>-188876</v>
          </cell>
          <cell r="BH39">
            <v>-1</v>
          </cell>
          <cell r="BI39">
            <v>0</v>
          </cell>
          <cell r="BJ39" t="e">
            <v>#DIV/0!</v>
          </cell>
          <cell r="BK39"/>
          <cell r="BL39"/>
          <cell r="BM39">
            <v>1.0186707407317301</v>
          </cell>
          <cell r="BN39">
            <v>0</v>
          </cell>
          <cell r="BO39">
            <v>1.0186707407317301</v>
          </cell>
          <cell r="BP39"/>
          <cell r="BQ39">
            <v>1.0186707407317301</v>
          </cell>
          <cell r="BR39" t="str">
            <v/>
          </cell>
        </row>
        <row r="40">
          <cell r="B40">
            <v>39814</v>
          </cell>
          <cell r="C40"/>
          <cell r="D40" t="str">
            <v>TOTAL</v>
          </cell>
          <cell r="E40" t="str">
            <v/>
          </cell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  <cell r="L40" t="str">
            <v/>
          </cell>
          <cell r="M40" t="str">
            <v/>
          </cell>
          <cell r="N40" t="str">
            <v/>
          </cell>
          <cell r="O40" t="str">
            <v/>
          </cell>
          <cell r="P40" t="str">
            <v/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 t="str">
            <v/>
          </cell>
          <cell r="AA40" t="str">
            <v/>
          </cell>
          <cell r="AB40" t="str">
            <v/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 t="str">
            <v/>
          </cell>
          <cell r="AJ40" t="str">
            <v/>
          </cell>
          <cell r="AK40" t="str">
            <v/>
          </cell>
          <cell r="AL40" t="str">
            <v/>
          </cell>
          <cell r="AM40" t="str">
            <v/>
          </cell>
          <cell r="AN40" t="str">
            <v/>
          </cell>
          <cell r="AO40" t="str">
            <v/>
          </cell>
          <cell r="AP40" t="str">
            <v/>
          </cell>
          <cell r="AQ40" t="str">
            <v/>
          </cell>
          <cell r="AR40" t="str">
            <v/>
          </cell>
          <cell r="AS40"/>
          <cell r="AT40">
            <v>39814</v>
          </cell>
          <cell r="AU40" t="str">
            <v>TOTAL</v>
          </cell>
          <cell r="AV40">
            <v>1.2019825701457407</v>
          </cell>
          <cell r="AW40" t="str">
            <v/>
          </cell>
          <cell r="AX40" t="str">
            <v/>
          </cell>
          <cell r="AY40" t="str">
            <v/>
          </cell>
          <cell r="AZ40" t="str">
            <v/>
          </cell>
          <cell r="BA40" t="str">
            <v/>
          </cell>
          <cell r="BB40" t="str">
            <v/>
          </cell>
          <cell r="BC40"/>
          <cell r="BD40">
            <v>253729</v>
          </cell>
          <cell r="BE40" t="str">
            <v/>
          </cell>
          <cell r="BF40" t="str">
            <v/>
          </cell>
          <cell r="BG40" t="str">
            <v/>
          </cell>
          <cell r="BH40" t="str">
            <v/>
          </cell>
          <cell r="BI40" t="str">
            <v/>
          </cell>
          <cell r="BJ40" t="str">
            <v/>
          </cell>
          <cell r="BK40"/>
          <cell r="BL40">
            <v>1.2019825701457407</v>
          </cell>
          <cell r="BM40" t="str">
            <v/>
          </cell>
          <cell r="BN40" t="str">
            <v/>
          </cell>
          <cell r="BO40" t="str">
            <v/>
          </cell>
          <cell r="BP40" t="str">
            <v/>
          </cell>
          <cell r="BQ40" t="str">
            <v/>
          </cell>
          <cell r="BR40" t="str">
            <v/>
          </cell>
        </row>
        <row r="41">
          <cell r="B41">
            <v>39845</v>
          </cell>
          <cell r="C41"/>
          <cell r="D41" t="str">
            <v>TOTAL</v>
          </cell>
          <cell r="E41" t="str">
            <v/>
          </cell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  <cell r="J41" t="str">
            <v/>
          </cell>
          <cell r="K41" t="str">
            <v/>
          </cell>
          <cell r="L41" t="str">
            <v/>
          </cell>
          <cell r="M41" t="str">
            <v/>
          </cell>
          <cell r="N41" t="str">
            <v/>
          </cell>
          <cell r="O41" t="str">
            <v/>
          </cell>
          <cell r="P41" t="str">
            <v/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 t="str">
            <v/>
          </cell>
          <cell r="V41" t="str">
            <v/>
          </cell>
          <cell r="W41" t="str">
            <v/>
          </cell>
          <cell r="X41" t="str">
            <v/>
          </cell>
          <cell r="Y41" t="str">
            <v/>
          </cell>
          <cell r="Z41" t="str">
            <v/>
          </cell>
          <cell r="AA41" t="str">
            <v/>
          </cell>
          <cell r="AB41" t="str">
            <v/>
          </cell>
          <cell r="AC41" t="str">
            <v/>
          </cell>
          <cell r="AD41" t="str">
            <v/>
          </cell>
          <cell r="AE41"/>
          <cell r="AF41"/>
          <cell r="AG41"/>
          <cell r="AH41"/>
          <cell r="AI41" t="str">
            <v/>
          </cell>
          <cell r="AJ41" t="str">
            <v/>
          </cell>
          <cell r="AK41" t="str">
            <v/>
          </cell>
          <cell r="AL41" t="str">
            <v/>
          </cell>
          <cell r="AM41" t="str">
            <v/>
          </cell>
          <cell r="AN41" t="str">
            <v/>
          </cell>
          <cell r="AO41"/>
          <cell r="AP41"/>
          <cell r="AQ41"/>
          <cell r="AR41"/>
          <cell r="AS41"/>
          <cell r="AT41">
            <v>39845</v>
          </cell>
          <cell r="AU41" t="str">
            <v>TOTAL</v>
          </cell>
          <cell r="AV41">
            <v>1.0011035019960404</v>
          </cell>
          <cell r="AW41" t="str">
            <v/>
          </cell>
          <cell r="AX41" t="str">
            <v/>
          </cell>
          <cell r="AY41" t="str">
            <v/>
          </cell>
          <cell r="AZ41" t="str">
            <v/>
          </cell>
          <cell r="BA41" t="str">
            <v/>
          </cell>
          <cell r="BB41" t="str">
            <v/>
          </cell>
          <cell r="BC41"/>
          <cell r="BD41">
            <v>163000</v>
          </cell>
          <cell r="BE41" t="str">
            <v/>
          </cell>
          <cell r="BF41" t="str">
            <v/>
          </cell>
          <cell r="BG41" t="str">
            <v/>
          </cell>
          <cell r="BH41" t="str">
            <v/>
          </cell>
          <cell r="BI41" t="str">
            <v/>
          </cell>
          <cell r="BJ41" t="str">
            <v/>
          </cell>
          <cell r="BK41"/>
          <cell r="BL41">
            <v>1.0973010722680629</v>
          </cell>
          <cell r="BM41" t="str">
            <v/>
          </cell>
          <cell r="BN41" t="str">
            <v/>
          </cell>
          <cell r="BO41" t="str">
            <v/>
          </cell>
          <cell r="BP41" t="str">
            <v/>
          </cell>
          <cell r="BQ41" t="str">
            <v/>
          </cell>
          <cell r="BR41" t="str">
            <v/>
          </cell>
        </row>
        <row r="42">
          <cell r="B42">
            <v>39873</v>
          </cell>
          <cell r="C42"/>
          <cell r="D42" t="str">
            <v>TOTAL</v>
          </cell>
          <cell r="E42" t="str">
            <v/>
          </cell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  <cell r="J42" t="str">
            <v/>
          </cell>
          <cell r="K42" t="str">
            <v/>
          </cell>
          <cell r="L42" t="str">
            <v/>
          </cell>
          <cell r="M42" t="str">
            <v/>
          </cell>
          <cell r="N42" t="str">
            <v/>
          </cell>
          <cell r="O42" t="str">
            <v/>
          </cell>
          <cell r="P42" t="str">
            <v/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 t="str">
            <v/>
          </cell>
          <cell r="V42" t="str">
            <v/>
          </cell>
          <cell r="W42" t="str">
            <v/>
          </cell>
          <cell r="X42" t="str">
            <v/>
          </cell>
          <cell r="Y42" t="str">
            <v/>
          </cell>
          <cell r="Z42" t="str">
            <v/>
          </cell>
          <cell r="AA42" t="str">
            <v/>
          </cell>
          <cell r="AB42" t="str">
            <v/>
          </cell>
          <cell r="AC42" t="str">
            <v/>
          </cell>
          <cell r="AD42" t="str">
            <v/>
          </cell>
          <cell r="AE42"/>
          <cell r="AF42"/>
          <cell r="AG42"/>
          <cell r="AH42"/>
          <cell r="AI42" t="str">
            <v/>
          </cell>
          <cell r="AJ42" t="str">
            <v/>
          </cell>
          <cell r="AK42" t="str">
            <v/>
          </cell>
          <cell r="AL42" t="str">
            <v/>
          </cell>
          <cell r="AM42" t="str">
            <v/>
          </cell>
          <cell r="AN42" t="str">
            <v/>
          </cell>
          <cell r="AO42"/>
          <cell r="AP42"/>
          <cell r="AQ42"/>
          <cell r="AR42"/>
          <cell r="AS42"/>
          <cell r="AT42">
            <v>39873</v>
          </cell>
          <cell r="AU42" t="str">
            <v>TOTAL</v>
          </cell>
          <cell r="AV42">
            <v>0.9984827849101473</v>
          </cell>
          <cell r="AW42" t="str">
            <v/>
          </cell>
          <cell r="AX42" t="str">
            <v/>
          </cell>
          <cell r="AY42" t="str">
            <v/>
          </cell>
          <cell r="AZ42" t="str">
            <v/>
          </cell>
          <cell r="BA42" t="str">
            <v/>
          </cell>
          <cell r="BB42" t="str">
            <v/>
          </cell>
          <cell r="BC42"/>
          <cell r="BD42">
            <v>266990</v>
          </cell>
          <cell r="BE42" t="str">
            <v/>
          </cell>
          <cell r="BF42" t="str">
            <v/>
          </cell>
          <cell r="BG42" t="str">
            <v/>
          </cell>
          <cell r="BH42" t="str">
            <v/>
          </cell>
          <cell r="BI42" t="str">
            <v/>
          </cell>
          <cell r="BJ42" t="str">
            <v/>
          </cell>
          <cell r="BK42"/>
          <cell r="BL42">
            <v>1.0643625550574793</v>
          </cell>
          <cell r="BM42" t="str">
            <v/>
          </cell>
          <cell r="BN42" t="str">
            <v/>
          </cell>
          <cell r="BO42" t="str">
            <v/>
          </cell>
          <cell r="BP42" t="str">
            <v/>
          </cell>
          <cell r="BQ42" t="str">
            <v/>
          </cell>
          <cell r="BR42" t="str">
            <v/>
          </cell>
        </row>
        <row r="43">
          <cell r="B43">
            <v>39904</v>
          </cell>
          <cell r="C43"/>
          <cell r="D43" t="str">
            <v>TOTAL</v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 t="str">
            <v/>
          </cell>
          <cell r="L43" t="str">
            <v/>
          </cell>
          <cell r="M43" t="str">
            <v/>
          </cell>
          <cell r="N43" t="str">
            <v/>
          </cell>
          <cell r="O43" t="str">
            <v/>
          </cell>
          <cell r="P43" t="str">
            <v/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 t="str">
            <v/>
          </cell>
          <cell r="V43" t="str">
            <v/>
          </cell>
          <cell r="W43" t="str">
            <v/>
          </cell>
          <cell r="X43" t="str">
            <v/>
          </cell>
          <cell r="Y43" t="str">
            <v/>
          </cell>
          <cell r="Z43" t="str">
            <v/>
          </cell>
          <cell r="AA43" t="str">
            <v/>
          </cell>
          <cell r="AB43" t="str">
            <v/>
          </cell>
          <cell r="AC43" t="str">
            <v/>
          </cell>
          <cell r="AD43" t="str">
            <v/>
          </cell>
          <cell r="AE43"/>
          <cell r="AF43"/>
          <cell r="AG43"/>
          <cell r="AH43"/>
          <cell r="AI43" t="str">
            <v/>
          </cell>
          <cell r="AJ43" t="str">
            <v/>
          </cell>
          <cell r="AK43" t="str">
            <v/>
          </cell>
          <cell r="AL43" t="str">
            <v/>
          </cell>
          <cell r="AM43" t="str">
            <v/>
          </cell>
          <cell r="AN43" t="str">
            <v/>
          </cell>
          <cell r="AO43"/>
          <cell r="AP43"/>
          <cell r="AQ43"/>
          <cell r="AR43"/>
          <cell r="AS43"/>
          <cell r="AT43">
            <v>39904</v>
          </cell>
          <cell r="AU43" t="str">
            <v>TOTAL</v>
          </cell>
          <cell r="AV43">
            <v>1.1851730670701919</v>
          </cell>
          <cell r="AW43" t="str">
            <v/>
          </cell>
          <cell r="AX43" t="str">
            <v/>
          </cell>
          <cell r="AY43" t="str">
            <v/>
          </cell>
          <cell r="AZ43" t="str">
            <v/>
          </cell>
          <cell r="BA43" t="str">
            <v/>
          </cell>
          <cell r="BB43" t="str">
            <v/>
          </cell>
          <cell r="BC43"/>
          <cell r="BD43">
            <v>274110</v>
          </cell>
          <cell r="BE43" t="str">
            <v/>
          </cell>
          <cell r="BF43" t="str">
            <v/>
          </cell>
          <cell r="BG43" t="str">
            <v/>
          </cell>
          <cell r="BH43" t="str">
            <v/>
          </cell>
          <cell r="BI43" t="str">
            <v/>
          </cell>
          <cell r="BJ43" t="str">
            <v/>
          </cell>
          <cell r="BK43"/>
          <cell r="BL43">
            <v>1.0958895403280562</v>
          </cell>
          <cell r="BM43" t="str">
            <v/>
          </cell>
          <cell r="BN43" t="str">
            <v/>
          </cell>
          <cell r="BO43" t="str">
            <v/>
          </cell>
          <cell r="BP43" t="str">
            <v/>
          </cell>
          <cell r="BQ43" t="str">
            <v/>
          </cell>
          <cell r="BR43" t="str">
            <v/>
          </cell>
        </row>
        <row r="44">
          <cell r="B44">
            <v>39934</v>
          </cell>
          <cell r="C44"/>
          <cell r="D44" t="str">
            <v>TOTAL</v>
          </cell>
          <cell r="E44" t="str">
            <v/>
          </cell>
          <cell r="F44" t="str">
            <v/>
          </cell>
          <cell r="G44" t="str">
            <v/>
          </cell>
          <cell r="H44" t="str">
            <v/>
          </cell>
          <cell r="I44" t="str">
            <v/>
          </cell>
          <cell r="J44" t="str">
            <v/>
          </cell>
          <cell r="K44" t="str">
            <v/>
          </cell>
          <cell r="L44" t="str">
            <v/>
          </cell>
          <cell r="M44" t="str">
            <v/>
          </cell>
          <cell r="N44" t="str">
            <v/>
          </cell>
          <cell r="O44" t="str">
            <v/>
          </cell>
          <cell r="P44" t="str">
            <v/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  <cell r="AA44" t="str">
            <v/>
          </cell>
          <cell r="AB44" t="str">
            <v/>
          </cell>
          <cell r="AC44" t="str">
            <v/>
          </cell>
          <cell r="AD44" t="str">
            <v/>
          </cell>
          <cell r="AE44"/>
          <cell r="AF44"/>
          <cell r="AG44"/>
          <cell r="AH44"/>
          <cell r="AI44" t="str">
            <v/>
          </cell>
          <cell r="AJ44" t="str">
            <v/>
          </cell>
          <cell r="AK44" t="str">
            <v/>
          </cell>
          <cell r="AL44" t="str">
            <v/>
          </cell>
          <cell r="AM44" t="str">
            <v/>
          </cell>
          <cell r="AN44" t="str">
            <v/>
          </cell>
          <cell r="AO44"/>
          <cell r="AP44"/>
          <cell r="AQ44"/>
          <cell r="AR44"/>
          <cell r="AS44"/>
          <cell r="AT44">
            <v>39934</v>
          </cell>
          <cell r="AU44" t="str">
            <v>TOTAL</v>
          </cell>
          <cell r="AV44">
            <v>0.94433094608495738</v>
          </cell>
          <cell r="AW44" t="str">
            <v/>
          </cell>
          <cell r="AX44" t="str">
            <v/>
          </cell>
          <cell r="AY44" t="str">
            <v/>
          </cell>
          <cell r="AZ44" t="str">
            <v/>
          </cell>
          <cell r="BA44" t="str">
            <v/>
          </cell>
          <cell r="BB44" t="str">
            <v/>
          </cell>
          <cell r="BC44"/>
          <cell r="BD44">
            <v>0</v>
          </cell>
          <cell r="BE44" t="str">
            <v/>
          </cell>
          <cell r="BF44" t="str">
            <v/>
          </cell>
          <cell r="BG44" t="str">
            <v/>
          </cell>
          <cell r="BH44" t="str">
            <v/>
          </cell>
          <cell r="BI44" t="str">
            <v/>
          </cell>
          <cell r="BJ44" t="str">
            <v/>
          </cell>
          <cell r="BK44"/>
          <cell r="BL44">
            <v>1.065112780859361</v>
          </cell>
          <cell r="BM44" t="str">
            <v/>
          </cell>
          <cell r="BN44" t="str">
            <v/>
          </cell>
          <cell r="BO44" t="str">
            <v/>
          </cell>
          <cell r="BP44" t="str">
            <v/>
          </cell>
          <cell r="BQ44" t="str">
            <v/>
          </cell>
          <cell r="BR44" t="str">
            <v/>
          </cell>
        </row>
        <row r="45">
          <cell r="B45">
            <v>39965</v>
          </cell>
          <cell r="C45"/>
          <cell r="D45" t="str">
            <v>TOTAL</v>
          </cell>
          <cell r="E45" t="str">
            <v/>
          </cell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  <cell r="M45" t="str">
            <v/>
          </cell>
          <cell r="N45" t="str">
            <v/>
          </cell>
          <cell r="O45" t="str">
            <v/>
          </cell>
          <cell r="P45" t="str">
            <v/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 t="str">
            <v/>
          </cell>
          <cell r="V45" t="str">
            <v/>
          </cell>
          <cell r="W45" t="str">
            <v/>
          </cell>
          <cell r="X45" t="str">
            <v/>
          </cell>
          <cell r="Y45" t="str">
            <v/>
          </cell>
          <cell r="Z45" t="str">
            <v/>
          </cell>
          <cell r="AA45" t="str">
            <v/>
          </cell>
          <cell r="AB45" t="str">
            <v/>
          </cell>
          <cell r="AC45" t="str">
            <v/>
          </cell>
          <cell r="AD45" t="str">
            <v/>
          </cell>
          <cell r="AE45"/>
          <cell r="AF45"/>
          <cell r="AG45"/>
          <cell r="AH45"/>
          <cell r="AI45" t="str">
            <v/>
          </cell>
          <cell r="AJ45" t="str">
            <v/>
          </cell>
          <cell r="AK45" t="str">
            <v/>
          </cell>
          <cell r="AL45" t="str">
            <v/>
          </cell>
          <cell r="AM45" t="str">
            <v/>
          </cell>
          <cell r="AN45" t="str">
            <v/>
          </cell>
          <cell r="AO45"/>
          <cell r="AP45"/>
          <cell r="AQ45"/>
          <cell r="AR45"/>
          <cell r="AS45"/>
          <cell r="AT45">
            <v>39965</v>
          </cell>
          <cell r="AU45" t="str">
            <v>TOTAL</v>
          </cell>
          <cell r="AV45">
            <v>0.88281343139836121</v>
          </cell>
          <cell r="AW45" t="str">
            <v/>
          </cell>
          <cell r="AX45" t="str">
            <v/>
          </cell>
          <cell r="AY45" t="str">
            <v/>
          </cell>
          <cell r="AZ45" t="str">
            <v/>
          </cell>
          <cell r="BA45" t="str">
            <v/>
          </cell>
          <cell r="BB45" t="str">
            <v/>
          </cell>
          <cell r="BC45"/>
          <cell r="BD45">
            <v>0</v>
          </cell>
          <cell r="BE45" t="str">
            <v/>
          </cell>
          <cell r="BF45" t="str">
            <v/>
          </cell>
          <cell r="BG45" t="str">
            <v/>
          </cell>
          <cell r="BH45" t="str">
            <v/>
          </cell>
          <cell r="BI45" t="str">
            <v/>
          </cell>
          <cell r="BJ45" t="str">
            <v/>
          </cell>
          <cell r="BK45"/>
          <cell r="BL45">
            <v>1.0325567917857876</v>
          </cell>
          <cell r="BM45" t="str">
            <v/>
          </cell>
          <cell r="BN45" t="str">
            <v/>
          </cell>
          <cell r="BO45" t="str">
            <v/>
          </cell>
          <cell r="BP45" t="str">
            <v/>
          </cell>
          <cell r="BQ45" t="str">
            <v/>
          </cell>
          <cell r="BR45" t="str">
            <v/>
          </cell>
        </row>
        <row r="46">
          <cell r="B46">
            <v>39995</v>
          </cell>
          <cell r="C46"/>
          <cell r="D46" t="str">
            <v>TOTAL</v>
          </cell>
          <cell r="E46" t="str">
            <v/>
          </cell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  <cell r="M46" t="str">
            <v/>
          </cell>
          <cell r="N46" t="str">
            <v/>
          </cell>
          <cell r="O46" t="str">
            <v/>
          </cell>
          <cell r="P46" t="str">
            <v/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 t="str">
            <v/>
          </cell>
          <cell r="V46" t="str">
            <v/>
          </cell>
          <cell r="W46" t="str">
            <v/>
          </cell>
          <cell r="X46" t="str">
            <v/>
          </cell>
          <cell r="Y46" t="str">
            <v/>
          </cell>
          <cell r="Z46" t="str">
            <v/>
          </cell>
          <cell r="AA46" t="str">
            <v/>
          </cell>
          <cell r="AB46" t="str">
            <v/>
          </cell>
          <cell r="AC46" t="str">
            <v/>
          </cell>
          <cell r="AD46" t="str">
            <v/>
          </cell>
          <cell r="AE46"/>
          <cell r="AF46"/>
          <cell r="AG46"/>
          <cell r="AH46"/>
          <cell r="AI46" t="str">
            <v/>
          </cell>
          <cell r="AJ46" t="str">
            <v/>
          </cell>
          <cell r="AK46" t="str">
            <v/>
          </cell>
          <cell r="AL46" t="str">
            <v/>
          </cell>
          <cell r="AM46" t="str">
            <v/>
          </cell>
          <cell r="AN46" t="str">
            <v/>
          </cell>
          <cell r="AO46"/>
          <cell r="AP46"/>
          <cell r="AQ46"/>
          <cell r="AR46"/>
          <cell r="AS46"/>
          <cell r="AT46">
            <v>39995</v>
          </cell>
          <cell r="AU46" t="str">
            <v>TOTAL</v>
          </cell>
          <cell r="AV46">
            <v>0.99433076755439698</v>
          </cell>
          <cell r="AW46" t="str">
            <v/>
          </cell>
          <cell r="AX46" t="str">
            <v/>
          </cell>
          <cell r="AY46" t="str">
            <v/>
          </cell>
          <cell r="AZ46" t="str">
            <v/>
          </cell>
          <cell r="BA46" t="str">
            <v/>
          </cell>
          <cell r="BB46" t="str">
            <v/>
          </cell>
          <cell r="BC46"/>
          <cell r="BD46">
            <v>0</v>
          </cell>
          <cell r="BE46" t="str">
            <v/>
          </cell>
          <cell r="BF46" t="str">
            <v/>
          </cell>
          <cell r="BG46" t="str">
            <v/>
          </cell>
          <cell r="BH46" t="str">
            <v/>
          </cell>
          <cell r="BI46" t="str">
            <v/>
          </cell>
          <cell r="BJ46" t="str">
            <v/>
          </cell>
          <cell r="BK46"/>
          <cell r="BL46">
            <v>1.0266112359881201</v>
          </cell>
          <cell r="BM46" t="str">
            <v/>
          </cell>
          <cell r="BN46" t="str">
            <v/>
          </cell>
          <cell r="BO46" t="str">
            <v/>
          </cell>
          <cell r="BP46" t="str">
            <v/>
          </cell>
          <cell r="BQ46" t="str">
            <v/>
          </cell>
          <cell r="BR46" t="str">
            <v/>
          </cell>
        </row>
        <row r="47">
          <cell r="B47">
            <v>40026</v>
          </cell>
          <cell r="C47"/>
          <cell r="D47" t="str">
            <v>TOTAL</v>
          </cell>
          <cell r="E47" t="str">
            <v/>
          </cell>
          <cell r="F47" t="str">
            <v/>
          </cell>
          <cell r="G47" t="str">
            <v/>
          </cell>
          <cell r="H47" t="str">
            <v/>
          </cell>
          <cell r="I47" t="str">
            <v/>
          </cell>
          <cell r="J47" t="str">
            <v/>
          </cell>
          <cell r="K47" t="str">
            <v/>
          </cell>
          <cell r="L47" t="str">
            <v/>
          </cell>
          <cell r="M47" t="str">
            <v/>
          </cell>
          <cell r="N47" t="str">
            <v/>
          </cell>
          <cell r="O47" t="str">
            <v/>
          </cell>
          <cell r="P47" t="str">
            <v/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 t="str">
            <v/>
          </cell>
          <cell r="V47" t="str">
            <v/>
          </cell>
          <cell r="W47" t="str">
            <v/>
          </cell>
          <cell r="X47" t="str">
            <v/>
          </cell>
          <cell r="Y47" t="str">
            <v/>
          </cell>
          <cell r="Z47" t="str">
            <v/>
          </cell>
          <cell r="AA47" t="str">
            <v/>
          </cell>
          <cell r="AB47" t="str">
            <v/>
          </cell>
          <cell r="AC47" t="str">
            <v/>
          </cell>
          <cell r="AD47" t="str">
            <v/>
          </cell>
          <cell r="AE47"/>
          <cell r="AF47"/>
          <cell r="AG47"/>
          <cell r="AH47"/>
          <cell r="AI47" t="str">
            <v/>
          </cell>
          <cell r="AJ47" t="str">
            <v/>
          </cell>
          <cell r="AK47" t="str">
            <v/>
          </cell>
          <cell r="AL47" t="str">
            <v/>
          </cell>
          <cell r="AM47" t="str">
            <v/>
          </cell>
          <cell r="AN47" t="str">
            <v/>
          </cell>
          <cell r="AO47"/>
          <cell r="AP47"/>
          <cell r="AQ47"/>
          <cell r="AR47"/>
          <cell r="AS47"/>
          <cell r="AT47">
            <v>40026</v>
          </cell>
          <cell r="AU47" t="str">
            <v>TOTAL</v>
          </cell>
          <cell r="AV47">
            <v>1.0443627673922149</v>
          </cell>
          <cell r="AW47" t="str">
            <v/>
          </cell>
          <cell r="AX47" t="str">
            <v/>
          </cell>
          <cell r="AY47" t="str">
            <v/>
          </cell>
          <cell r="AZ47" t="str">
            <v/>
          </cell>
          <cell r="BA47" t="str">
            <v/>
          </cell>
          <cell r="BB47" t="str">
            <v/>
          </cell>
          <cell r="BC47"/>
          <cell r="BD47">
            <v>0</v>
          </cell>
          <cell r="BE47" t="str">
            <v/>
          </cell>
          <cell r="BF47" t="str">
            <v/>
          </cell>
          <cell r="BG47" t="str">
            <v/>
          </cell>
          <cell r="BH47" t="str">
            <v/>
          </cell>
          <cell r="BI47" t="str">
            <v/>
          </cell>
          <cell r="BJ47" t="str">
            <v/>
          </cell>
          <cell r="BK47"/>
          <cell r="BL47">
            <v>1.0289676738658644</v>
          </cell>
          <cell r="BM47" t="str">
            <v/>
          </cell>
          <cell r="BN47" t="str">
            <v/>
          </cell>
          <cell r="BO47" t="str">
            <v/>
          </cell>
          <cell r="BP47" t="str">
            <v/>
          </cell>
          <cell r="BQ47" t="str">
            <v/>
          </cell>
          <cell r="BR47" t="str">
            <v/>
          </cell>
        </row>
        <row r="48">
          <cell r="B48">
            <v>40057</v>
          </cell>
          <cell r="C48"/>
          <cell r="D48" t="str">
            <v>TOTAL</v>
          </cell>
          <cell r="E48" t="str">
            <v/>
          </cell>
          <cell r="F48" t="str">
            <v/>
          </cell>
          <cell r="G48" t="str">
            <v/>
          </cell>
          <cell r="H48" t="str">
            <v/>
          </cell>
          <cell r="I48" t="str">
            <v/>
          </cell>
          <cell r="J48" t="str">
            <v/>
          </cell>
          <cell r="K48" t="str">
            <v/>
          </cell>
          <cell r="L48" t="str">
            <v/>
          </cell>
          <cell r="M48" t="str">
            <v/>
          </cell>
          <cell r="N48" t="str">
            <v/>
          </cell>
          <cell r="O48" t="str">
            <v/>
          </cell>
          <cell r="P48" t="str">
            <v/>
          </cell>
          <cell r="Q48" t="str">
            <v/>
          </cell>
          <cell r="R48" t="str">
            <v/>
          </cell>
          <cell r="S48" t="str">
            <v/>
          </cell>
          <cell r="T48" t="str">
            <v/>
          </cell>
          <cell r="U48" t="str">
            <v/>
          </cell>
          <cell r="V48" t="str">
            <v/>
          </cell>
          <cell r="W48" t="str">
            <v/>
          </cell>
          <cell r="X48" t="str">
            <v/>
          </cell>
          <cell r="Y48" t="str">
            <v/>
          </cell>
          <cell r="Z48" t="str">
            <v/>
          </cell>
          <cell r="AA48" t="str">
            <v/>
          </cell>
          <cell r="AB48" t="str">
            <v/>
          </cell>
          <cell r="AC48" t="str">
            <v/>
          </cell>
          <cell r="AD48" t="str">
            <v/>
          </cell>
          <cell r="AE48"/>
          <cell r="AF48"/>
          <cell r="AG48"/>
          <cell r="AH48"/>
          <cell r="AI48" t="str">
            <v/>
          </cell>
          <cell r="AJ48" t="str">
            <v/>
          </cell>
          <cell r="AK48" t="str">
            <v/>
          </cell>
          <cell r="AL48" t="str">
            <v/>
          </cell>
          <cell r="AM48" t="str">
            <v/>
          </cell>
          <cell r="AN48" t="str">
            <v/>
          </cell>
          <cell r="AO48"/>
          <cell r="AP48"/>
          <cell r="AQ48"/>
          <cell r="AR48"/>
          <cell r="AS48"/>
          <cell r="AT48">
            <v>40057</v>
          </cell>
          <cell r="AU48" t="str">
            <v>TOTAL</v>
          </cell>
          <cell r="AV48">
            <v>0.96529450822628782</v>
          </cell>
          <cell r="AW48" t="str">
            <v/>
          </cell>
          <cell r="AX48" t="str">
            <v/>
          </cell>
          <cell r="AY48" t="str">
            <v/>
          </cell>
          <cell r="AZ48" t="str">
            <v/>
          </cell>
          <cell r="BA48" t="str">
            <v/>
          </cell>
          <cell r="BB48" t="str">
            <v/>
          </cell>
          <cell r="BC48"/>
          <cell r="BD48">
            <v>0</v>
          </cell>
          <cell r="BE48" t="str">
            <v/>
          </cell>
          <cell r="BF48" t="str">
            <v/>
          </cell>
          <cell r="BG48" t="str">
            <v/>
          </cell>
          <cell r="BH48" t="str">
            <v/>
          </cell>
          <cell r="BI48" t="str">
            <v/>
          </cell>
          <cell r="BJ48" t="str">
            <v/>
          </cell>
          <cell r="BK48"/>
          <cell r="BL48">
            <v>1.0216541790930829</v>
          </cell>
          <cell r="BM48" t="str">
            <v/>
          </cell>
          <cell r="BN48" t="str">
            <v/>
          </cell>
          <cell r="BO48" t="str">
            <v/>
          </cell>
          <cell r="BP48" t="str">
            <v/>
          </cell>
          <cell r="BQ48" t="str">
            <v/>
          </cell>
          <cell r="BR48" t="str">
            <v/>
          </cell>
        </row>
        <row r="49">
          <cell r="B49">
            <v>40087</v>
          </cell>
          <cell r="C49"/>
          <cell r="D49" t="str">
            <v>TOTAL</v>
          </cell>
          <cell r="E49" t="str">
            <v/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  <cell r="L49" t="str">
            <v/>
          </cell>
          <cell r="M49" t="str">
            <v/>
          </cell>
          <cell r="N49" t="str">
            <v/>
          </cell>
          <cell r="O49" t="str">
            <v/>
          </cell>
          <cell r="P49" t="str">
            <v/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  <cell r="U49" t="str">
            <v/>
          </cell>
          <cell r="V49" t="str">
            <v/>
          </cell>
          <cell r="W49" t="str">
            <v/>
          </cell>
          <cell r="X49" t="str">
            <v/>
          </cell>
          <cell r="Y49" t="str">
            <v/>
          </cell>
          <cell r="Z49" t="str">
            <v/>
          </cell>
          <cell r="AA49" t="str">
            <v/>
          </cell>
          <cell r="AB49" t="str">
            <v/>
          </cell>
          <cell r="AC49" t="str">
            <v/>
          </cell>
          <cell r="AD49" t="str">
            <v/>
          </cell>
          <cell r="AE49"/>
          <cell r="AF49"/>
          <cell r="AG49"/>
          <cell r="AH49"/>
          <cell r="AI49" t="str">
            <v/>
          </cell>
          <cell r="AJ49" t="str">
            <v/>
          </cell>
          <cell r="AK49" t="str">
            <v/>
          </cell>
          <cell r="AL49" t="str">
            <v/>
          </cell>
          <cell r="AM49" t="str">
            <v/>
          </cell>
          <cell r="AN49" t="str">
            <v/>
          </cell>
          <cell r="AO49"/>
          <cell r="AP49"/>
          <cell r="AQ49"/>
          <cell r="AR49"/>
          <cell r="AS49"/>
          <cell r="AT49">
            <v>40087</v>
          </cell>
          <cell r="AU49" t="str">
            <v>TOTAL</v>
          </cell>
          <cell r="AV49">
            <v>1.1116007659321356</v>
          </cell>
          <cell r="AW49" t="str">
            <v/>
          </cell>
          <cell r="AX49" t="str">
            <v/>
          </cell>
          <cell r="AY49" t="str">
            <v/>
          </cell>
          <cell r="AZ49" t="str">
            <v/>
          </cell>
          <cell r="BA49" t="str">
            <v/>
          </cell>
          <cell r="BB49" t="str">
            <v/>
          </cell>
          <cell r="BC49"/>
          <cell r="BD49">
            <v>0</v>
          </cell>
          <cell r="BE49" t="str">
            <v/>
          </cell>
          <cell r="BF49" t="str">
            <v/>
          </cell>
          <cell r="BG49" t="str">
            <v/>
          </cell>
          <cell r="BH49" t="str">
            <v/>
          </cell>
          <cell r="BI49" t="str">
            <v/>
          </cell>
          <cell r="BJ49" t="str">
            <v/>
          </cell>
          <cell r="BK49"/>
          <cell r="BL49">
            <v>1.0317254577001709</v>
          </cell>
          <cell r="BM49" t="str">
            <v/>
          </cell>
          <cell r="BN49" t="str">
            <v/>
          </cell>
          <cell r="BO49" t="str">
            <v/>
          </cell>
          <cell r="BP49" t="str">
            <v/>
          </cell>
          <cell r="BQ49" t="str">
            <v/>
          </cell>
          <cell r="BR49" t="str">
            <v/>
          </cell>
        </row>
      </sheetData>
      <sheetData sheetId="55"/>
      <sheetData sheetId="56">
        <row r="10">
          <cell r="B10"/>
          <cell r="C10"/>
          <cell r="D10"/>
          <cell r="E10"/>
          <cell r="F10"/>
          <cell r="G10"/>
          <cell r="H10"/>
          <cell r="I10"/>
          <cell r="J10"/>
          <cell r="V10" t="str">
            <v>Mes</v>
          </cell>
          <cell r="W10"/>
          <cell r="X10"/>
          <cell r="Y10"/>
          <cell r="Z10"/>
          <cell r="AA10"/>
          <cell r="AB10"/>
          <cell r="AC10" t="str">
            <v>Mes</v>
          </cell>
          <cell r="AD10"/>
          <cell r="AE10"/>
          <cell r="AF10"/>
          <cell r="AG10"/>
        </row>
        <row r="11">
          <cell r="B11" t="str">
            <v>Mes-Año</v>
          </cell>
          <cell r="C11"/>
          <cell r="D11" t="str">
            <v>PR</v>
          </cell>
          <cell r="E11" t="str">
            <v>PP</v>
          </cell>
          <cell r="F11" t="str">
            <v>%</v>
          </cell>
          <cell r="G11"/>
          <cell r="H11"/>
          <cell r="I11"/>
          <cell r="J11"/>
          <cell r="K11"/>
          <cell r="L11" t="str">
            <v>PR</v>
          </cell>
          <cell r="M11" t="str">
            <v>PP</v>
          </cell>
          <cell r="N11" t="str">
            <v>%</v>
          </cell>
          <cell r="O11"/>
          <cell r="P11"/>
          <cell r="Q11"/>
          <cell r="R11"/>
          <cell r="S11"/>
          <cell r="T11"/>
          <cell r="U11"/>
          <cell r="V11"/>
          <cell r="W11" t="str">
            <v>Valores</v>
          </cell>
          <cell r="X11"/>
          <cell r="Y11" t="str">
            <v>Var 1.</v>
          </cell>
          <cell r="Z11"/>
          <cell r="AA11" t="str">
            <v>Acum. 
Anual</v>
          </cell>
          <cell r="AB11" t="str">
            <v>Avance 
del Año</v>
          </cell>
          <cell r="AC11"/>
          <cell r="AD11" t="str">
            <v>Valores</v>
          </cell>
          <cell r="AE11"/>
          <cell r="AF11" t="str">
            <v>Var 1.</v>
          </cell>
          <cell r="AG11"/>
        </row>
        <row r="12">
          <cell r="B12"/>
          <cell r="C12"/>
          <cell r="D12"/>
          <cell r="E12"/>
          <cell r="F12"/>
          <cell r="G12" t="str">
            <v>Performance</v>
          </cell>
          <cell r="H12"/>
          <cell r="I12"/>
          <cell r="J12" t="str">
            <v>Sup</v>
          </cell>
          <cell r="K12" t="str">
            <v>Inf</v>
          </cell>
          <cell r="L12"/>
          <cell r="M12"/>
          <cell r="N12"/>
          <cell r="O12" t="str">
            <v>Performance</v>
          </cell>
          <cell r="P12"/>
          <cell r="Q12"/>
          <cell r="R12" t="str">
            <v>Sup</v>
          </cell>
          <cell r="S12" t="str">
            <v>Inf</v>
          </cell>
          <cell r="T12"/>
          <cell r="U12"/>
          <cell r="V12" t="str">
            <v>Fecha</v>
          </cell>
          <cell r="W12" t="str">
            <v>Anteriores</v>
          </cell>
          <cell r="X12" t="str">
            <v>Real</v>
          </cell>
          <cell r="Y12" t="str">
            <v>Unidades</v>
          </cell>
          <cell r="Z12" t="str">
            <v>%</v>
          </cell>
          <cell r="AA12"/>
          <cell r="AB12"/>
          <cell r="AC12" t="str">
            <v>Fecha</v>
          </cell>
          <cell r="AD12" t="str">
            <v>Anteriores</v>
          </cell>
          <cell r="AE12" t="str">
            <v>Real</v>
          </cell>
          <cell r="AF12" t="str">
            <v>Unidades</v>
          </cell>
          <cell r="AG12" t="str">
            <v>%</v>
          </cell>
        </row>
        <row r="13">
          <cell r="B13">
            <v>39083</v>
          </cell>
          <cell r="C13"/>
          <cell r="D13"/>
          <cell r="E13"/>
          <cell r="F13" t="str">
            <v/>
          </cell>
          <cell r="G13" t="str">
            <v/>
          </cell>
          <cell r="H13" t="str">
            <v/>
          </cell>
          <cell r="I13" t="str">
            <v/>
          </cell>
          <cell r="J13">
            <v>0.85</v>
          </cell>
          <cell r="K13">
            <v>0.7</v>
          </cell>
          <cell r="L13"/>
          <cell r="M13"/>
          <cell r="N13" t="str">
            <v/>
          </cell>
          <cell r="O13" t="str">
            <v/>
          </cell>
          <cell r="P13" t="str">
            <v/>
          </cell>
          <cell r="Q13" t="str">
            <v/>
          </cell>
          <cell r="R13">
            <v>0.85</v>
          </cell>
          <cell r="S13">
            <v>0.7</v>
          </cell>
          <cell r="T13"/>
          <cell r="U13"/>
          <cell r="V13">
            <v>39083</v>
          </cell>
          <cell r="W13"/>
          <cell r="X13" t="str">
            <v/>
          </cell>
          <cell r="Y13" t="str">
            <v/>
          </cell>
          <cell r="Z13"/>
          <cell r="AA13"/>
          <cell r="AB13"/>
          <cell r="AC13">
            <v>39083</v>
          </cell>
          <cell r="AD13"/>
          <cell r="AE13"/>
          <cell r="AF13"/>
          <cell r="AG13"/>
        </row>
        <row r="14">
          <cell r="B14">
            <v>39114</v>
          </cell>
          <cell r="C14"/>
          <cell r="D14"/>
          <cell r="E14"/>
          <cell r="F14" t="str">
            <v/>
          </cell>
          <cell r="G14" t="str">
            <v/>
          </cell>
          <cell r="H14" t="str">
            <v/>
          </cell>
          <cell r="I14" t="str">
            <v/>
          </cell>
          <cell r="J14">
            <v>0.85</v>
          </cell>
          <cell r="K14">
            <v>0.7</v>
          </cell>
          <cell r="L14"/>
          <cell r="M14"/>
          <cell r="N14" t="str">
            <v/>
          </cell>
          <cell r="O14" t="str">
            <v/>
          </cell>
          <cell r="P14" t="str">
            <v/>
          </cell>
          <cell r="Q14" t="str">
            <v/>
          </cell>
          <cell r="R14">
            <v>0.85</v>
          </cell>
          <cell r="S14">
            <v>0.7</v>
          </cell>
          <cell r="T14"/>
          <cell r="U14"/>
          <cell r="V14">
            <v>39114</v>
          </cell>
          <cell r="W14"/>
          <cell r="X14" t="str">
            <v/>
          </cell>
          <cell r="Y14" t="str">
            <v/>
          </cell>
          <cell r="Z14"/>
          <cell r="AA14"/>
          <cell r="AB14"/>
          <cell r="AC14">
            <v>39114</v>
          </cell>
          <cell r="AD14"/>
          <cell r="AE14"/>
          <cell r="AF14"/>
          <cell r="AG14"/>
        </row>
        <row r="15">
          <cell r="B15">
            <v>39142</v>
          </cell>
          <cell r="C15"/>
          <cell r="D15">
            <v>10310</v>
          </cell>
          <cell r="E15">
            <v>10300</v>
          </cell>
          <cell r="F15">
            <v>1.0009708737864078</v>
          </cell>
          <cell r="G15" t="str">
            <v>g</v>
          </cell>
          <cell r="H15" t="str">
            <v>c</v>
          </cell>
          <cell r="I15" t="str">
            <v>c</v>
          </cell>
          <cell r="J15">
            <v>0.85</v>
          </cell>
          <cell r="K15">
            <v>0.7</v>
          </cell>
          <cell r="L15">
            <v>10310</v>
          </cell>
          <cell r="M15">
            <v>10300</v>
          </cell>
          <cell r="N15">
            <v>1.0009708737864078</v>
          </cell>
          <cell r="O15" t="str">
            <v>g</v>
          </cell>
          <cell r="P15" t="str">
            <v>c</v>
          </cell>
          <cell r="Q15" t="str">
            <v>c</v>
          </cell>
          <cell r="R15">
            <v>0.85</v>
          </cell>
          <cell r="S15">
            <v>0.7</v>
          </cell>
          <cell r="T15"/>
          <cell r="U15"/>
          <cell r="V15">
            <v>39142</v>
          </cell>
          <cell r="W15"/>
          <cell r="X15">
            <v>1.0009708737864078</v>
          </cell>
          <cell r="Y15">
            <v>1.0009708737864078</v>
          </cell>
          <cell r="Z15"/>
          <cell r="AA15"/>
          <cell r="AB15"/>
          <cell r="AC15">
            <v>39142</v>
          </cell>
          <cell r="AD15"/>
          <cell r="AE15">
            <v>1.0009708737864078</v>
          </cell>
          <cell r="AF15">
            <v>1.0009708737864078</v>
          </cell>
          <cell r="AG15"/>
        </row>
        <row r="16">
          <cell r="B16">
            <v>39173</v>
          </cell>
          <cell r="C16"/>
          <cell r="D16">
            <v>144663.92000000001</v>
          </cell>
          <cell r="E16">
            <v>150000</v>
          </cell>
          <cell r="F16">
            <v>0.96442613333333338</v>
          </cell>
          <cell r="G16" t="str">
            <v>g</v>
          </cell>
          <cell r="H16" t="str">
            <v>c</v>
          </cell>
          <cell r="I16" t="str">
            <v>c</v>
          </cell>
          <cell r="J16">
            <v>0.85</v>
          </cell>
          <cell r="K16">
            <v>0.7</v>
          </cell>
          <cell r="L16">
            <v>154973.92000000001</v>
          </cell>
          <cell r="M16">
            <v>160300</v>
          </cell>
          <cell r="N16">
            <v>0.96677429819089211</v>
          </cell>
          <cell r="O16" t="str">
            <v>g</v>
          </cell>
          <cell r="P16" t="str">
            <v>c</v>
          </cell>
          <cell r="Q16" t="str">
            <v>c</v>
          </cell>
          <cell r="R16">
            <v>0.85</v>
          </cell>
          <cell r="S16">
            <v>0.7</v>
          </cell>
          <cell r="T16"/>
          <cell r="U16"/>
          <cell r="V16">
            <v>39173</v>
          </cell>
          <cell r="W16"/>
          <cell r="X16">
            <v>0.96442613333333338</v>
          </cell>
          <cell r="Y16">
            <v>0.96442613333333338</v>
          </cell>
          <cell r="Z16"/>
          <cell r="AA16"/>
          <cell r="AB16"/>
          <cell r="AC16">
            <v>39173</v>
          </cell>
          <cell r="AD16"/>
          <cell r="AE16">
            <v>0.96677429819089211</v>
          </cell>
          <cell r="AF16">
            <v>0.96677429819089211</v>
          </cell>
          <cell r="AG16"/>
        </row>
        <row r="17">
          <cell r="B17">
            <v>39203</v>
          </cell>
          <cell r="C17"/>
          <cell r="D17">
            <v>24658.65</v>
          </cell>
          <cell r="E17">
            <v>25000</v>
          </cell>
          <cell r="F17">
            <v>0.98634600000000006</v>
          </cell>
          <cell r="G17" t="str">
            <v>g</v>
          </cell>
          <cell r="H17" t="str">
            <v>c</v>
          </cell>
          <cell r="I17" t="str">
            <v>c</v>
          </cell>
          <cell r="J17">
            <v>0.85</v>
          </cell>
          <cell r="K17">
            <v>0.7</v>
          </cell>
          <cell r="L17">
            <v>179632.57</v>
          </cell>
          <cell r="M17">
            <v>185300</v>
          </cell>
          <cell r="N17">
            <v>0.96941484079870488</v>
          </cell>
          <cell r="O17" t="str">
            <v>g</v>
          </cell>
          <cell r="P17" t="str">
            <v>c</v>
          </cell>
          <cell r="Q17" t="str">
            <v>c</v>
          </cell>
          <cell r="R17">
            <v>0.85</v>
          </cell>
          <cell r="S17">
            <v>0.7</v>
          </cell>
          <cell r="T17"/>
          <cell r="U17"/>
          <cell r="V17">
            <v>39203</v>
          </cell>
          <cell r="W17"/>
          <cell r="X17">
            <v>0.98634600000000006</v>
          </cell>
          <cell r="Y17">
            <v>0.98634600000000006</v>
          </cell>
          <cell r="Z17"/>
          <cell r="AA17"/>
          <cell r="AB17"/>
          <cell r="AC17">
            <v>39203</v>
          </cell>
          <cell r="AD17"/>
          <cell r="AE17">
            <v>0.96941484079870488</v>
          </cell>
          <cell r="AF17">
            <v>0.96941484079870488</v>
          </cell>
          <cell r="AG17"/>
        </row>
        <row r="18">
          <cell r="B18">
            <v>39234</v>
          </cell>
          <cell r="C18"/>
          <cell r="D18">
            <v>178718.95</v>
          </cell>
          <cell r="E18">
            <v>180000</v>
          </cell>
          <cell r="F18">
            <v>0.99288305555555567</v>
          </cell>
          <cell r="G18" t="str">
            <v>g</v>
          </cell>
          <cell r="H18" t="str">
            <v>c</v>
          </cell>
          <cell r="I18" t="str">
            <v>c</v>
          </cell>
          <cell r="J18">
            <v>0.85</v>
          </cell>
          <cell r="K18">
            <v>0.7</v>
          </cell>
          <cell r="L18">
            <v>358351.52</v>
          </cell>
          <cell r="M18">
            <v>365300</v>
          </cell>
          <cell r="N18">
            <v>0.98097870243635377</v>
          </cell>
          <cell r="O18" t="str">
            <v>g</v>
          </cell>
          <cell r="P18" t="str">
            <v>c</v>
          </cell>
          <cell r="Q18" t="str">
            <v>c</v>
          </cell>
          <cell r="R18">
            <v>0.85</v>
          </cell>
          <cell r="S18">
            <v>0.7</v>
          </cell>
          <cell r="T18"/>
          <cell r="U18"/>
          <cell r="V18">
            <v>39234</v>
          </cell>
          <cell r="W18"/>
          <cell r="X18">
            <v>0.99288305555555567</v>
          </cell>
          <cell r="Y18">
            <v>0.99288305555555567</v>
          </cell>
          <cell r="Z18"/>
          <cell r="AA18"/>
          <cell r="AB18"/>
          <cell r="AC18">
            <v>39234</v>
          </cell>
          <cell r="AD18"/>
          <cell r="AE18">
            <v>0.98097870243635377</v>
          </cell>
          <cell r="AF18">
            <v>0.98097870243635377</v>
          </cell>
          <cell r="AG18"/>
        </row>
        <row r="19">
          <cell r="B19">
            <v>39264</v>
          </cell>
          <cell r="C19"/>
          <cell r="D19">
            <v>419690.39</v>
          </cell>
          <cell r="E19">
            <v>500000</v>
          </cell>
          <cell r="F19">
            <v>0.83938078000000005</v>
          </cell>
          <cell r="G19" t="str">
            <v>c</v>
          </cell>
          <cell r="H19" t="str">
            <v>g</v>
          </cell>
          <cell r="I19" t="str">
            <v>c</v>
          </cell>
          <cell r="J19">
            <v>0.85</v>
          </cell>
          <cell r="K19">
            <v>0.7</v>
          </cell>
          <cell r="L19">
            <v>778041.91</v>
          </cell>
          <cell r="M19">
            <v>865300</v>
          </cell>
          <cell r="N19">
            <v>0.89915856928232984</v>
          </cell>
          <cell r="O19" t="str">
            <v>g</v>
          </cell>
          <cell r="P19" t="str">
            <v>c</v>
          </cell>
          <cell r="Q19" t="str">
            <v>c</v>
          </cell>
          <cell r="R19">
            <v>0.85</v>
          </cell>
          <cell r="S19">
            <v>0.7</v>
          </cell>
          <cell r="T19"/>
          <cell r="U19"/>
          <cell r="V19">
            <v>39264</v>
          </cell>
          <cell r="W19"/>
          <cell r="X19">
            <v>0.83938078000000005</v>
          </cell>
          <cell r="Y19">
            <v>0.83938078000000005</v>
          </cell>
          <cell r="Z19"/>
          <cell r="AA19"/>
          <cell r="AB19"/>
          <cell r="AC19">
            <v>39264</v>
          </cell>
          <cell r="AD19"/>
          <cell r="AE19">
            <v>0.89915856928232984</v>
          </cell>
          <cell r="AF19">
            <v>0.89915856928232984</v>
          </cell>
          <cell r="AG19"/>
        </row>
        <row r="20">
          <cell r="B20">
            <v>39295</v>
          </cell>
          <cell r="C20"/>
          <cell r="D20">
            <v>1911109.18</v>
          </cell>
          <cell r="E20">
            <v>1500000</v>
          </cell>
          <cell r="F20">
            <v>1.2740727866666666</v>
          </cell>
          <cell r="G20" t="str">
            <v>g</v>
          </cell>
          <cell r="H20" t="str">
            <v>c</v>
          </cell>
          <cell r="I20" t="str">
            <v>c</v>
          </cell>
          <cell r="J20">
            <v>0.85</v>
          </cell>
          <cell r="K20">
            <v>0.7</v>
          </cell>
          <cell r="L20">
            <v>2689151.09</v>
          </cell>
          <cell r="M20">
            <v>2365300</v>
          </cell>
          <cell r="N20">
            <v>1.1369175537986724</v>
          </cell>
          <cell r="O20" t="str">
            <v>g</v>
          </cell>
          <cell r="P20" t="str">
            <v>c</v>
          </cell>
          <cell r="Q20" t="str">
            <v>c</v>
          </cell>
          <cell r="R20">
            <v>0.85</v>
          </cell>
          <cell r="S20">
            <v>0.7</v>
          </cell>
          <cell r="T20"/>
          <cell r="U20"/>
          <cell r="V20">
            <v>39295</v>
          </cell>
          <cell r="W20"/>
          <cell r="X20">
            <v>1.2740727866666666</v>
          </cell>
          <cell r="Y20">
            <v>1.2740727866666666</v>
          </cell>
          <cell r="Z20"/>
          <cell r="AA20"/>
          <cell r="AB20"/>
          <cell r="AC20">
            <v>39295</v>
          </cell>
          <cell r="AD20"/>
          <cell r="AE20">
            <v>1.1369175537986724</v>
          </cell>
          <cell r="AF20">
            <v>1.1369175537986724</v>
          </cell>
          <cell r="AG20"/>
        </row>
        <row r="21">
          <cell r="B21">
            <v>39326</v>
          </cell>
          <cell r="C21"/>
          <cell r="D21">
            <v>185597.74</v>
          </cell>
          <cell r="E21">
            <v>190000</v>
          </cell>
          <cell r="F21">
            <v>0.97683021052631569</v>
          </cell>
          <cell r="G21" t="str">
            <v>g</v>
          </cell>
          <cell r="H21" t="str">
            <v>c</v>
          </cell>
          <cell r="I21" t="str">
            <v>c</v>
          </cell>
          <cell r="J21">
            <v>0.85</v>
          </cell>
          <cell r="K21">
            <v>0.7</v>
          </cell>
          <cell r="L21">
            <v>2874748.83</v>
          </cell>
          <cell r="M21">
            <v>2555300</v>
          </cell>
          <cell r="N21">
            <v>1.1250142175087074</v>
          </cell>
          <cell r="O21" t="str">
            <v>g</v>
          </cell>
          <cell r="P21" t="str">
            <v>c</v>
          </cell>
          <cell r="Q21" t="str">
            <v>c</v>
          </cell>
          <cell r="R21">
            <v>0.85</v>
          </cell>
          <cell r="S21">
            <v>0.7</v>
          </cell>
          <cell r="T21"/>
          <cell r="U21"/>
          <cell r="V21">
            <v>39326</v>
          </cell>
          <cell r="W21"/>
          <cell r="X21">
            <v>0.97683021052631569</v>
          </cell>
          <cell r="Y21">
            <v>0.97683021052631569</v>
          </cell>
          <cell r="Z21"/>
          <cell r="AA21"/>
          <cell r="AB21"/>
          <cell r="AC21">
            <v>39326</v>
          </cell>
          <cell r="AD21"/>
          <cell r="AE21">
            <v>1.1250142175087074</v>
          </cell>
          <cell r="AF21">
            <v>1.1250142175087074</v>
          </cell>
          <cell r="AG21"/>
        </row>
        <row r="22">
          <cell r="B22">
            <v>39356</v>
          </cell>
          <cell r="C22"/>
          <cell r="D22">
            <v>191865.82</v>
          </cell>
          <cell r="E22">
            <v>200000</v>
          </cell>
          <cell r="F22">
            <v>0.95932910000000005</v>
          </cell>
          <cell r="G22" t="str">
            <v>g</v>
          </cell>
          <cell r="H22" t="str">
            <v>c</v>
          </cell>
          <cell r="I22" t="str">
            <v>c</v>
          </cell>
          <cell r="J22">
            <v>0.85</v>
          </cell>
          <cell r="K22">
            <v>0.7</v>
          </cell>
          <cell r="L22">
            <v>3066614.65</v>
          </cell>
          <cell r="M22">
            <v>2755300</v>
          </cell>
          <cell r="N22">
            <v>1.1129875694116793</v>
          </cell>
          <cell r="O22" t="str">
            <v>g</v>
          </cell>
          <cell r="P22" t="str">
            <v>c</v>
          </cell>
          <cell r="Q22" t="str">
            <v>c</v>
          </cell>
          <cell r="R22">
            <v>0.85</v>
          </cell>
          <cell r="S22">
            <v>0.7</v>
          </cell>
          <cell r="T22"/>
          <cell r="U22"/>
          <cell r="V22">
            <v>39356</v>
          </cell>
          <cell r="W22"/>
          <cell r="X22">
            <v>0.95932910000000005</v>
          </cell>
          <cell r="Y22">
            <v>0.95932910000000005</v>
          </cell>
          <cell r="Z22"/>
          <cell r="AA22"/>
          <cell r="AB22"/>
          <cell r="AC22">
            <v>39356</v>
          </cell>
          <cell r="AD22"/>
          <cell r="AE22">
            <v>1.1129875694116793</v>
          </cell>
          <cell r="AF22">
            <v>1.1129875694116793</v>
          </cell>
          <cell r="AG22"/>
        </row>
        <row r="23">
          <cell r="B23">
            <v>39387</v>
          </cell>
          <cell r="C23"/>
          <cell r="D23">
            <v>1473356.36</v>
          </cell>
          <cell r="E23">
            <v>1500000</v>
          </cell>
          <cell r="F23">
            <v>0.98223757333333339</v>
          </cell>
          <cell r="G23" t="str">
            <v>g</v>
          </cell>
          <cell r="H23" t="str">
            <v>c</v>
          </cell>
          <cell r="I23" t="str">
            <v>c</v>
          </cell>
          <cell r="J23">
            <v>0.85</v>
          </cell>
          <cell r="K23">
            <v>0.7</v>
          </cell>
          <cell r="L23">
            <v>4539971.01</v>
          </cell>
          <cell r="M23">
            <v>4255300</v>
          </cell>
          <cell r="N23">
            <v>1.0668979883909477</v>
          </cell>
          <cell r="O23" t="str">
            <v>g</v>
          </cell>
          <cell r="P23" t="str">
            <v>c</v>
          </cell>
          <cell r="Q23" t="str">
            <v>c</v>
          </cell>
          <cell r="R23">
            <v>0.85</v>
          </cell>
          <cell r="S23">
            <v>0.7</v>
          </cell>
          <cell r="T23"/>
          <cell r="U23"/>
          <cell r="V23">
            <v>39387</v>
          </cell>
          <cell r="W23"/>
          <cell r="X23">
            <v>0.98223757333333339</v>
          </cell>
          <cell r="Y23">
            <v>0.98223757333333339</v>
          </cell>
          <cell r="Z23"/>
          <cell r="AA23"/>
          <cell r="AB23"/>
          <cell r="AC23">
            <v>39387</v>
          </cell>
          <cell r="AD23"/>
          <cell r="AE23">
            <v>1.0668979883909477</v>
          </cell>
          <cell r="AF23">
            <v>1.0668979883909477</v>
          </cell>
          <cell r="AG23"/>
        </row>
        <row r="24">
          <cell r="B24">
            <v>39417</v>
          </cell>
          <cell r="C24"/>
          <cell r="D24">
            <v>1800766.57</v>
          </cell>
          <cell r="E24">
            <v>1600000</v>
          </cell>
          <cell r="F24">
            <v>1.12547910625</v>
          </cell>
          <cell r="G24" t="str">
            <v>g</v>
          </cell>
          <cell r="H24" t="str">
            <v>c</v>
          </cell>
          <cell r="I24" t="str">
            <v>c</v>
          </cell>
          <cell r="J24">
            <v>0.85</v>
          </cell>
          <cell r="K24">
            <v>0.7</v>
          </cell>
          <cell r="L24">
            <v>6340737.5800000001</v>
          </cell>
          <cell r="M24">
            <v>5855300</v>
          </cell>
          <cell r="N24">
            <v>1.0829056717845371</v>
          </cell>
          <cell r="O24" t="str">
            <v>g</v>
          </cell>
          <cell r="P24" t="str">
            <v>c</v>
          </cell>
          <cell r="Q24" t="str">
            <v>c</v>
          </cell>
          <cell r="R24">
            <v>0.85</v>
          </cell>
          <cell r="S24">
            <v>0.7</v>
          </cell>
          <cell r="T24"/>
          <cell r="U24"/>
          <cell r="V24">
            <v>39417</v>
          </cell>
          <cell r="W24"/>
          <cell r="X24">
            <v>1.12547910625</v>
          </cell>
          <cell r="Y24">
            <v>1.12547910625</v>
          </cell>
          <cell r="Z24"/>
          <cell r="AA24"/>
          <cell r="AB24"/>
          <cell r="AC24">
            <v>39417</v>
          </cell>
          <cell r="AD24"/>
          <cell r="AE24">
            <v>1.0829056717845371</v>
          </cell>
          <cell r="AF24">
            <v>1.0829056717845371</v>
          </cell>
          <cell r="AG24"/>
        </row>
        <row r="25">
          <cell r="B25">
            <v>39448</v>
          </cell>
          <cell r="C25"/>
          <cell r="D25">
            <v>346832</v>
          </cell>
          <cell r="E25">
            <v>373628.83333333331</v>
          </cell>
          <cell r="F25">
            <v>0.92827953588521228</v>
          </cell>
          <cell r="G25" t="str">
            <v>g</v>
          </cell>
          <cell r="H25" t="str">
            <v>c</v>
          </cell>
          <cell r="I25" t="str">
            <v>c</v>
          </cell>
          <cell r="J25">
            <v>0.85</v>
          </cell>
          <cell r="K25">
            <v>0.7</v>
          </cell>
          <cell r="L25">
            <v>346832</v>
          </cell>
          <cell r="M25">
            <v>373628.83333333331</v>
          </cell>
          <cell r="N25">
            <v>0.92827953588521228</v>
          </cell>
          <cell r="O25" t="str">
            <v>g</v>
          </cell>
          <cell r="P25" t="str">
            <v>c</v>
          </cell>
          <cell r="Q25" t="str">
            <v>c</v>
          </cell>
          <cell r="R25">
            <v>0.85</v>
          </cell>
          <cell r="S25">
            <v>0.7</v>
          </cell>
          <cell r="T25"/>
          <cell r="U25"/>
          <cell r="V25">
            <v>39448</v>
          </cell>
          <cell r="W25"/>
          <cell r="X25">
            <v>0.92827953588521228</v>
          </cell>
          <cell r="Y25">
            <v>0.92827953588521228</v>
          </cell>
          <cell r="Z25"/>
          <cell r="AA25"/>
          <cell r="AB25"/>
          <cell r="AC25">
            <v>39448</v>
          </cell>
          <cell r="AD25"/>
          <cell r="AE25">
            <v>0.92827953588521228</v>
          </cell>
          <cell r="AF25">
            <v>0.92827953588521228</v>
          </cell>
          <cell r="AG25"/>
        </row>
        <row r="26">
          <cell r="B26">
            <v>39479</v>
          </cell>
          <cell r="C26"/>
          <cell r="D26">
            <v>606665</v>
          </cell>
          <cell r="E26">
            <v>1245693.9166666667</v>
          </cell>
          <cell r="F26">
            <v>0.48700968342477385</v>
          </cell>
          <cell r="G26" t="str">
            <v>c</v>
          </cell>
          <cell r="H26" t="str">
            <v>c</v>
          </cell>
          <cell r="I26" t="str">
            <v>g</v>
          </cell>
          <cell r="J26">
            <v>0.85</v>
          </cell>
          <cell r="K26">
            <v>0.7</v>
          </cell>
          <cell r="L26">
            <v>953497</v>
          </cell>
          <cell r="M26">
            <v>1619322.75</v>
          </cell>
          <cell r="N26">
            <v>0.58882455643879517</v>
          </cell>
          <cell r="O26" t="str">
            <v>c</v>
          </cell>
          <cell r="P26" t="str">
            <v>c</v>
          </cell>
          <cell r="Q26" t="str">
            <v>g</v>
          </cell>
          <cell r="R26">
            <v>0.85</v>
          </cell>
          <cell r="S26">
            <v>0.7</v>
          </cell>
          <cell r="T26"/>
          <cell r="U26"/>
          <cell r="V26">
            <v>39479</v>
          </cell>
          <cell r="W26"/>
          <cell r="X26">
            <v>0.48700968342477385</v>
          </cell>
          <cell r="Y26">
            <v>0.48700968342477385</v>
          </cell>
          <cell r="Z26"/>
          <cell r="AA26"/>
          <cell r="AB26"/>
          <cell r="AC26">
            <v>39479</v>
          </cell>
          <cell r="AD26"/>
          <cell r="AE26">
            <v>0.58882455643879517</v>
          </cell>
          <cell r="AF26">
            <v>0.58882455643879517</v>
          </cell>
          <cell r="AG26"/>
        </row>
        <row r="27">
          <cell r="B27">
            <v>39508</v>
          </cell>
          <cell r="C27"/>
          <cell r="D27">
            <v>825135.08349762694</v>
          </cell>
          <cell r="E27">
            <v>893268.91666666663</v>
          </cell>
          <cell r="F27">
            <v>0.9237252837328217</v>
          </cell>
          <cell r="G27" t="str">
            <v>g</v>
          </cell>
          <cell r="H27" t="str">
            <v>c</v>
          </cell>
          <cell r="I27" t="str">
            <v>c</v>
          </cell>
          <cell r="J27">
            <v>0.85</v>
          </cell>
          <cell r="K27">
            <v>0.7</v>
          </cell>
          <cell r="L27">
            <v>1778632.0834976269</v>
          </cell>
          <cell r="M27">
            <v>2512591.6666666665</v>
          </cell>
          <cell r="N27">
            <v>0.70788744032461581</v>
          </cell>
          <cell r="O27" t="str">
            <v>c</v>
          </cell>
          <cell r="P27" t="str">
            <v>g</v>
          </cell>
          <cell r="Q27" t="str">
            <v>c</v>
          </cell>
          <cell r="R27">
            <v>0.85</v>
          </cell>
          <cell r="S27">
            <v>0.7</v>
          </cell>
          <cell r="T27"/>
          <cell r="U27"/>
          <cell r="V27">
            <v>39508</v>
          </cell>
          <cell r="W27">
            <v>1.0009708737864078</v>
          </cell>
          <cell r="X27">
            <v>0.9237252837328217</v>
          </cell>
          <cell r="Y27">
            <v>-7.7245590053586111E-2</v>
          </cell>
          <cell r="Z27">
            <v>-7.7170667075842525E-2</v>
          </cell>
          <cell r="AA27"/>
          <cell r="AB27"/>
          <cell r="AC27">
            <v>39508</v>
          </cell>
          <cell r="AD27">
            <v>1.0009708737864078</v>
          </cell>
          <cell r="AE27">
            <v>0.70788744032461581</v>
          </cell>
          <cell r="AF27">
            <v>-0.293083433461792</v>
          </cell>
          <cell r="AG27">
            <v>-0.29279916243030624</v>
          </cell>
        </row>
        <row r="28">
          <cell r="B28">
            <v>39539</v>
          </cell>
          <cell r="C28"/>
          <cell r="D28">
            <v>933883.41264204553</v>
          </cell>
          <cell r="E28">
            <v>768226.66666666663</v>
          </cell>
          <cell r="F28">
            <v>1.2156352456419706</v>
          </cell>
          <cell r="G28" t="str">
            <v>g</v>
          </cell>
          <cell r="H28" t="str">
            <v>c</v>
          </cell>
          <cell r="I28" t="str">
            <v>c</v>
          </cell>
          <cell r="J28">
            <v>0.85</v>
          </cell>
          <cell r="K28">
            <v>0.7</v>
          </cell>
          <cell r="L28">
            <v>2712515.4961396726</v>
          </cell>
          <cell r="M28">
            <v>3280818.333333333</v>
          </cell>
          <cell r="N28">
            <v>0.82678015682256289</v>
          </cell>
          <cell r="O28" t="str">
            <v>c</v>
          </cell>
          <cell r="P28" t="str">
            <v>g</v>
          </cell>
          <cell r="Q28" t="str">
            <v>c</v>
          </cell>
          <cell r="R28">
            <v>0.85</v>
          </cell>
          <cell r="S28">
            <v>0.7</v>
          </cell>
          <cell r="T28"/>
          <cell r="U28"/>
          <cell r="V28">
            <v>39539</v>
          </cell>
          <cell r="W28">
            <v>0.96442613333333338</v>
          </cell>
          <cell r="X28">
            <v>1.2156352456419706</v>
          </cell>
          <cell r="Y28">
            <v>0.25120911230863718</v>
          </cell>
          <cell r="Z28">
            <v>0.26047522316757066</v>
          </cell>
          <cell r="AA28"/>
          <cell r="AB28">
            <v>3.5546497486847786</v>
          </cell>
          <cell r="AC28">
            <v>39539</v>
          </cell>
          <cell r="AD28">
            <v>0.96677429819089211</v>
          </cell>
          <cell r="AE28">
            <v>0.82678015682256289</v>
          </cell>
          <cell r="AF28">
            <v>-0.13999414136832922</v>
          </cell>
          <cell r="AG28">
            <v>-0.14480540249187202</v>
          </cell>
        </row>
        <row r="29">
          <cell r="B29">
            <v>39569</v>
          </cell>
          <cell r="C29"/>
          <cell r="D29">
            <v>964039.820738137</v>
          </cell>
          <cell r="E29">
            <v>875806.66666666663</v>
          </cell>
          <cell r="F29">
            <v>1.1007450130601164</v>
          </cell>
          <cell r="G29" t="str">
            <v>g</v>
          </cell>
          <cell r="H29" t="str">
            <v>c</v>
          </cell>
          <cell r="I29" t="str">
            <v>c</v>
          </cell>
          <cell r="J29">
            <v>0.85</v>
          </cell>
          <cell r="K29">
            <v>0.7</v>
          </cell>
          <cell r="L29">
            <v>3676555.3168778094</v>
          </cell>
          <cell r="M29">
            <v>4156624.9999999995</v>
          </cell>
          <cell r="N29">
            <v>0.88450493293905752</v>
          </cell>
          <cell r="O29" t="str">
            <v>g</v>
          </cell>
          <cell r="P29" t="str">
            <v>c</v>
          </cell>
          <cell r="Q29" t="str">
            <v>c</v>
          </cell>
          <cell r="R29">
            <v>0.85</v>
          </cell>
          <cell r="S29">
            <v>0.7</v>
          </cell>
          <cell r="T29"/>
          <cell r="U29"/>
          <cell r="V29">
            <v>39569</v>
          </cell>
          <cell r="W29">
            <v>0.98634600000000006</v>
          </cell>
          <cell r="X29">
            <v>1.1007450130601164</v>
          </cell>
          <cell r="Y29">
            <v>0.11439901306011635</v>
          </cell>
          <cell r="Z29">
            <v>0.11598264002704561</v>
          </cell>
          <cell r="AA29"/>
          <cell r="AB29">
            <v>4.655394761744895</v>
          </cell>
          <cell r="AC29">
            <v>39569</v>
          </cell>
          <cell r="AD29">
            <v>0.96941484079870488</v>
          </cell>
          <cell r="AE29">
            <v>0.88450493293905752</v>
          </cell>
          <cell r="AF29">
            <v>-8.490990785964736E-2</v>
          </cell>
          <cell r="AG29">
            <v>-8.7588826048598301E-2</v>
          </cell>
        </row>
        <row r="30">
          <cell r="B30">
            <v>39600</v>
          </cell>
          <cell r="C30"/>
          <cell r="D30">
            <v>275186</v>
          </cell>
          <cell r="E30">
            <v>807455.83333333326</v>
          </cell>
          <cell r="F30">
            <v>0.34080625668896236</v>
          </cell>
          <cell r="G30" t="str">
            <v>c</v>
          </cell>
          <cell r="H30" t="str">
            <v>c</v>
          </cell>
          <cell r="I30" t="str">
            <v>g</v>
          </cell>
          <cell r="J30">
            <v>0.85</v>
          </cell>
          <cell r="K30">
            <v>0.7</v>
          </cell>
          <cell r="L30">
            <v>3951741.3168778094</v>
          </cell>
          <cell r="M30">
            <v>4964080.833333333</v>
          </cell>
          <cell r="N30">
            <v>0.79606707657583664</v>
          </cell>
          <cell r="O30" t="str">
            <v>c</v>
          </cell>
          <cell r="P30" t="str">
            <v>g</v>
          </cell>
          <cell r="Q30" t="str">
            <v>c</v>
          </cell>
          <cell r="R30">
            <v>0.85</v>
          </cell>
          <cell r="S30">
            <v>0.7</v>
          </cell>
          <cell r="T30"/>
          <cell r="U30"/>
          <cell r="V30">
            <v>39600</v>
          </cell>
          <cell r="W30">
            <v>0.99288305555555567</v>
          </cell>
          <cell r="X30">
            <v>0.34080625668896236</v>
          </cell>
          <cell r="Y30">
            <v>-0.65207679886659331</v>
          </cell>
          <cell r="Z30">
            <v>-0.65675085823851798</v>
          </cell>
          <cell r="AA30"/>
          <cell r="AB30">
            <v>4.9962010184338572</v>
          </cell>
          <cell r="AC30">
            <v>39600</v>
          </cell>
          <cell r="AD30">
            <v>0.98097870243635377</v>
          </cell>
          <cell r="AE30">
            <v>0.79606707657583664</v>
          </cell>
          <cell r="AF30">
            <v>-0.18491162586051713</v>
          </cell>
          <cell r="AG30">
            <v>-0.1884970850042631</v>
          </cell>
        </row>
        <row r="31">
          <cell r="B31">
            <v>39630</v>
          </cell>
          <cell r="C31"/>
          <cell r="D31">
            <v>212858</v>
          </cell>
          <cell r="E31">
            <v>841330.83333333326</v>
          </cell>
          <cell r="F31">
            <v>0.25300154418049975</v>
          </cell>
          <cell r="G31" t="str">
            <v>c</v>
          </cell>
          <cell r="H31" t="str">
            <v>c</v>
          </cell>
          <cell r="I31" t="str">
            <v>g</v>
          </cell>
          <cell r="J31">
            <v>0.85</v>
          </cell>
          <cell r="K31">
            <v>0.7</v>
          </cell>
          <cell r="L31">
            <v>4164599.3168778094</v>
          </cell>
          <cell r="M31">
            <v>5805411.666666666</v>
          </cell>
          <cell r="N31">
            <v>0.71736503042324762</v>
          </cell>
          <cell r="O31" t="str">
            <v>c</v>
          </cell>
          <cell r="P31" t="str">
            <v>g</v>
          </cell>
          <cell r="Q31" t="str">
            <v>c</v>
          </cell>
          <cell r="R31">
            <v>0.85</v>
          </cell>
          <cell r="S31">
            <v>0.7</v>
          </cell>
          <cell r="T31"/>
          <cell r="U31"/>
          <cell r="V31">
            <v>39630</v>
          </cell>
          <cell r="W31">
            <v>0.83938078000000005</v>
          </cell>
          <cell r="X31">
            <v>0.25300154418049975</v>
          </cell>
          <cell r="Y31">
            <v>-0.58637923581950036</v>
          </cell>
          <cell r="Z31">
            <v>-0.69858549277182669</v>
          </cell>
          <cell r="AA31"/>
          <cell r="AB31">
            <v>5.2492025626143572</v>
          </cell>
          <cell r="AC31">
            <v>39630</v>
          </cell>
          <cell r="AD31">
            <v>0.89915856928232984</v>
          </cell>
          <cell r="AE31">
            <v>0.71736503042324762</v>
          </cell>
          <cell r="AF31">
            <v>-0.18179353885908223</v>
          </cell>
          <cell r="AG31">
            <v>-0.20218184541596718</v>
          </cell>
        </row>
        <row r="32">
          <cell r="B32">
            <v>39661</v>
          </cell>
          <cell r="C32"/>
          <cell r="D32">
            <v>441138</v>
          </cell>
          <cell r="E32">
            <v>764498</v>
          </cell>
          <cell r="F32">
            <v>0.57702963251702422</v>
          </cell>
          <cell r="G32" t="str">
            <v>c</v>
          </cell>
          <cell r="H32" t="str">
            <v>c</v>
          </cell>
          <cell r="I32" t="str">
            <v>g</v>
          </cell>
          <cell r="J32">
            <v>0.85</v>
          </cell>
          <cell r="K32">
            <v>0.7</v>
          </cell>
          <cell r="L32">
            <v>4605737.3168778094</v>
          </cell>
          <cell r="M32">
            <v>6569909.666666666</v>
          </cell>
          <cell r="N32">
            <v>0.70103510558838378</v>
          </cell>
          <cell r="O32" t="str">
            <v>c</v>
          </cell>
          <cell r="P32" t="str">
            <v>g</v>
          </cell>
          <cell r="Q32" t="str">
            <v>c</v>
          </cell>
          <cell r="R32">
            <v>0.85</v>
          </cell>
          <cell r="S32">
            <v>0.7</v>
          </cell>
          <cell r="T32"/>
          <cell r="U32"/>
          <cell r="V32">
            <v>39661</v>
          </cell>
          <cell r="W32">
            <v>1.2740727866666666</v>
          </cell>
          <cell r="X32">
            <v>0.57702963251702422</v>
          </cell>
          <cell r="Y32">
            <v>-0.69704315414964235</v>
          </cell>
          <cell r="Z32">
            <v>-0.54709837730174238</v>
          </cell>
          <cell r="AA32"/>
          <cell r="AB32">
            <v>5.8262321951313814</v>
          </cell>
          <cell r="AC32">
            <v>39661</v>
          </cell>
          <cell r="AD32">
            <v>1.1369175537986724</v>
          </cell>
          <cell r="AE32">
            <v>0.70103510558838378</v>
          </cell>
          <cell r="AF32">
            <v>-0.43588244821028865</v>
          </cell>
          <cell r="AG32">
            <v>-0.38338967214809627</v>
          </cell>
        </row>
        <row r="33">
          <cell r="B33">
            <v>39692</v>
          </cell>
          <cell r="C33"/>
          <cell r="D33">
            <v>292821.389027172</v>
          </cell>
          <cell r="E33">
            <v>464747.5</v>
          </cell>
          <cell r="F33">
            <v>0.63006554963108352</v>
          </cell>
          <cell r="G33" t="str">
            <v>c</v>
          </cell>
          <cell r="H33" t="str">
            <v>c</v>
          </cell>
          <cell r="I33" t="str">
            <v>g</v>
          </cell>
          <cell r="J33">
            <v>0.85</v>
          </cell>
          <cell r="K33">
            <v>0.7</v>
          </cell>
          <cell r="L33">
            <v>4898558.7059049811</v>
          </cell>
          <cell r="M33">
            <v>7034657.166666666</v>
          </cell>
          <cell r="N33">
            <v>0.69634647287667839</v>
          </cell>
          <cell r="O33" t="str">
            <v>c</v>
          </cell>
          <cell r="P33" t="str">
            <v>c</v>
          </cell>
          <cell r="Q33" t="str">
            <v>g</v>
          </cell>
          <cell r="R33">
            <v>0.85</v>
          </cell>
          <cell r="S33">
            <v>0.7</v>
          </cell>
          <cell r="T33"/>
          <cell r="U33"/>
          <cell r="V33">
            <v>39692</v>
          </cell>
          <cell r="W33">
            <v>0.97683021052631569</v>
          </cell>
          <cell r="X33"/>
          <cell r="Y33"/>
          <cell r="Z33"/>
          <cell r="AA33"/>
          <cell r="AB33" t="str">
            <v/>
          </cell>
          <cell r="AC33">
            <v>39692</v>
          </cell>
          <cell r="AD33">
            <v>1.1250142175087074</v>
          </cell>
          <cell r="AE33">
            <v>0.69634647287667839</v>
          </cell>
          <cell r="AF33">
            <v>-0.42866774463202906</v>
          </cell>
          <cell r="AG33">
            <v>-0.38103317981286866</v>
          </cell>
        </row>
        <row r="34">
          <cell r="B34">
            <v>39722</v>
          </cell>
          <cell r="C34"/>
          <cell r="D34">
            <v>251970.89</v>
          </cell>
          <cell r="E34">
            <v>436897.5</v>
          </cell>
          <cell r="F34">
            <v>0.5767276992887348</v>
          </cell>
          <cell r="G34" t="str">
            <v>c</v>
          </cell>
          <cell r="H34" t="str">
            <v>c</v>
          </cell>
          <cell r="I34" t="str">
            <v>g</v>
          </cell>
          <cell r="J34">
            <v>0.85</v>
          </cell>
          <cell r="K34">
            <v>0.7</v>
          </cell>
          <cell r="L34">
            <v>5150529.5959049808</v>
          </cell>
          <cell r="M34">
            <v>7471554.666666666</v>
          </cell>
          <cell r="N34">
            <v>0.68935179165366667</v>
          </cell>
          <cell r="O34" t="str">
            <v>c</v>
          </cell>
          <cell r="P34" t="str">
            <v>c</v>
          </cell>
          <cell r="Q34" t="str">
            <v>g</v>
          </cell>
          <cell r="R34">
            <v>0.85</v>
          </cell>
          <cell r="S34">
            <v>0.7</v>
          </cell>
          <cell r="T34"/>
          <cell r="U34"/>
          <cell r="V34">
            <v>39722</v>
          </cell>
          <cell r="W34">
            <v>0.95932910000000005</v>
          </cell>
          <cell r="X34"/>
          <cell r="Y34"/>
          <cell r="Z34"/>
          <cell r="AA34"/>
          <cell r="AB34" t="str">
            <v/>
          </cell>
          <cell r="AC34">
            <v>39722</v>
          </cell>
          <cell r="AD34">
            <v>1.1129875694116793</v>
          </cell>
          <cell r="AE34">
            <v>0.68935179165366667</v>
          </cell>
          <cell r="AF34">
            <v>-0.42363577775801264</v>
          </cell>
          <cell r="AG34">
            <v>-0.38062938832456572</v>
          </cell>
        </row>
        <row r="35">
          <cell r="B35">
            <v>39753</v>
          </cell>
          <cell r="C35"/>
          <cell r="D35">
            <v>456814.02</v>
          </cell>
          <cell r="E35">
            <v>219897.5</v>
          </cell>
          <cell r="F35">
            <v>2.0773952409645404</v>
          </cell>
          <cell r="G35" t="str">
            <v>g</v>
          </cell>
          <cell r="H35" t="str">
            <v>c</v>
          </cell>
          <cell r="I35" t="str">
            <v>c</v>
          </cell>
          <cell r="J35">
            <v>0.85</v>
          </cell>
          <cell r="K35">
            <v>0.7</v>
          </cell>
          <cell r="L35">
            <v>5607343.6159049813</v>
          </cell>
          <cell r="M35">
            <v>7691452.166666666</v>
          </cell>
          <cell r="N35">
            <v>0.72903575220894867</v>
          </cell>
          <cell r="O35" t="str">
            <v>c</v>
          </cell>
          <cell r="P35" t="str">
            <v>g</v>
          </cell>
          <cell r="Q35" t="str">
            <v>c</v>
          </cell>
          <cell r="R35">
            <v>0.85</v>
          </cell>
          <cell r="S35">
            <v>0.7</v>
          </cell>
          <cell r="T35"/>
          <cell r="U35"/>
          <cell r="V35">
            <v>39753</v>
          </cell>
          <cell r="W35">
            <v>0.98223757333333339</v>
          </cell>
          <cell r="X35"/>
          <cell r="Y35"/>
          <cell r="Z35"/>
          <cell r="AA35"/>
          <cell r="AB35" t="str">
            <v/>
          </cell>
          <cell r="AC35">
            <v>39753</v>
          </cell>
          <cell r="AD35">
            <v>1.0668979883909477</v>
          </cell>
          <cell r="AE35">
            <v>0.72903575220894867</v>
          </cell>
          <cell r="AF35">
            <v>-0.33786223618199906</v>
          </cell>
          <cell r="AG35">
            <v>-0.31667717050582234</v>
          </cell>
        </row>
        <row r="36">
          <cell r="B36">
            <v>39783</v>
          </cell>
          <cell r="C36"/>
          <cell r="D36">
            <v>310506.18</v>
          </cell>
          <cell r="E36">
            <v>167083.33333333331</v>
          </cell>
          <cell r="F36">
            <v>1.8583911022443893</v>
          </cell>
          <cell r="G36" t="str">
            <v>g</v>
          </cell>
          <cell r="H36" t="str">
            <v>c</v>
          </cell>
          <cell r="I36" t="str">
            <v>c</v>
          </cell>
          <cell r="J36">
            <v>0.85</v>
          </cell>
          <cell r="K36">
            <v>0.7</v>
          </cell>
          <cell r="L36">
            <v>5917849.795904981</v>
          </cell>
          <cell r="M36">
            <v>7858535.4999999991</v>
          </cell>
          <cell r="N36">
            <v>0.75304740888489741</v>
          </cell>
          <cell r="O36" t="str">
            <v>c</v>
          </cell>
          <cell r="P36" t="str">
            <v>g</v>
          </cell>
          <cell r="Q36" t="str">
            <v>c</v>
          </cell>
          <cell r="R36">
            <v>0.85</v>
          </cell>
          <cell r="S36">
            <v>0.7</v>
          </cell>
          <cell r="T36"/>
          <cell r="U36"/>
          <cell r="V36">
            <v>39783</v>
          </cell>
          <cell r="W36">
            <v>1.12547910625</v>
          </cell>
          <cell r="X36"/>
          <cell r="Y36"/>
          <cell r="Z36"/>
          <cell r="AA36"/>
          <cell r="AB36" t="str">
            <v/>
          </cell>
          <cell r="AC36">
            <v>39783</v>
          </cell>
          <cell r="AD36">
            <v>1.0829056717845371</v>
          </cell>
          <cell r="AE36">
            <v>0.75304740888489741</v>
          </cell>
          <cell r="AF36">
            <v>-0.32985826289963971</v>
          </cell>
          <cell r="AG36">
            <v>-0.30460479753149794</v>
          </cell>
        </row>
        <row r="37">
          <cell r="B37">
            <v>39814</v>
          </cell>
          <cell r="C37"/>
          <cell r="D37"/>
          <cell r="E37"/>
          <cell r="F37" t="str">
            <v/>
          </cell>
          <cell r="G37" t="str">
            <v/>
          </cell>
          <cell r="H37" t="str">
            <v/>
          </cell>
          <cell r="I37" t="str">
            <v/>
          </cell>
          <cell r="J37"/>
          <cell r="K37"/>
          <cell r="L37" t="str">
            <v/>
          </cell>
          <cell r="M37" t="str">
            <v/>
          </cell>
          <cell r="N37" t="str">
            <v/>
          </cell>
          <cell r="O37" t="str">
            <v/>
          </cell>
          <cell r="P37" t="str">
            <v/>
          </cell>
          <cell r="Q37" t="str">
            <v/>
          </cell>
          <cell r="R37"/>
          <cell r="S37"/>
          <cell r="T37"/>
          <cell r="U37"/>
          <cell r="V37">
            <v>39814</v>
          </cell>
          <cell r="W37">
            <v>0.92827953588521228</v>
          </cell>
          <cell r="X37"/>
          <cell r="Y37"/>
          <cell r="Z37"/>
          <cell r="AA37"/>
          <cell r="AB37"/>
          <cell r="AC37">
            <v>39814</v>
          </cell>
          <cell r="AD37">
            <v>0.92827953588521228</v>
          </cell>
          <cell r="AE37" t="str">
            <v/>
          </cell>
          <cell r="AF37" t="str">
            <v/>
          </cell>
          <cell r="AG37" t="str">
            <v/>
          </cell>
        </row>
        <row r="38">
          <cell r="B38">
            <v>39845</v>
          </cell>
          <cell r="C38"/>
          <cell r="D38"/>
          <cell r="E38"/>
          <cell r="F38" t="str">
            <v/>
          </cell>
          <cell r="G38" t="str">
            <v/>
          </cell>
          <cell r="H38" t="str">
            <v/>
          </cell>
          <cell r="I38" t="str">
            <v/>
          </cell>
          <cell r="J38"/>
          <cell r="K38"/>
          <cell r="L38" t="str">
            <v/>
          </cell>
          <cell r="M38" t="str">
            <v/>
          </cell>
          <cell r="N38" t="str">
            <v/>
          </cell>
          <cell r="O38" t="str">
            <v/>
          </cell>
          <cell r="P38" t="str">
            <v/>
          </cell>
          <cell r="Q38" t="str">
            <v/>
          </cell>
          <cell r="R38"/>
          <cell r="S38"/>
          <cell r="T38"/>
          <cell r="U38"/>
          <cell r="V38">
            <v>39845</v>
          </cell>
          <cell r="W38">
            <v>0.48700968342477385</v>
          </cell>
          <cell r="X38"/>
          <cell r="Y38"/>
          <cell r="Z38"/>
          <cell r="AA38"/>
          <cell r="AB38"/>
          <cell r="AC38">
            <v>39845</v>
          </cell>
          <cell r="AD38">
            <v>0.58882455643879517</v>
          </cell>
          <cell r="AE38" t="str">
            <v/>
          </cell>
          <cell r="AF38" t="str">
            <v/>
          </cell>
          <cell r="AG38" t="str">
            <v/>
          </cell>
        </row>
        <row r="39">
          <cell r="B39">
            <v>39873</v>
          </cell>
          <cell r="C39"/>
          <cell r="D39"/>
          <cell r="E39"/>
          <cell r="F39" t="str">
            <v/>
          </cell>
          <cell r="G39" t="str">
            <v/>
          </cell>
          <cell r="H39" t="str">
            <v/>
          </cell>
          <cell r="I39" t="str">
            <v/>
          </cell>
          <cell r="J39"/>
          <cell r="K39"/>
          <cell r="L39" t="str">
            <v/>
          </cell>
          <cell r="M39" t="str">
            <v/>
          </cell>
          <cell r="N39" t="str">
            <v/>
          </cell>
          <cell r="O39" t="str">
            <v/>
          </cell>
          <cell r="P39" t="str">
            <v/>
          </cell>
          <cell r="Q39" t="str">
            <v/>
          </cell>
          <cell r="R39"/>
          <cell r="S39"/>
          <cell r="V39">
            <v>39873</v>
          </cell>
          <cell r="W39">
            <v>0.9237252837328217</v>
          </cell>
          <cell r="X39"/>
          <cell r="Y39"/>
          <cell r="Z39"/>
          <cell r="AA39"/>
          <cell r="AB39"/>
          <cell r="AC39">
            <v>39873</v>
          </cell>
          <cell r="AD39">
            <v>0.70788744032461581</v>
          </cell>
          <cell r="AE39" t="str">
            <v/>
          </cell>
          <cell r="AF39" t="str">
            <v/>
          </cell>
          <cell r="AG39" t="str">
            <v/>
          </cell>
        </row>
        <row r="40">
          <cell r="B40">
            <v>39904</v>
          </cell>
          <cell r="C40"/>
          <cell r="D40"/>
          <cell r="E40"/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  <cell r="J40"/>
          <cell r="K40"/>
          <cell r="L40" t="str">
            <v/>
          </cell>
          <cell r="M40" t="str">
            <v/>
          </cell>
          <cell r="N40" t="str">
            <v/>
          </cell>
          <cell r="O40" t="str">
            <v/>
          </cell>
          <cell r="P40" t="str">
            <v/>
          </cell>
          <cell r="Q40" t="str">
            <v/>
          </cell>
          <cell r="R40"/>
          <cell r="S40"/>
          <cell r="V40">
            <v>39904</v>
          </cell>
          <cell r="W40">
            <v>1.2156352456419706</v>
          </cell>
          <cell r="X40"/>
          <cell r="Y40"/>
          <cell r="Z40"/>
          <cell r="AA40"/>
          <cell r="AB40"/>
          <cell r="AC40">
            <v>39904</v>
          </cell>
          <cell r="AD40">
            <v>0.82678015682256289</v>
          </cell>
          <cell r="AE40" t="str">
            <v/>
          </cell>
          <cell r="AF40" t="str">
            <v/>
          </cell>
          <cell r="AG40" t="str">
            <v/>
          </cell>
        </row>
        <row r="41">
          <cell r="B41">
            <v>39934</v>
          </cell>
          <cell r="C41"/>
          <cell r="D41"/>
          <cell r="E41"/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  <cell r="J41"/>
          <cell r="K41"/>
          <cell r="L41" t="str">
            <v/>
          </cell>
          <cell r="M41" t="str">
            <v/>
          </cell>
          <cell r="N41" t="str">
            <v/>
          </cell>
          <cell r="O41" t="str">
            <v/>
          </cell>
          <cell r="P41" t="str">
            <v/>
          </cell>
          <cell r="Q41" t="str">
            <v/>
          </cell>
          <cell r="R41"/>
          <cell r="S41"/>
          <cell r="V41"/>
          <cell r="W41"/>
          <cell r="X41"/>
          <cell r="Y41"/>
          <cell r="Z41"/>
          <cell r="AA41"/>
          <cell r="AB41"/>
          <cell r="AC41"/>
          <cell r="AD41">
            <v>0.88450493293905752</v>
          </cell>
          <cell r="AE41" t="str">
            <v/>
          </cell>
          <cell r="AF41" t="str">
            <v/>
          </cell>
          <cell r="AG41" t="str">
            <v/>
          </cell>
        </row>
        <row r="42">
          <cell r="B42">
            <v>39965</v>
          </cell>
          <cell r="C42"/>
          <cell r="D42"/>
          <cell r="E42"/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  <cell r="J42"/>
          <cell r="K42"/>
          <cell r="L42" t="str">
            <v/>
          </cell>
          <cell r="M42" t="str">
            <v/>
          </cell>
          <cell r="N42" t="str">
            <v/>
          </cell>
          <cell r="O42" t="str">
            <v/>
          </cell>
          <cell r="P42" t="str">
            <v/>
          </cell>
          <cell r="Q42" t="str">
            <v/>
          </cell>
          <cell r="R42"/>
          <cell r="S42"/>
          <cell r="V42"/>
          <cell r="W42"/>
          <cell r="X42"/>
          <cell r="Y42"/>
          <cell r="Z42"/>
          <cell r="AA42"/>
          <cell r="AB42"/>
          <cell r="AC42"/>
          <cell r="AD42">
            <v>0.79606707657583664</v>
          </cell>
          <cell r="AE42" t="str">
            <v/>
          </cell>
          <cell r="AF42" t="str">
            <v/>
          </cell>
          <cell r="AG42" t="str">
            <v/>
          </cell>
        </row>
        <row r="43">
          <cell r="B43">
            <v>39995</v>
          </cell>
          <cell r="C43"/>
          <cell r="D43"/>
          <cell r="E43"/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/>
          <cell r="K43"/>
          <cell r="L43" t="str">
            <v/>
          </cell>
          <cell r="M43" t="str">
            <v/>
          </cell>
          <cell r="N43" t="str">
            <v/>
          </cell>
          <cell r="O43" t="str">
            <v/>
          </cell>
          <cell r="P43" t="str">
            <v/>
          </cell>
          <cell r="Q43" t="str">
            <v/>
          </cell>
          <cell r="R43"/>
          <cell r="S43"/>
          <cell r="V43"/>
          <cell r="W43"/>
          <cell r="X43"/>
          <cell r="Y43"/>
          <cell r="Z43"/>
          <cell r="AA43"/>
          <cell r="AB43"/>
          <cell r="AC43"/>
          <cell r="AD43">
            <v>0.71736503042324762</v>
          </cell>
          <cell r="AE43" t="str">
            <v/>
          </cell>
          <cell r="AF43" t="str">
            <v/>
          </cell>
          <cell r="AG43" t="str">
            <v/>
          </cell>
        </row>
        <row r="44">
          <cell r="B44">
            <v>40026</v>
          </cell>
          <cell r="C44"/>
          <cell r="D44"/>
          <cell r="E44"/>
          <cell r="F44" t="str">
            <v/>
          </cell>
          <cell r="G44" t="str">
            <v/>
          </cell>
          <cell r="H44" t="str">
            <v/>
          </cell>
          <cell r="I44" t="str">
            <v/>
          </cell>
          <cell r="J44"/>
          <cell r="K44"/>
          <cell r="L44" t="str">
            <v/>
          </cell>
          <cell r="M44" t="str">
            <v/>
          </cell>
          <cell r="N44" t="str">
            <v/>
          </cell>
          <cell r="O44" t="str">
            <v/>
          </cell>
          <cell r="P44" t="str">
            <v/>
          </cell>
          <cell r="Q44" t="str">
            <v/>
          </cell>
          <cell r="R44"/>
          <cell r="S44"/>
          <cell r="V44"/>
          <cell r="W44"/>
          <cell r="X44"/>
          <cell r="Y44"/>
          <cell r="Z44"/>
          <cell r="AA44"/>
          <cell r="AB44"/>
          <cell r="AC44"/>
          <cell r="AD44">
            <v>0.70103510558838378</v>
          </cell>
          <cell r="AE44" t="str">
            <v/>
          </cell>
          <cell r="AF44" t="str">
            <v/>
          </cell>
          <cell r="AG44" t="str">
            <v/>
          </cell>
        </row>
        <row r="45">
          <cell r="B45">
            <v>40057</v>
          </cell>
          <cell r="C45"/>
          <cell r="D45"/>
          <cell r="E45"/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/>
          <cell r="K45"/>
          <cell r="L45" t="str">
            <v/>
          </cell>
          <cell r="M45" t="str">
            <v/>
          </cell>
          <cell r="N45" t="str">
            <v/>
          </cell>
          <cell r="O45" t="str">
            <v/>
          </cell>
          <cell r="P45" t="str">
            <v/>
          </cell>
          <cell r="Q45" t="str">
            <v/>
          </cell>
          <cell r="R45"/>
          <cell r="S45"/>
          <cell r="V45"/>
          <cell r="W45"/>
          <cell r="X45"/>
          <cell r="Y45"/>
          <cell r="Z45"/>
          <cell r="AA45"/>
          <cell r="AB45"/>
          <cell r="AC45"/>
          <cell r="AD45">
            <v>0.69634647287667839</v>
          </cell>
          <cell r="AE45" t="str">
            <v/>
          </cell>
          <cell r="AF45" t="str">
            <v/>
          </cell>
          <cell r="AG45" t="str">
            <v/>
          </cell>
        </row>
      </sheetData>
      <sheetData sheetId="57">
        <row r="10">
          <cell r="B10"/>
          <cell r="C10"/>
          <cell r="D10"/>
          <cell r="E10"/>
          <cell r="F10"/>
          <cell r="G10"/>
          <cell r="I10"/>
          <cell r="J10"/>
          <cell r="U10" t="str">
            <v>Mes</v>
          </cell>
          <cell r="V10"/>
          <cell r="W10"/>
          <cell r="X10"/>
          <cell r="Y10"/>
          <cell r="Z10"/>
          <cell r="AA10"/>
          <cell r="AB10" t="str">
            <v>Mes</v>
          </cell>
          <cell r="AC10"/>
          <cell r="AD10"/>
          <cell r="AE10"/>
          <cell r="AF10"/>
          <cell r="AG10"/>
          <cell r="AH10"/>
        </row>
        <row r="11">
          <cell r="B11" t="str">
            <v>Mes - Año</v>
          </cell>
          <cell r="C11"/>
          <cell r="D11" t="str">
            <v>Insumos 100% consumos cubiertos</v>
          </cell>
          <cell r="E11" t="str">
            <v>Insumos con consumos Total</v>
          </cell>
          <cell r="F11" t="str">
            <v>Unid</v>
          </cell>
          <cell r="G11" t="str">
            <v>Mensual</v>
          </cell>
          <cell r="H11"/>
          <cell r="I11"/>
          <cell r="J11"/>
          <cell r="K11"/>
          <cell r="L11" t="str">
            <v>Unid</v>
          </cell>
          <cell r="M11" t="str">
            <v>Acumulado</v>
          </cell>
          <cell r="N11"/>
          <cell r="O11"/>
          <cell r="P11"/>
          <cell r="Q11"/>
          <cell r="R11"/>
          <cell r="S11"/>
          <cell r="T11"/>
          <cell r="U11"/>
          <cell r="V11" t="str">
            <v>Valores</v>
          </cell>
          <cell r="W11"/>
          <cell r="X11" t="str">
            <v>Var 1.</v>
          </cell>
          <cell r="Y11"/>
          <cell r="Z11" t="str">
            <v>Acum. 
Anual</v>
          </cell>
          <cell r="AA11" t="str">
            <v>Avance 
del Año</v>
          </cell>
          <cell r="AB11"/>
          <cell r="AC11" t="str">
            <v>Valores</v>
          </cell>
          <cell r="AD11"/>
          <cell r="AE11" t="str">
            <v>Var 1.</v>
          </cell>
          <cell r="AF11"/>
          <cell r="AG11" t="str">
            <v>Acum. 
Anual</v>
          </cell>
          <cell r="AH11" t="str">
            <v>Avance 
del Año</v>
          </cell>
        </row>
        <row r="12">
          <cell r="B12"/>
          <cell r="C12"/>
          <cell r="D12"/>
          <cell r="E12"/>
          <cell r="F12"/>
          <cell r="G12" t="str">
            <v>Performance</v>
          </cell>
          <cell r="H12"/>
          <cell r="I12"/>
          <cell r="J12" t="str">
            <v>Sup</v>
          </cell>
          <cell r="K12" t="str">
            <v>Inf</v>
          </cell>
          <cell r="L12"/>
          <cell r="M12" t="str">
            <v>Performance</v>
          </cell>
          <cell r="N12"/>
          <cell r="O12"/>
          <cell r="P12" t="str">
            <v>Sup</v>
          </cell>
          <cell r="Q12" t="str">
            <v>Inf</v>
          </cell>
          <cell r="R12"/>
          <cell r="S12"/>
          <cell r="T12"/>
          <cell r="U12" t="str">
            <v>Fecha</v>
          </cell>
          <cell r="V12" t="str">
            <v>Anteriores</v>
          </cell>
          <cell r="W12" t="str">
            <v>Real</v>
          </cell>
          <cell r="X12" t="str">
            <v>Unidades</v>
          </cell>
          <cell r="Y12" t="str">
            <v>%</v>
          </cell>
          <cell r="Z12"/>
          <cell r="AA12"/>
          <cell r="AB12" t="str">
            <v>Fecha</v>
          </cell>
          <cell r="AC12" t="str">
            <v>Anteriores</v>
          </cell>
          <cell r="AD12" t="str">
            <v>Real</v>
          </cell>
          <cell r="AE12" t="str">
            <v>Unidades</v>
          </cell>
          <cell r="AF12" t="str">
            <v>%</v>
          </cell>
          <cell r="AG12"/>
          <cell r="AH12"/>
        </row>
        <row r="13">
          <cell r="B13">
            <v>39083</v>
          </cell>
          <cell r="C13"/>
          <cell r="D13">
            <v>375</v>
          </cell>
          <cell r="E13">
            <v>383</v>
          </cell>
          <cell r="F13">
            <v>0.97911227154046998</v>
          </cell>
          <cell r="G13" t="str">
            <v>g</v>
          </cell>
          <cell r="H13" t="str">
            <v>c</v>
          </cell>
          <cell r="I13" t="str">
            <v>c</v>
          </cell>
          <cell r="J13">
            <v>0.97499999999999998</v>
          </cell>
          <cell r="K13">
            <v>0.95</v>
          </cell>
          <cell r="L13">
            <v>0.97911227154046998</v>
          </cell>
          <cell r="M13" t="str">
            <v>c</v>
          </cell>
          <cell r="N13" t="str">
            <v>g</v>
          </cell>
          <cell r="O13" t="str">
            <v>c</v>
          </cell>
          <cell r="P13">
            <v>0.98</v>
          </cell>
          <cell r="Q13">
            <v>0.95</v>
          </cell>
          <cell r="R13"/>
          <cell r="S13"/>
          <cell r="T13"/>
          <cell r="U13">
            <v>39083</v>
          </cell>
          <cell r="V13"/>
          <cell r="W13">
            <v>0.97911227154046998</v>
          </cell>
          <cell r="X13">
            <v>0.97911227154046998</v>
          </cell>
          <cell r="Y13"/>
          <cell r="Z13"/>
          <cell r="AA13"/>
          <cell r="AB13">
            <v>39083</v>
          </cell>
          <cell r="AC13"/>
          <cell r="AD13">
            <v>0.97911227154046998</v>
          </cell>
          <cell r="AE13">
            <v>0.97911227154046998</v>
          </cell>
          <cell r="AF13"/>
          <cell r="AG13"/>
          <cell r="AH13"/>
        </row>
        <row r="14">
          <cell r="B14">
            <v>39114</v>
          </cell>
          <cell r="C14"/>
          <cell r="D14">
            <v>378</v>
          </cell>
          <cell r="E14">
            <v>383</v>
          </cell>
          <cell r="F14">
            <v>0.98694516971279378</v>
          </cell>
          <cell r="G14" t="str">
            <v>g</v>
          </cell>
          <cell r="H14" t="str">
            <v>c</v>
          </cell>
          <cell r="I14" t="str">
            <v>c</v>
          </cell>
          <cell r="J14">
            <v>0.97499999999999998</v>
          </cell>
          <cell r="K14">
            <v>0.95</v>
          </cell>
          <cell r="L14">
            <v>0.98302872062663182</v>
          </cell>
          <cell r="M14" t="str">
            <v>g</v>
          </cell>
          <cell r="N14" t="str">
            <v>c</v>
          </cell>
          <cell r="O14" t="str">
            <v>c</v>
          </cell>
          <cell r="P14">
            <v>0.98</v>
          </cell>
          <cell r="Q14">
            <v>0.95</v>
          </cell>
          <cell r="R14"/>
          <cell r="S14"/>
          <cell r="T14"/>
          <cell r="U14">
            <v>39114</v>
          </cell>
          <cell r="V14"/>
          <cell r="W14">
            <v>0.98694516971279378</v>
          </cell>
          <cell r="X14">
            <v>0.98694516971279378</v>
          </cell>
          <cell r="Y14"/>
          <cell r="Z14"/>
          <cell r="AA14"/>
          <cell r="AB14">
            <v>39114</v>
          </cell>
          <cell r="AC14"/>
          <cell r="AD14">
            <v>0.98302872062663182</v>
          </cell>
          <cell r="AE14">
            <v>0.98302872062663182</v>
          </cell>
          <cell r="AF14"/>
          <cell r="AG14"/>
          <cell r="AH14"/>
        </row>
        <row r="15">
          <cell r="B15">
            <v>39142</v>
          </cell>
          <cell r="C15"/>
          <cell r="D15">
            <v>378</v>
          </cell>
          <cell r="E15">
            <v>383</v>
          </cell>
          <cell r="F15">
            <v>0.98694516971279378</v>
          </cell>
          <cell r="G15" t="str">
            <v>g</v>
          </cell>
          <cell r="H15" t="str">
            <v>c</v>
          </cell>
          <cell r="I15" t="str">
            <v>c</v>
          </cell>
          <cell r="J15">
            <v>0.97499999999999998</v>
          </cell>
          <cell r="K15">
            <v>0.95</v>
          </cell>
          <cell r="L15">
            <v>0.98433420365535251</v>
          </cell>
          <cell r="M15" t="str">
            <v>g</v>
          </cell>
          <cell r="N15" t="str">
            <v>c</v>
          </cell>
          <cell r="O15" t="str">
            <v>c</v>
          </cell>
          <cell r="P15">
            <v>0.98</v>
          </cell>
          <cell r="Q15">
            <v>0.95</v>
          </cell>
          <cell r="R15"/>
          <cell r="S15"/>
          <cell r="T15"/>
          <cell r="U15">
            <v>39142</v>
          </cell>
          <cell r="V15"/>
          <cell r="W15">
            <v>0.98694516971279378</v>
          </cell>
          <cell r="X15">
            <v>0.98694516971279378</v>
          </cell>
          <cell r="Y15"/>
          <cell r="Z15"/>
          <cell r="AA15"/>
          <cell r="AB15">
            <v>39142</v>
          </cell>
          <cell r="AC15"/>
          <cell r="AD15">
            <v>0.98433420365535251</v>
          </cell>
          <cell r="AE15">
            <v>0.98433420365535251</v>
          </cell>
          <cell r="AF15"/>
          <cell r="AG15"/>
          <cell r="AH15"/>
        </row>
        <row r="16">
          <cell r="B16">
            <v>39173</v>
          </cell>
          <cell r="C16"/>
          <cell r="D16">
            <v>378</v>
          </cell>
          <cell r="E16">
            <v>383</v>
          </cell>
          <cell r="F16">
            <v>0.98694516971279378</v>
          </cell>
          <cell r="G16" t="str">
            <v>g</v>
          </cell>
          <cell r="H16" t="str">
            <v>c</v>
          </cell>
          <cell r="I16" t="str">
            <v>c</v>
          </cell>
          <cell r="J16">
            <v>0.97499999999999998</v>
          </cell>
          <cell r="K16">
            <v>0.95</v>
          </cell>
          <cell r="L16">
            <v>0.98498694516971275</v>
          </cell>
          <cell r="M16" t="str">
            <v>g</v>
          </cell>
          <cell r="N16" t="str">
            <v>c</v>
          </cell>
          <cell r="O16" t="str">
            <v>c</v>
          </cell>
          <cell r="P16">
            <v>0.98</v>
          </cell>
          <cell r="Q16">
            <v>0.95</v>
          </cell>
          <cell r="R16"/>
          <cell r="S16"/>
          <cell r="T16"/>
          <cell r="U16">
            <v>39173</v>
          </cell>
          <cell r="V16"/>
          <cell r="W16">
            <v>0.98694516971279378</v>
          </cell>
          <cell r="X16">
            <v>0.98694516971279378</v>
          </cell>
          <cell r="Y16"/>
          <cell r="Z16"/>
          <cell r="AA16"/>
          <cell r="AB16">
            <v>39173</v>
          </cell>
          <cell r="AC16"/>
          <cell r="AD16">
            <v>0.98498694516971275</v>
          </cell>
          <cell r="AE16">
            <v>0.98498694516971275</v>
          </cell>
          <cell r="AF16"/>
          <cell r="AG16"/>
          <cell r="AH16"/>
        </row>
        <row r="17">
          <cell r="B17">
            <v>39203</v>
          </cell>
          <cell r="C17"/>
          <cell r="D17">
            <v>376</v>
          </cell>
          <cell r="E17">
            <v>383</v>
          </cell>
          <cell r="F17">
            <v>0.98172323759791125</v>
          </cell>
          <cell r="G17" t="str">
            <v>g</v>
          </cell>
          <cell r="H17" t="str">
            <v>c</v>
          </cell>
          <cell r="I17" t="str">
            <v>c</v>
          </cell>
          <cell r="J17">
            <v>0.97499999999999998</v>
          </cell>
          <cell r="K17">
            <v>0.95</v>
          </cell>
          <cell r="L17">
            <v>0.98433420365535251</v>
          </cell>
          <cell r="M17" t="str">
            <v>g</v>
          </cell>
          <cell r="N17" t="str">
            <v>c</v>
          </cell>
          <cell r="O17" t="str">
            <v>c</v>
          </cell>
          <cell r="P17">
            <v>0.98</v>
          </cell>
          <cell r="Q17">
            <v>0.95</v>
          </cell>
          <cell r="R17"/>
          <cell r="S17"/>
          <cell r="T17"/>
          <cell r="U17">
            <v>39203</v>
          </cell>
          <cell r="V17"/>
          <cell r="W17">
            <v>0.98172323759791125</v>
          </cell>
          <cell r="X17">
            <v>0.98172323759791125</v>
          </cell>
          <cell r="Y17"/>
          <cell r="Z17"/>
          <cell r="AA17"/>
          <cell r="AB17">
            <v>39203</v>
          </cell>
          <cell r="AC17"/>
          <cell r="AD17">
            <v>0.98433420365535251</v>
          </cell>
          <cell r="AE17">
            <v>0.98433420365535251</v>
          </cell>
          <cell r="AF17"/>
          <cell r="AG17"/>
          <cell r="AH17"/>
        </row>
        <row r="18">
          <cell r="B18">
            <v>39234</v>
          </cell>
          <cell r="C18"/>
          <cell r="D18">
            <v>378</v>
          </cell>
          <cell r="E18">
            <v>383</v>
          </cell>
          <cell r="F18">
            <v>0.98694516971279378</v>
          </cell>
          <cell r="G18" t="str">
            <v>g</v>
          </cell>
          <cell r="H18" t="str">
            <v>c</v>
          </cell>
          <cell r="I18" t="str">
            <v>c</v>
          </cell>
          <cell r="J18">
            <v>0.97499999999999998</v>
          </cell>
          <cell r="K18">
            <v>0.95</v>
          </cell>
          <cell r="L18">
            <v>0.98476936466492604</v>
          </cell>
          <cell r="M18" t="str">
            <v>g</v>
          </cell>
          <cell r="N18" t="str">
            <v>c</v>
          </cell>
          <cell r="O18" t="str">
            <v>c</v>
          </cell>
          <cell r="P18">
            <v>0.98</v>
          </cell>
          <cell r="Q18">
            <v>0.95</v>
          </cell>
          <cell r="R18"/>
          <cell r="S18"/>
          <cell r="T18"/>
          <cell r="U18">
            <v>39234</v>
          </cell>
          <cell r="V18"/>
          <cell r="W18">
            <v>0.98694516971279378</v>
          </cell>
          <cell r="X18">
            <v>0.98694516971279378</v>
          </cell>
          <cell r="Y18"/>
          <cell r="Z18"/>
          <cell r="AA18"/>
          <cell r="AB18">
            <v>39234</v>
          </cell>
          <cell r="AC18"/>
          <cell r="AD18">
            <v>0.98476936466492604</v>
          </cell>
          <cell r="AE18">
            <v>0.98476936466492604</v>
          </cell>
          <cell r="AF18"/>
          <cell r="AG18"/>
          <cell r="AH18"/>
        </row>
        <row r="19">
          <cell r="B19">
            <v>39264</v>
          </cell>
          <cell r="C19"/>
          <cell r="D19">
            <v>378</v>
          </cell>
          <cell r="E19">
            <v>383</v>
          </cell>
          <cell r="F19">
            <v>0.98694516971279378</v>
          </cell>
          <cell r="G19" t="str">
            <v>g</v>
          </cell>
          <cell r="H19" t="str">
            <v>c</v>
          </cell>
          <cell r="I19" t="str">
            <v>c</v>
          </cell>
          <cell r="J19">
            <v>0.97499999999999998</v>
          </cell>
          <cell r="K19">
            <v>0.95</v>
          </cell>
          <cell r="L19">
            <v>0.98508019395747859</v>
          </cell>
          <cell r="M19" t="str">
            <v>g</v>
          </cell>
          <cell r="N19" t="str">
            <v>c</v>
          </cell>
          <cell r="O19" t="str">
            <v>c</v>
          </cell>
          <cell r="P19">
            <v>0.98</v>
          </cell>
          <cell r="Q19">
            <v>0.95</v>
          </cell>
          <cell r="R19"/>
          <cell r="S19"/>
          <cell r="T19"/>
          <cell r="U19">
            <v>39264</v>
          </cell>
          <cell r="V19"/>
          <cell r="W19">
            <v>0.98694516971279378</v>
          </cell>
          <cell r="X19">
            <v>0.98694516971279378</v>
          </cell>
          <cell r="Y19"/>
          <cell r="Z19"/>
          <cell r="AA19"/>
          <cell r="AB19">
            <v>39264</v>
          </cell>
          <cell r="AC19"/>
          <cell r="AD19">
            <v>0.98508019395747859</v>
          </cell>
          <cell r="AE19">
            <v>0.98508019395747859</v>
          </cell>
          <cell r="AF19"/>
          <cell r="AG19"/>
          <cell r="AH19"/>
        </row>
        <row r="20">
          <cell r="B20">
            <v>39295</v>
          </cell>
          <cell r="C20"/>
          <cell r="D20">
            <v>378</v>
          </cell>
          <cell r="E20">
            <v>383</v>
          </cell>
          <cell r="F20">
            <v>0.98694516971279378</v>
          </cell>
          <cell r="G20" t="str">
            <v>g</v>
          </cell>
          <cell r="H20" t="str">
            <v>c</v>
          </cell>
          <cell r="I20" t="str">
            <v>c</v>
          </cell>
          <cell r="J20">
            <v>0.97499999999999998</v>
          </cell>
          <cell r="K20">
            <v>0.95</v>
          </cell>
          <cell r="L20">
            <v>0.98531331592689297</v>
          </cell>
          <cell r="M20" t="str">
            <v>g</v>
          </cell>
          <cell r="N20" t="str">
            <v>c</v>
          </cell>
          <cell r="O20" t="str">
            <v>c</v>
          </cell>
          <cell r="P20">
            <v>0.98</v>
          </cell>
          <cell r="Q20">
            <v>0.95</v>
          </cell>
          <cell r="R20"/>
          <cell r="S20"/>
          <cell r="T20"/>
          <cell r="U20">
            <v>39295</v>
          </cell>
          <cell r="V20"/>
          <cell r="W20">
            <v>0.98694516971279378</v>
          </cell>
          <cell r="X20">
            <v>0.98694516971279378</v>
          </cell>
          <cell r="Y20"/>
          <cell r="Z20"/>
          <cell r="AA20"/>
          <cell r="AB20">
            <v>39295</v>
          </cell>
          <cell r="AC20"/>
          <cell r="AD20">
            <v>0.98531331592689297</v>
          </cell>
          <cell r="AE20">
            <v>0.98531331592689297</v>
          </cell>
          <cell r="AF20"/>
          <cell r="AG20"/>
          <cell r="AH20"/>
        </row>
        <row r="21">
          <cell r="B21">
            <v>39326</v>
          </cell>
          <cell r="C21"/>
          <cell r="D21">
            <v>378</v>
          </cell>
          <cell r="E21">
            <v>383</v>
          </cell>
          <cell r="F21">
            <v>0.98694516971279378</v>
          </cell>
          <cell r="G21" t="str">
            <v>g</v>
          </cell>
          <cell r="H21" t="str">
            <v>c</v>
          </cell>
          <cell r="I21" t="str">
            <v>c</v>
          </cell>
          <cell r="J21">
            <v>0.97499999999999998</v>
          </cell>
          <cell r="K21">
            <v>0.95</v>
          </cell>
          <cell r="L21">
            <v>0.98549463301421525</v>
          </cell>
          <cell r="M21" t="str">
            <v>g</v>
          </cell>
          <cell r="N21" t="str">
            <v>c</v>
          </cell>
          <cell r="O21" t="str">
            <v>c</v>
          </cell>
          <cell r="P21">
            <v>0.98</v>
          </cell>
          <cell r="Q21">
            <v>0.95</v>
          </cell>
          <cell r="R21"/>
          <cell r="S21"/>
          <cell r="T21"/>
          <cell r="U21">
            <v>39326</v>
          </cell>
          <cell r="V21"/>
          <cell r="W21">
            <v>0.98694516971279378</v>
          </cell>
          <cell r="X21">
            <v>0.98694516971279378</v>
          </cell>
          <cell r="Y21"/>
          <cell r="Z21"/>
          <cell r="AA21"/>
          <cell r="AB21">
            <v>39326</v>
          </cell>
          <cell r="AC21"/>
          <cell r="AD21">
            <v>0.98549463301421525</v>
          </cell>
          <cell r="AE21">
            <v>0.98549463301421525</v>
          </cell>
          <cell r="AF21"/>
          <cell r="AG21"/>
          <cell r="AH21"/>
        </row>
        <row r="22">
          <cell r="B22">
            <v>39356</v>
          </cell>
          <cell r="C22"/>
          <cell r="D22">
            <v>478</v>
          </cell>
          <cell r="E22">
            <v>488</v>
          </cell>
          <cell r="F22">
            <v>0.97950819672131151</v>
          </cell>
          <cell r="G22" t="str">
            <v>g</v>
          </cell>
          <cell r="H22" t="str">
            <v>c</v>
          </cell>
          <cell r="I22" t="str">
            <v>c</v>
          </cell>
          <cell r="J22">
            <v>0.97499999999999998</v>
          </cell>
          <cell r="K22">
            <v>0.95</v>
          </cell>
          <cell r="L22">
            <v>0.98475222363405335</v>
          </cell>
          <cell r="M22" t="str">
            <v>g</v>
          </cell>
          <cell r="N22" t="str">
            <v>c</v>
          </cell>
          <cell r="O22" t="str">
            <v>c</v>
          </cell>
          <cell r="P22">
            <v>0.98</v>
          </cell>
          <cell r="Q22">
            <v>0.95</v>
          </cell>
          <cell r="R22"/>
          <cell r="S22"/>
          <cell r="T22"/>
          <cell r="U22">
            <v>39356</v>
          </cell>
          <cell r="V22"/>
          <cell r="W22">
            <v>0.97950819672131151</v>
          </cell>
          <cell r="X22">
            <v>0.97950819672131151</v>
          </cell>
          <cell r="Y22"/>
          <cell r="Z22"/>
          <cell r="AA22"/>
          <cell r="AB22">
            <v>39356</v>
          </cell>
          <cell r="AC22"/>
          <cell r="AD22">
            <v>0.98475222363405335</v>
          </cell>
          <cell r="AE22">
            <v>0.98475222363405335</v>
          </cell>
          <cell r="AF22"/>
          <cell r="AG22"/>
          <cell r="AH22"/>
        </row>
        <row r="23">
          <cell r="B23">
            <v>39387</v>
          </cell>
          <cell r="C23"/>
          <cell r="D23">
            <v>478</v>
          </cell>
          <cell r="E23">
            <v>488</v>
          </cell>
          <cell r="F23">
            <v>0.97950819672131151</v>
          </cell>
          <cell r="G23" t="str">
            <v>g</v>
          </cell>
          <cell r="H23" t="str">
            <v>c</v>
          </cell>
          <cell r="I23" t="str">
            <v>c</v>
          </cell>
          <cell r="J23">
            <v>0.97499999999999998</v>
          </cell>
          <cell r="K23">
            <v>0.95</v>
          </cell>
          <cell r="L23">
            <v>0.98417363780239653</v>
          </cell>
          <cell r="M23" t="str">
            <v>g</v>
          </cell>
          <cell r="N23" t="str">
            <v>c</v>
          </cell>
          <cell r="O23" t="str">
            <v>c</v>
          </cell>
          <cell r="P23">
            <v>0.98</v>
          </cell>
          <cell r="Q23">
            <v>0.95</v>
          </cell>
          <cell r="R23"/>
          <cell r="S23"/>
          <cell r="T23"/>
          <cell r="U23">
            <v>39387</v>
          </cell>
          <cell r="V23"/>
          <cell r="W23">
            <v>0.97950819672131151</v>
          </cell>
          <cell r="X23">
            <v>0.97950819672131151</v>
          </cell>
          <cell r="Y23"/>
          <cell r="Z23"/>
          <cell r="AA23"/>
          <cell r="AB23">
            <v>39387</v>
          </cell>
          <cell r="AC23"/>
          <cell r="AD23">
            <v>0.98417363780239653</v>
          </cell>
          <cell r="AE23">
            <v>0.98417363780239653</v>
          </cell>
          <cell r="AF23"/>
          <cell r="AG23"/>
          <cell r="AH23"/>
        </row>
        <row r="24">
          <cell r="B24">
            <v>39417</v>
          </cell>
          <cell r="C24"/>
          <cell r="D24">
            <v>478</v>
          </cell>
          <cell r="E24">
            <v>487</v>
          </cell>
          <cell r="F24">
            <v>0.98151950718685832</v>
          </cell>
          <cell r="G24" t="str">
            <v>g</v>
          </cell>
          <cell r="H24" t="str">
            <v>c</v>
          </cell>
          <cell r="I24" t="str">
            <v>c</v>
          </cell>
          <cell r="J24">
            <v>0.97499999999999998</v>
          </cell>
          <cell r="K24">
            <v>0.95</v>
          </cell>
          <cell r="L24">
            <v>0.9839103869653768</v>
          </cell>
          <cell r="M24" t="str">
            <v>g</v>
          </cell>
          <cell r="N24" t="str">
            <v>c</v>
          </cell>
          <cell r="O24" t="str">
            <v>c</v>
          </cell>
          <cell r="P24">
            <v>0.98</v>
          </cell>
          <cell r="Q24">
            <v>0.95</v>
          </cell>
          <cell r="R24"/>
          <cell r="S24"/>
          <cell r="T24"/>
          <cell r="U24">
            <v>39417</v>
          </cell>
          <cell r="V24"/>
          <cell r="W24">
            <v>0.98151950718685832</v>
          </cell>
          <cell r="X24"/>
          <cell r="Y24"/>
          <cell r="Z24"/>
          <cell r="AA24"/>
          <cell r="AB24">
            <v>39417</v>
          </cell>
          <cell r="AC24"/>
          <cell r="AD24">
            <v>0.9839103869653768</v>
          </cell>
          <cell r="AE24">
            <v>0.9839103869653768</v>
          </cell>
          <cell r="AF24"/>
          <cell r="AG24"/>
          <cell r="AH24"/>
        </row>
        <row r="25">
          <cell r="B25">
            <v>39448</v>
          </cell>
          <cell r="C25"/>
          <cell r="D25">
            <v>368</v>
          </cell>
          <cell r="E25">
            <v>384</v>
          </cell>
          <cell r="F25">
            <v>0.95833333333333337</v>
          </cell>
          <cell r="G25" t="str">
            <v>c</v>
          </cell>
          <cell r="H25" t="str">
            <v>g</v>
          </cell>
          <cell r="I25" t="str">
            <v>c</v>
          </cell>
          <cell r="J25">
            <v>0.97499999999999998</v>
          </cell>
          <cell r="K25">
            <v>0.95</v>
          </cell>
          <cell r="L25">
            <v>0.95833333333333337</v>
          </cell>
          <cell r="M25" t="str">
            <v>c</v>
          </cell>
          <cell r="N25" t="str">
            <v>g</v>
          </cell>
          <cell r="O25" t="str">
            <v>c</v>
          </cell>
          <cell r="P25">
            <v>0.98</v>
          </cell>
          <cell r="Q25">
            <v>0.95</v>
          </cell>
          <cell r="R25"/>
          <cell r="S25"/>
          <cell r="T25"/>
          <cell r="U25">
            <v>39448</v>
          </cell>
          <cell r="V25">
            <v>0.97911227154046998</v>
          </cell>
          <cell r="W25">
            <v>0.95833333333333337</v>
          </cell>
          <cell r="X25"/>
          <cell r="Y25"/>
          <cell r="Z25">
            <v>11.80998759775742</v>
          </cell>
          <cell r="AA25">
            <v>0.95833333333333337</v>
          </cell>
          <cell r="AB25">
            <v>39448</v>
          </cell>
          <cell r="AC25">
            <v>0.97911227154046998</v>
          </cell>
          <cell r="AD25">
            <v>0.95833333333333337</v>
          </cell>
          <cell r="AE25"/>
          <cell r="AF25"/>
          <cell r="AG25">
            <v>11.809290100612859</v>
          </cell>
          <cell r="AH25">
            <v>0.95833333333333337</v>
          </cell>
        </row>
        <row r="26">
          <cell r="B26">
            <v>39479</v>
          </cell>
          <cell r="C26"/>
          <cell r="D26">
            <v>369</v>
          </cell>
          <cell r="E26">
            <v>384</v>
          </cell>
          <cell r="F26">
            <v>0.9609375</v>
          </cell>
          <cell r="G26" t="str">
            <v>c</v>
          </cell>
          <cell r="H26" t="str">
            <v>g</v>
          </cell>
          <cell r="I26" t="str">
            <v>c</v>
          </cell>
          <cell r="J26">
            <v>0.97499999999999998</v>
          </cell>
          <cell r="K26">
            <v>0.95</v>
          </cell>
          <cell r="L26">
            <v>0.95963541666666663</v>
          </cell>
          <cell r="M26" t="str">
            <v>c</v>
          </cell>
          <cell r="N26" t="str">
            <v>g</v>
          </cell>
          <cell r="O26" t="str">
            <v>c</v>
          </cell>
          <cell r="P26">
            <v>0.98</v>
          </cell>
          <cell r="Q26">
            <v>0.95</v>
          </cell>
          <cell r="R26"/>
          <cell r="S26"/>
          <cell r="T26"/>
          <cell r="U26">
            <v>39479</v>
          </cell>
          <cell r="V26">
            <v>0.98694516971279378</v>
          </cell>
          <cell r="W26">
            <v>0.9609375</v>
          </cell>
          <cell r="X26"/>
          <cell r="Y26"/>
          <cell r="Z26">
            <v>11.80998759775742</v>
          </cell>
          <cell r="AA26">
            <v>1.9192708333333335</v>
          </cell>
          <cell r="AB26">
            <v>39479</v>
          </cell>
          <cell r="AC26">
            <v>0.98302872062663182</v>
          </cell>
          <cell r="AD26">
            <v>0.95963541666666663</v>
          </cell>
          <cell r="AE26"/>
          <cell r="AF26"/>
          <cell r="AG26">
            <v>11.809290100612859</v>
          </cell>
          <cell r="AH26">
            <v>1.91796875</v>
          </cell>
        </row>
        <row r="27">
          <cell r="B27">
            <v>39508</v>
          </cell>
          <cell r="C27"/>
          <cell r="D27">
            <v>381</v>
          </cell>
          <cell r="E27">
            <v>389</v>
          </cell>
          <cell r="F27">
            <v>0.97943444730077123</v>
          </cell>
          <cell r="G27" t="str">
            <v>g</v>
          </cell>
          <cell r="H27" t="str">
            <v>c</v>
          </cell>
          <cell r="I27" t="str">
            <v>c</v>
          </cell>
          <cell r="J27">
            <v>0.97499999999999998</v>
          </cell>
          <cell r="K27">
            <v>0.95</v>
          </cell>
          <cell r="L27">
            <v>0.9662921348314607</v>
          </cell>
          <cell r="M27" t="str">
            <v>c</v>
          </cell>
          <cell r="N27" t="str">
            <v>g</v>
          </cell>
          <cell r="O27" t="str">
            <v>c</v>
          </cell>
          <cell r="P27">
            <v>0.98</v>
          </cell>
          <cell r="Q27">
            <v>0.95</v>
          </cell>
          <cell r="R27"/>
          <cell r="S27"/>
          <cell r="T27"/>
          <cell r="U27">
            <v>39508</v>
          </cell>
          <cell r="V27">
            <v>0.98694516971279378</v>
          </cell>
          <cell r="W27">
            <v>0.97943444730077123</v>
          </cell>
          <cell r="X27"/>
          <cell r="Y27"/>
          <cell r="Z27">
            <v>11.80998759775742</v>
          </cell>
          <cell r="AA27">
            <v>2.8987052806341049</v>
          </cell>
          <cell r="AB27">
            <v>39508</v>
          </cell>
          <cell r="AC27">
            <v>0.98433420365535251</v>
          </cell>
          <cell r="AD27">
            <v>0.9662921348314607</v>
          </cell>
          <cell r="AE27"/>
          <cell r="AF27"/>
          <cell r="AG27">
            <v>11.809290100612859</v>
          </cell>
          <cell r="AH27">
            <v>2.8842608848314608</v>
          </cell>
        </row>
        <row r="28">
          <cell r="B28">
            <v>39539</v>
          </cell>
          <cell r="C28"/>
          <cell r="D28">
            <v>387</v>
          </cell>
          <cell r="E28">
            <v>395</v>
          </cell>
          <cell r="F28">
            <v>0.97974683544303798</v>
          </cell>
          <cell r="G28" t="str">
            <v>g</v>
          </cell>
          <cell r="H28" t="str">
            <v>c</v>
          </cell>
          <cell r="I28" t="str">
            <v>c</v>
          </cell>
          <cell r="J28">
            <v>0.97499999999999998</v>
          </cell>
          <cell r="K28">
            <v>0.95</v>
          </cell>
          <cell r="L28">
            <v>0.96971649484536082</v>
          </cell>
          <cell r="M28" t="str">
            <v>c</v>
          </cell>
          <cell r="N28" t="str">
            <v>g</v>
          </cell>
          <cell r="O28" t="str">
            <v>c</v>
          </cell>
          <cell r="P28">
            <v>0.98</v>
          </cell>
          <cell r="Q28">
            <v>0.95</v>
          </cell>
          <cell r="R28"/>
          <cell r="S28"/>
          <cell r="T28"/>
          <cell r="U28">
            <v>39539</v>
          </cell>
          <cell r="V28">
            <v>0.98694516971279378</v>
          </cell>
          <cell r="W28">
            <v>0.97974683544303798</v>
          </cell>
          <cell r="X28"/>
          <cell r="Y28"/>
          <cell r="Z28">
            <v>11.80998759775742</v>
          </cell>
          <cell r="AA28">
            <v>3.8784521160771428</v>
          </cell>
          <cell r="AB28">
            <v>39539</v>
          </cell>
          <cell r="AC28">
            <v>0.98498694516971275</v>
          </cell>
          <cell r="AD28">
            <v>0.96971649484536082</v>
          </cell>
          <cell r="AE28"/>
          <cell r="AF28"/>
          <cell r="AG28">
            <v>11.809290100612859</v>
          </cell>
          <cell r="AH28">
            <v>3.8539773796768215</v>
          </cell>
        </row>
        <row r="29">
          <cell r="B29">
            <v>39569</v>
          </cell>
          <cell r="C29"/>
          <cell r="D29">
            <v>411</v>
          </cell>
          <cell r="E29">
            <v>417</v>
          </cell>
          <cell r="F29">
            <v>0.98561151079136688</v>
          </cell>
          <cell r="G29" t="str">
            <v>g</v>
          </cell>
          <cell r="H29" t="str">
            <v>c</v>
          </cell>
          <cell r="I29" t="str">
            <v>c</v>
          </cell>
          <cell r="J29">
            <v>0.97499999999999998</v>
          </cell>
          <cell r="K29">
            <v>0.95</v>
          </cell>
          <cell r="L29">
            <v>0.97308278313864904</v>
          </cell>
          <cell r="M29" t="str">
            <v>c</v>
          </cell>
          <cell r="N29" t="str">
            <v>g</v>
          </cell>
          <cell r="O29" t="str">
            <v>c</v>
          </cell>
          <cell r="P29">
            <v>0.98</v>
          </cell>
          <cell r="Q29">
            <v>0.95</v>
          </cell>
          <cell r="R29"/>
          <cell r="S29"/>
          <cell r="T29"/>
          <cell r="U29">
            <v>39569</v>
          </cell>
          <cell r="V29">
            <v>0.98172323759791125</v>
          </cell>
          <cell r="W29">
            <v>0.98561151079136688</v>
          </cell>
          <cell r="X29"/>
          <cell r="Y29"/>
          <cell r="Z29">
            <v>11.80998759775742</v>
          </cell>
          <cell r="AA29">
            <v>4.8640636268685098</v>
          </cell>
          <cell r="AB29">
            <v>39569</v>
          </cell>
          <cell r="AC29">
            <v>0.98433420365535251</v>
          </cell>
          <cell r="AD29">
            <v>0.97308278313864904</v>
          </cell>
          <cell r="AE29"/>
          <cell r="AF29"/>
          <cell r="AG29">
            <v>11.809290100612859</v>
          </cell>
          <cell r="AH29">
            <v>4.8270601628154708</v>
          </cell>
        </row>
        <row r="30">
          <cell r="B30">
            <v>39600</v>
          </cell>
          <cell r="C30"/>
          <cell r="D30">
            <v>415</v>
          </cell>
          <cell r="E30">
            <v>422</v>
          </cell>
          <cell r="F30">
            <v>0.98341232227488151</v>
          </cell>
          <cell r="G30" t="str">
            <v>g</v>
          </cell>
          <cell r="H30" t="str">
            <v>c</v>
          </cell>
          <cell r="I30" t="str">
            <v>c</v>
          </cell>
          <cell r="J30">
            <v>0.97499999999999998</v>
          </cell>
          <cell r="K30">
            <v>0.95</v>
          </cell>
          <cell r="L30">
            <v>0.97490589711417819</v>
          </cell>
          <cell r="M30" t="str">
            <v>c</v>
          </cell>
          <cell r="N30" t="str">
            <v>g</v>
          </cell>
          <cell r="O30" t="str">
            <v>c</v>
          </cell>
          <cell r="P30">
            <v>0.98</v>
          </cell>
          <cell r="Q30">
            <v>0.95</v>
          </cell>
          <cell r="R30"/>
          <cell r="S30"/>
          <cell r="T30"/>
          <cell r="U30">
            <v>39600</v>
          </cell>
          <cell r="V30">
            <v>0.98694516971279378</v>
          </cell>
          <cell r="W30">
            <v>0.98341232227488151</v>
          </cell>
          <cell r="X30"/>
          <cell r="Y30"/>
          <cell r="Z30">
            <v>11.80998759775742</v>
          </cell>
          <cell r="AA30">
            <v>5.8474759491433916</v>
          </cell>
          <cell r="AB30">
            <v>39600</v>
          </cell>
          <cell r="AC30">
            <v>0.98476936466492604</v>
          </cell>
          <cell r="AD30">
            <v>0.97490589711417819</v>
          </cell>
          <cell r="AE30"/>
          <cell r="AF30"/>
          <cell r="AG30">
            <v>11.809290100612859</v>
          </cell>
          <cell r="AH30">
            <v>5.801966059929649</v>
          </cell>
        </row>
        <row r="31">
          <cell r="B31">
            <v>39630</v>
          </cell>
          <cell r="C31"/>
          <cell r="D31">
            <v>393</v>
          </cell>
          <cell r="E31">
            <v>399</v>
          </cell>
          <cell r="F31">
            <v>0.98496240601503759</v>
          </cell>
          <cell r="G31" t="str">
            <v>g</v>
          </cell>
          <cell r="H31" t="str">
            <v>c</v>
          </cell>
          <cell r="I31" t="str">
            <v>c</v>
          </cell>
          <cell r="J31">
            <v>0.97499999999999998</v>
          </cell>
          <cell r="K31">
            <v>0.95</v>
          </cell>
          <cell r="L31">
            <v>0.97634408602150535</v>
          </cell>
          <cell r="M31" t="str">
            <v>c</v>
          </cell>
          <cell r="N31" t="str">
            <v>g</v>
          </cell>
          <cell r="O31" t="str">
            <v>c</v>
          </cell>
          <cell r="P31">
            <v>0.98</v>
          </cell>
          <cell r="Q31">
            <v>0.95</v>
          </cell>
          <cell r="R31"/>
          <cell r="S31"/>
          <cell r="T31"/>
          <cell r="U31">
            <v>39630</v>
          </cell>
          <cell r="V31">
            <v>0.98694516971279378</v>
          </cell>
          <cell r="W31">
            <v>0.98496240601503759</v>
          </cell>
          <cell r="X31"/>
          <cell r="Y31"/>
          <cell r="Z31">
            <v>11.80998759775742</v>
          </cell>
          <cell r="AA31">
            <v>6.8324383551584296</v>
          </cell>
          <cell r="AB31">
            <v>39630</v>
          </cell>
          <cell r="AC31">
            <v>0.98508019395747859</v>
          </cell>
          <cell r="AD31">
            <v>0.97634408602150535</v>
          </cell>
          <cell r="AE31"/>
          <cell r="AF31"/>
          <cell r="AG31">
            <v>11.809290100612859</v>
          </cell>
          <cell r="AH31">
            <v>6.7783101459511546</v>
          </cell>
        </row>
        <row r="32">
          <cell r="B32">
            <v>39661</v>
          </cell>
          <cell r="C32"/>
          <cell r="D32">
            <v>405</v>
          </cell>
          <cell r="E32">
            <v>410</v>
          </cell>
          <cell r="F32">
            <v>0.98780487804878048</v>
          </cell>
          <cell r="G32" t="str">
            <v>g</v>
          </cell>
          <cell r="H32" t="str">
            <v>c</v>
          </cell>
          <cell r="I32" t="str">
            <v>c</v>
          </cell>
          <cell r="J32">
            <v>0.97499999999999998</v>
          </cell>
          <cell r="K32">
            <v>0.95</v>
          </cell>
          <cell r="L32">
            <v>0.97781249999999997</v>
          </cell>
          <cell r="M32" t="str">
            <v>c</v>
          </cell>
          <cell r="N32" t="str">
            <v>g</v>
          </cell>
          <cell r="O32" t="str">
            <v>c</v>
          </cell>
          <cell r="P32">
            <v>0.98</v>
          </cell>
          <cell r="Q32">
            <v>0.95</v>
          </cell>
          <cell r="R32"/>
          <cell r="S32"/>
          <cell r="T32"/>
          <cell r="U32">
            <v>39661</v>
          </cell>
          <cell r="V32">
            <v>0.98694516971279378</v>
          </cell>
          <cell r="W32">
            <v>0.98780487804878048</v>
          </cell>
          <cell r="X32"/>
          <cell r="Y32"/>
          <cell r="Z32">
            <v>11.80998759775742</v>
          </cell>
          <cell r="AA32">
            <v>7.8202432332072096</v>
          </cell>
          <cell r="AB32">
            <v>39661</v>
          </cell>
          <cell r="AC32">
            <v>0.98531331592689297</v>
          </cell>
          <cell r="AD32">
            <v>0.97781249999999997</v>
          </cell>
          <cell r="AE32"/>
          <cell r="AF32"/>
          <cell r="AG32">
            <v>11.809290100612859</v>
          </cell>
          <cell r="AH32">
            <v>7.7561226459511543</v>
          </cell>
        </row>
        <row r="33">
          <cell r="B33">
            <v>39692</v>
          </cell>
          <cell r="C33"/>
          <cell r="D33">
            <v>436</v>
          </cell>
          <cell r="E33">
            <v>441</v>
          </cell>
          <cell r="F33">
            <v>0.9886621315192744</v>
          </cell>
          <cell r="G33" t="str">
            <v>g</v>
          </cell>
          <cell r="H33" t="str">
            <v>c</v>
          </cell>
          <cell r="I33" t="str">
            <v>c</v>
          </cell>
          <cell r="J33">
            <v>0.97499999999999998</v>
          </cell>
          <cell r="K33">
            <v>0.95</v>
          </cell>
          <cell r="L33">
            <v>0.97912661356770114</v>
          </cell>
          <cell r="M33" t="str">
            <v>c</v>
          </cell>
          <cell r="N33" t="str">
            <v>g</v>
          </cell>
          <cell r="O33" t="str">
            <v>c</v>
          </cell>
          <cell r="P33">
            <v>0.98</v>
          </cell>
          <cell r="Q33">
            <v>0.95</v>
          </cell>
          <cell r="R33"/>
          <cell r="S33"/>
          <cell r="T33"/>
          <cell r="U33">
            <v>39692</v>
          </cell>
          <cell r="V33">
            <v>0.98694516971279378</v>
          </cell>
          <cell r="W33"/>
          <cell r="X33"/>
          <cell r="Y33"/>
          <cell r="Z33">
            <v>11.80998759775742</v>
          </cell>
          <cell r="AA33" t="str">
            <v/>
          </cell>
          <cell r="AB33">
            <v>39692</v>
          </cell>
          <cell r="AC33">
            <v>0.98549463301421525</v>
          </cell>
          <cell r="AD33">
            <v>0.97912661356770114</v>
          </cell>
          <cell r="AE33"/>
          <cell r="AF33"/>
          <cell r="AG33">
            <v>11.809290100612859</v>
          </cell>
          <cell r="AH33">
            <v>8.7352492595188558</v>
          </cell>
        </row>
        <row r="34">
          <cell r="B34">
            <v>39722</v>
          </cell>
          <cell r="C34"/>
          <cell r="D34">
            <v>1110</v>
          </cell>
          <cell r="E34">
            <v>1124</v>
          </cell>
          <cell r="F34">
            <v>0.98754448398576511</v>
          </cell>
          <cell r="G34" t="str">
            <v>g</v>
          </cell>
          <cell r="H34" t="str">
            <v>c</v>
          </cell>
          <cell r="I34" t="str">
            <v>c</v>
          </cell>
          <cell r="J34">
            <v>0.97499999999999998</v>
          </cell>
          <cell r="K34">
            <v>0.95</v>
          </cell>
          <cell r="L34">
            <v>0.98111227701993708</v>
          </cell>
          <cell r="M34" t="str">
            <v>g</v>
          </cell>
          <cell r="N34" t="str">
            <v>c</v>
          </cell>
          <cell r="O34" t="str">
            <v>c</v>
          </cell>
          <cell r="P34">
            <v>0.98</v>
          </cell>
          <cell r="Q34">
            <v>0.95</v>
          </cell>
          <cell r="R34"/>
          <cell r="S34"/>
          <cell r="T34"/>
          <cell r="U34">
            <v>39722</v>
          </cell>
          <cell r="V34">
            <v>0.97950819672131151</v>
          </cell>
          <cell r="W34"/>
          <cell r="X34"/>
          <cell r="Y34"/>
          <cell r="Z34">
            <v>11.80998759775742</v>
          </cell>
          <cell r="AA34" t="str">
            <v/>
          </cell>
          <cell r="AB34">
            <v>39722</v>
          </cell>
          <cell r="AC34">
            <v>0.98475222363405335</v>
          </cell>
          <cell r="AD34">
            <v>0.98111227701993708</v>
          </cell>
          <cell r="AE34"/>
          <cell r="AF34"/>
          <cell r="AG34">
            <v>11.809290100612859</v>
          </cell>
          <cell r="AH34">
            <v>9.716361536538793</v>
          </cell>
        </row>
        <row r="35">
          <cell r="B35">
            <v>39753</v>
          </cell>
          <cell r="C35"/>
          <cell r="D35">
            <v>1094</v>
          </cell>
          <cell r="E35">
            <v>1113</v>
          </cell>
          <cell r="F35">
            <v>0.98292902066486976</v>
          </cell>
          <cell r="G35" t="str">
            <v>g</v>
          </cell>
          <cell r="H35" t="str">
            <v>c</v>
          </cell>
          <cell r="I35" t="str">
            <v>c</v>
          </cell>
          <cell r="J35">
            <v>0.97499999999999998</v>
          </cell>
          <cell r="K35">
            <v>0.95</v>
          </cell>
          <cell r="L35">
            <v>0.98145627764545762</v>
          </cell>
          <cell r="M35" t="str">
            <v>g</v>
          </cell>
          <cell r="N35" t="str">
            <v>c</v>
          </cell>
          <cell r="O35" t="str">
            <v>c</v>
          </cell>
          <cell r="P35">
            <v>0.98</v>
          </cell>
          <cell r="Q35">
            <v>0.95</v>
          </cell>
          <cell r="R35"/>
          <cell r="S35"/>
          <cell r="T35"/>
          <cell r="U35">
            <v>39753</v>
          </cell>
          <cell r="V35">
            <v>0.97950819672131151</v>
          </cell>
          <cell r="W35"/>
          <cell r="X35"/>
          <cell r="Y35"/>
          <cell r="Z35">
            <v>11.80998759775742</v>
          </cell>
          <cell r="AA35" t="str">
            <v/>
          </cell>
          <cell r="AB35">
            <v>39753</v>
          </cell>
          <cell r="AC35">
            <v>0.98417363780239653</v>
          </cell>
          <cell r="AD35">
            <v>0.98145627764545762</v>
          </cell>
          <cell r="AE35"/>
          <cell r="AF35"/>
          <cell r="AG35">
            <v>11.809290100612859</v>
          </cell>
          <cell r="AH35">
            <v>10.697817814184251</v>
          </cell>
        </row>
        <row r="36">
          <cell r="B36">
            <v>39783</v>
          </cell>
          <cell r="C36"/>
          <cell r="D36">
            <v>349</v>
          </cell>
          <cell r="E36">
            <v>358</v>
          </cell>
          <cell r="F36">
            <v>0.97486033519553073</v>
          </cell>
          <cell r="G36" t="str">
            <v>c</v>
          </cell>
          <cell r="H36" t="str">
            <v>g</v>
          </cell>
          <cell r="I36" t="str">
            <v>c</v>
          </cell>
          <cell r="J36">
            <v>0.97499999999999998</v>
          </cell>
          <cell r="K36">
            <v>0.95</v>
          </cell>
          <cell r="L36">
            <v>0.98107761385503522</v>
          </cell>
          <cell r="M36" t="str">
            <v>g</v>
          </cell>
          <cell r="N36" t="str">
            <v>c</v>
          </cell>
          <cell r="O36" t="str">
            <v>c</v>
          </cell>
          <cell r="P36">
            <v>0.98</v>
          </cell>
          <cell r="Q36">
            <v>0.95</v>
          </cell>
          <cell r="R36"/>
          <cell r="S36"/>
          <cell r="T36"/>
          <cell r="U36">
            <v>39783</v>
          </cell>
          <cell r="V36">
            <v>0.98151950718685832</v>
          </cell>
          <cell r="W36"/>
          <cell r="X36"/>
          <cell r="Y36"/>
          <cell r="Z36">
            <v>11.80998759775742</v>
          </cell>
          <cell r="AA36" t="str">
            <v/>
          </cell>
          <cell r="AB36">
            <v>39783</v>
          </cell>
          <cell r="AC36">
            <v>0.9839103869653768</v>
          </cell>
          <cell r="AD36">
            <v>0.98107761385503522</v>
          </cell>
          <cell r="AE36"/>
          <cell r="AF36"/>
          <cell r="AG36">
            <v>11.809290100612859</v>
          </cell>
          <cell r="AH36">
            <v>11.678895428039286</v>
          </cell>
        </row>
        <row r="37">
          <cell r="B37">
            <v>39814</v>
          </cell>
          <cell r="C37"/>
          <cell r="D37"/>
          <cell r="E37"/>
          <cell r="F37"/>
          <cell r="G37"/>
          <cell r="H37"/>
          <cell r="I37"/>
          <cell r="J37">
            <v>0.97499999999999998</v>
          </cell>
          <cell r="K37">
            <v>0.95</v>
          </cell>
          <cell r="L37" t="str">
            <v/>
          </cell>
          <cell r="M37"/>
          <cell r="N37"/>
          <cell r="O37"/>
          <cell r="P37">
            <v>0.98</v>
          </cell>
          <cell r="Q37">
            <v>0.95</v>
          </cell>
          <cell r="R37"/>
          <cell r="S37"/>
          <cell r="T37"/>
          <cell r="U37">
            <v>39814</v>
          </cell>
          <cell r="V37">
            <v>0.95833333333333337</v>
          </cell>
          <cell r="W37"/>
          <cell r="X37"/>
          <cell r="Y37"/>
          <cell r="Z37"/>
          <cell r="AA37"/>
          <cell r="AB37">
            <v>39814</v>
          </cell>
          <cell r="AC37">
            <v>0.95833333333333337</v>
          </cell>
          <cell r="AD37" t="str">
            <v/>
          </cell>
          <cell r="AE37"/>
          <cell r="AF37"/>
          <cell r="AG37"/>
          <cell r="AH37"/>
        </row>
        <row r="38">
          <cell r="B38">
            <v>39845</v>
          </cell>
          <cell r="C38"/>
          <cell r="D38"/>
          <cell r="E38"/>
          <cell r="F38"/>
          <cell r="G38"/>
          <cell r="H38"/>
          <cell r="I38"/>
          <cell r="J38">
            <v>0.97499999999999998</v>
          </cell>
          <cell r="K38">
            <v>0.95</v>
          </cell>
          <cell r="L38" t="str">
            <v/>
          </cell>
          <cell r="M38"/>
          <cell r="N38"/>
          <cell r="O38"/>
          <cell r="P38">
            <v>0.98</v>
          </cell>
          <cell r="Q38">
            <v>0.95</v>
          </cell>
          <cell r="R38"/>
          <cell r="S38"/>
          <cell r="T38"/>
          <cell r="U38">
            <v>39845</v>
          </cell>
          <cell r="V38">
            <v>0.9609375</v>
          </cell>
          <cell r="W38"/>
          <cell r="X38"/>
          <cell r="Y38"/>
          <cell r="Z38"/>
          <cell r="AA38"/>
          <cell r="AB38">
            <v>39845</v>
          </cell>
          <cell r="AC38">
            <v>0.95963541666666663</v>
          </cell>
          <cell r="AD38" t="str">
            <v/>
          </cell>
          <cell r="AE38"/>
          <cell r="AF38"/>
          <cell r="AG38"/>
          <cell r="AH38"/>
        </row>
        <row r="39">
          <cell r="B39">
            <v>39873</v>
          </cell>
          <cell r="C39"/>
          <cell r="D39"/>
          <cell r="E39"/>
          <cell r="F39"/>
          <cell r="G39"/>
          <cell r="H39"/>
          <cell r="I39"/>
          <cell r="J39">
            <v>0.97499999999999998</v>
          </cell>
          <cell r="K39">
            <v>0.95</v>
          </cell>
          <cell r="L39" t="str">
            <v/>
          </cell>
          <cell r="M39"/>
          <cell r="N39"/>
          <cell r="O39"/>
          <cell r="P39">
            <v>0.98</v>
          </cell>
          <cell r="Q39">
            <v>0.95</v>
          </cell>
          <cell r="U39">
            <v>39873</v>
          </cell>
          <cell r="V39">
            <v>0.97943444730077123</v>
          </cell>
          <cell r="W39"/>
          <cell r="X39"/>
          <cell r="Y39"/>
          <cell r="Z39"/>
          <cell r="AA39"/>
          <cell r="AB39">
            <v>39873</v>
          </cell>
          <cell r="AC39">
            <v>0.9662921348314607</v>
          </cell>
          <cell r="AD39" t="str">
            <v/>
          </cell>
          <cell r="AE39"/>
          <cell r="AF39"/>
          <cell r="AG39"/>
          <cell r="AH39"/>
        </row>
        <row r="40">
          <cell r="B40">
            <v>39904</v>
          </cell>
          <cell r="C40"/>
          <cell r="D40"/>
          <cell r="E40"/>
          <cell r="F40"/>
          <cell r="G40"/>
          <cell r="H40"/>
          <cell r="I40"/>
          <cell r="J40">
            <v>0.97499999999999998</v>
          </cell>
          <cell r="K40">
            <v>0.95</v>
          </cell>
          <cell r="L40" t="str">
            <v/>
          </cell>
          <cell r="M40"/>
          <cell r="N40"/>
          <cell r="O40"/>
          <cell r="P40">
            <v>0.98</v>
          </cell>
          <cell r="Q40">
            <v>0.95</v>
          </cell>
          <cell r="U40">
            <v>39904</v>
          </cell>
          <cell r="V40">
            <v>0.97974683544303798</v>
          </cell>
          <cell r="W40"/>
          <cell r="X40"/>
          <cell r="Y40"/>
          <cell r="Z40"/>
          <cell r="AA40"/>
          <cell r="AB40">
            <v>39904</v>
          </cell>
          <cell r="AC40">
            <v>0.96971649484536082</v>
          </cell>
          <cell r="AD40" t="str">
            <v/>
          </cell>
          <cell r="AE40"/>
          <cell r="AF40"/>
          <cell r="AG40"/>
          <cell r="AH40"/>
        </row>
        <row r="41">
          <cell r="B41">
            <v>39934</v>
          </cell>
          <cell r="C41"/>
          <cell r="D41"/>
          <cell r="E41"/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  <cell r="J41">
            <v>0.97499999999999998</v>
          </cell>
          <cell r="K41">
            <v>0.95</v>
          </cell>
          <cell r="L41" t="str">
            <v/>
          </cell>
          <cell r="M41" t="str">
            <v/>
          </cell>
          <cell r="N41" t="str">
            <v/>
          </cell>
          <cell r="O41" t="str">
            <v/>
          </cell>
          <cell r="P41">
            <v>0.98</v>
          </cell>
          <cell r="Q41">
            <v>0.95</v>
          </cell>
          <cell r="U41"/>
          <cell r="V41"/>
          <cell r="W41"/>
          <cell r="X41"/>
          <cell r="Y41"/>
          <cell r="Z41"/>
          <cell r="AA41"/>
          <cell r="AB41"/>
          <cell r="AC41"/>
          <cell r="AD41" t="str">
            <v/>
          </cell>
          <cell r="AE41"/>
          <cell r="AF41"/>
          <cell r="AG41"/>
          <cell r="AH41"/>
        </row>
        <row r="42">
          <cell r="B42">
            <v>39965</v>
          </cell>
          <cell r="C42"/>
          <cell r="D42"/>
          <cell r="E42"/>
          <cell r="F42"/>
          <cell r="G42"/>
          <cell r="H42"/>
          <cell r="I42"/>
          <cell r="J42">
            <v>0.97499999999999998</v>
          </cell>
          <cell r="K42">
            <v>0.95</v>
          </cell>
          <cell r="L42" t="str">
            <v/>
          </cell>
          <cell r="M42"/>
          <cell r="N42"/>
          <cell r="O42"/>
          <cell r="P42">
            <v>0.98</v>
          </cell>
          <cell r="Q42">
            <v>0.95</v>
          </cell>
          <cell r="U42"/>
          <cell r="V42"/>
          <cell r="W42"/>
          <cell r="X42"/>
          <cell r="Y42"/>
          <cell r="Z42"/>
          <cell r="AA42"/>
          <cell r="AB42"/>
          <cell r="AC42"/>
          <cell r="AD42" t="str">
            <v/>
          </cell>
          <cell r="AE42"/>
          <cell r="AF42"/>
          <cell r="AG42"/>
          <cell r="AH42"/>
        </row>
        <row r="43">
          <cell r="B43">
            <v>39995</v>
          </cell>
          <cell r="C43"/>
          <cell r="D43"/>
          <cell r="E43"/>
          <cell r="F43"/>
          <cell r="G43"/>
          <cell r="H43"/>
          <cell r="I43"/>
          <cell r="J43">
            <v>0.97499999999999998</v>
          </cell>
          <cell r="K43">
            <v>0.95</v>
          </cell>
          <cell r="L43" t="str">
            <v/>
          </cell>
          <cell r="M43"/>
          <cell r="N43"/>
          <cell r="O43"/>
          <cell r="P43">
            <v>0.98</v>
          </cell>
          <cell r="Q43">
            <v>0.95</v>
          </cell>
          <cell r="U43"/>
          <cell r="V43"/>
          <cell r="W43"/>
          <cell r="X43"/>
          <cell r="Y43"/>
          <cell r="Z43"/>
          <cell r="AA43"/>
          <cell r="AB43"/>
          <cell r="AC43"/>
          <cell r="AD43" t="str">
            <v/>
          </cell>
          <cell r="AE43"/>
          <cell r="AF43"/>
          <cell r="AG43"/>
          <cell r="AH43"/>
        </row>
        <row r="44">
          <cell r="B44">
            <v>40026</v>
          </cell>
          <cell r="C44"/>
          <cell r="D44"/>
          <cell r="E44"/>
          <cell r="F44"/>
          <cell r="G44"/>
          <cell r="H44"/>
          <cell r="I44"/>
          <cell r="J44">
            <v>0.97499999999999998</v>
          </cell>
          <cell r="K44">
            <v>0.95</v>
          </cell>
          <cell r="L44" t="str">
            <v/>
          </cell>
          <cell r="M44"/>
          <cell r="N44"/>
          <cell r="O44"/>
          <cell r="P44">
            <v>0.98</v>
          </cell>
          <cell r="Q44">
            <v>0.95</v>
          </cell>
          <cell r="U44"/>
          <cell r="V44"/>
          <cell r="W44"/>
          <cell r="X44"/>
          <cell r="Y44"/>
          <cell r="Z44"/>
          <cell r="AA44"/>
          <cell r="AB44"/>
          <cell r="AC44"/>
          <cell r="AD44" t="str">
            <v/>
          </cell>
          <cell r="AE44"/>
          <cell r="AF44"/>
          <cell r="AG44"/>
          <cell r="AH44"/>
        </row>
        <row r="45">
          <cell r="B45">
            <v>40057</v>
          </cell>
          <cell r="C45"/>
          <cell r="D45"/>
          <cell r="E45"/>
          <cell r="F45"/>
          <cell r="G45"/>
          <cell r="H45"/>
          <cell r="I45"/>
          <cell r="J45">
            <v>0.97499999999999998</v>
          </cell>
          <cell r="K45">
            <v>0.95</v>
          </cell>
          <cell r="L45" t="str">
            <v/>
          </cell>
          <cell r="M45"/>
          <cell r="N45"/>
          <cell r="O45"/>
          <cell r="P45">
            <v>0.98</v>
          </cell>
          <cell r="Q45">
            <v>0.95</v>
          </cell>
          <cell r="U45"/>
          <cell r="V45"/>
          <cell r="W45"/>
          <cell r="X45"/>
          <cell r="Y45"/>
          <cell r="Z45"/>
          <cell r="AA45"/>
          <cell r="AB45"/>
          <cell r="AC45"/>
          <cell r="AD45" t="str">
            <v/>
          </cell>
          <cell r="AE45"/>
          <cell r="AF45"/>
          <cell r="AG45"/>
          <cell r="AH45"/>
        </row>
      </sheetData>
      <sheetData sheetId="58">
        <row r="10">
          <cell r="B10"/>
          <cell r="C10"/>
          <cell r="D10"/>
          <cell r="E10"/>
          <cell r="F10"/>
          <cell r="G10"/>
          <cell r="H10"/>
          <cell r="I10"/>
        </row>
        <row r="11">
          <cell r="B11" t="str">
            <v>Mes - Año</v>
          </cell>
          <cell r="C11"/>
          <cell r="D11" t="str">
            <v>Veces que el stock fue igual a cero</v>
          </cell>
          <cell r="E11" t="str">
            <v>Mensual</v>
          </cell>
          <cell r="F11"/>
          <cell r="G11"/>
          <cell r="H11"/>
          <cell r="I11"/>
        </row>
        <row r="12">
          <cell r="B12"/>
          <cell r="C12"/>
          <cell r="D12"/>
          <cell r="E12" t="str">
            <v>Performance</v>
          </cell>
          <cell r="F12"/>
          <cell r="G12"/>
          <cell r="H12" t="str">
            <v>Sup</v>
          </cell>
          <cell r="I12" t="str">
            <v>Inf</v>
          </cell>
        </row>
        <row r="13">
          <cell r="B13">
            <v>39083</v>
          </cell>
          <cell r="C13"/>
          <cell r="D13"/>
          <cell r="E13" t="str">
            <v/>
          </cell>
          <cell r="F13" t="str">
            <v/>
          </cell>
          <cell r="G13" t="str">
            <v/>
          </cell>
          <cell r="H13">
            <v>0</v>
          </cell>
          <cell r="I13">
            <v>0</v>
          </cell>
        </row>
        <row r="14">
          <cell r="B14">
            <v>39114</v>
          </cell>
          <cell r="C14"/>
          <cell r="D14"/>
          <cell r="E14" t="str">
            <v/>
          </cell>
          <cell r="F14" t="str">
            <v/>
          </cell>
          <cell r="G14" t="str">
            <v/>
          </cell>
          <cell r="H14">
            <v>0</v>
          </cell>
          <cell r="I14">
            <v>0</v>
          </cell>
        </row>
        <row r="15">
          <cell r="B15">
            <v>39142</v>
          </cell>
          <cell r="C15"/>
          <cell r="D15"/>
          <cell r="E15" t="str">
            <v/>
          </cell>
          <cell r="F15" t="str">
            <v/>
          </cell>
          <cell r="G15" t="str">
            <v/>
          </cell>
          <cell r="H15">
            <v>0</v>
          </cell>
          <cell r="I15">
            <v>0</v>
          </cell>
        </row>
        <row r="16">
          <cell r="B16">
            <v>39173</v>
          </cell>
          <cell r="C16"/>
          <cell r="D16"/>
          <cell r="E16" t="str">
            <v/>
          </cell>
          <cell r="F16" t="str">
            <v/>
          </cell>
          <cell r="G16" t="str">
            <v/>
          </cell>
          <cell r="H16">
            <v>0</v>
          </cell>
          <cell r="I16">
            <v>0</v>
          </cell>
        </row>
        <row r="17">
          <cell r="B17">
            <v>39203</v>
          </cell>
          <cell r="C17"/>
          <cell r="D17"/>
          <cell r="E17" t="str">
            <v/>
          </cell>
          <cell r="F17" t="str">
            <v/>
          </cell>
          <cell r="G17" t="str">
            <v/>
          </cell>
          <cell r="H17">
            <v>0</v>
          </cell>
          <cell r="I17">
            <v>0</v>
          </cell>
        </row>
        <row r="18">
          <cell r="B18">
            <v>39234</v>
          </cell>
          <cell r="C18"/>
          <cell r="D18"/>
          <cell r="E18" t="str">
            <v/>
          </cell>
          <cell r="F18" t="str">
            <v/>
          </cell>
          <cell r="G18" t="str">
            <v/>
          </cell>
          <cell r="H18">
            <v>0</v>
          </cell>
          <cell r="I18">
            <v>0</v>
          </cell>
        </row>
        <row r="19">
          <cell r="B19">
            <v>39264</v>
          </cell>
          <cell r="C19"/>
          <cell r="D19"/>
          <cell r="E19" t="str">
            <v/>
          </cell>
          <cell r="F19" t="str">
            <v/>
          </cell>
          <cell r="G19" t="str">
            <v/>
          </cell>
          <cell r="H19">
            <v>0</v>
          </cell>
          <cell r="I19">
            <v>0</v>
          </cell>
        </row>
        <row r="20">
          <cell r="B20">
            <v>39295</v>
          </cell>
          <cell r="C20"/>
          <cell r="D20"/>
          <cell r="E20" t="str">
            <v/>
          </cell>
          <cell r="F20" t="str">
            <v/>
          </cell>
          <cell r="G20" t="str">
            <v/>
          </cell>
          <cell r="H20">
            <v>0</v>
          </cell>
          <cell r="I20">
            <v>0</v>
          </cell>
        </row>
        <row r="21">
          <cell r="B21">
            <v>39326</v>
          </cell>
          <cell r="C21"/>
          <cell r="D21"/>
          <cell r="E21" t="str">
            <v/>
          </cell>
          <cell r="F21" t="str">
            <v/>
          </cell>
          <cell r="G21" t="str">
            <v/>
          </cell>
          <cell r="H21">
            <v>0</v>
          </cell>
          <cell r="I21">
            <v>0</v>
          </cell>
        </row>
        <row r="22">
          <cell r="B22">
            <v>39356</v>
          </cell>
          <cell r="C22"/>
          <cell r="D22"/>
          <cell r="E22" t="str">
            <v/>
          </cell>
          <cell r="F22" t="str">
            <v/>
          </cell>
          <cell r="G22" t="str">
            <v/>
          </cell>
          <cell r="H22">
            <v>0</v>
          </cell>
          <cell r="I22">
            <v>0</v>
          </cell>
        </row>
        <row r="23">
          <cell r="B23">
            <v>39387</v>
          </cell>
          <cell r="C23"/>
          <cell r="D23"/>
          <cell r="E23" t="str">
            <v/>
          </cell>
          <cell r="F23" t="str">
            <v/>
          </cell>
          <cell r="G23" t="str">
            <v/>
          </cell>
          <cell r="H23">
            <v>0</v>
          </cell>
          <cell r="I23">
            <v>0</v>
          </cell>
        </row>
        <row r="24">
          <cell r="B24">
            <v>39417</v>
          </cell>
          <cell r="C24"/>
          <cell r="D24"/>
          <cell r="E24" t="str">
            <v/>
          </cell>
          <cell r="F24" t="str">
            <v/>
          </cell>
          <cell r="G24" t="str">
            <v/>
          </cell>
          <cell r="H24">
            <v>0</v>
          </cell>
          <cell r="I24">
            <v>0</v>
          </cell>
        </row>
        <row r="25">
          <cell r="B25">
            <v>39448</v>
          </cell>
          <cell r="C25"/>
          <cell r="D25"/>
          <cell r="E25" t="str">
            <v/>
          </cell>
          <cell r="F25" t="str">
            <v/>
          </cell>
          <cell r="G25" t="str">
            <v/>
          </cell>
          <cell r="H25">
            <v>0</v>
          </cell>
          <cell r="I25">
            <v>0</v>
          </cell>
        </row>
        <row r="26">
          <cell r="B26">
            <v>39479</v>
          </cell>
          <cell r="C26"/>
          <cell r="D26"/>
          <cell r="E26" t="str">
            <v/>
          </cell>
          <cell r="F26" t="str">
            <v/>
          </cell>
          <cell r="G26" t="str">
            <v/>
          </cell>
          <cell r="H26">
            <v>0</v>
          </cell>
          <cell r="I26">
            <v>0</v>
          </cell>
        </row>
        <row r="27">
          <cell r="B27">
            <v>39508</v>
          </cell>
          <cell r="C27"/>
          <cell r="D27"/>
          <cell r="E27" t="str">
            <v/>
          </cell>
          <cell r="F27" t="str">
            <v/>
          </cell>
          <cell r="G27" t="str">
            <v/>
          </cell>
          <cell r="H27">
            <v>0</v>
          </cell>
          <cell r="I27">
            <v>0</v>
          </cell>
        </row>
        <row r="28">
          <cell r="B28">
            <v>39539</v>
          </cell>
          <cell r="C28"/>
          <cell r="D28"/>
          <cell r="E28" t="str">
            <v/>
          </cell>
          <cell r="F28" t="str">
            <v/>
          </cell>
          <cell r="G28" t="str">
            <v/>
          </cell>
          <cell r="H28">
            <v>0</v>
          </cell>
          <cell r="I28">
            <v>0</v>
          </cell>
        </row>
        <row r="29">
          <cell r="B29">
            <v>39569</v>
          </cell>
          <cell r="C29"/>
          <cell r="D29"/>
          <cell r="E29" t="str">
            <v/>
          </cell>
          <cell r="F29" t="str">
            <v/>
          </cell>
          <cell r="G29" t="str">
            <v/>
          </cell>
          <cell r="H29">
            <v>0</v>
          </cell>
          <cell r="I29">
            <v>0</v>
          </cell>
        </row>
        <row r="30">
          <cell r="B30">
            <v>39600</v>
          </cell>
          <cell r="C30"/>
          <cell r="D30"/>
          <cell r="E30" t="str">
            <v/>
          </cell>
          <cell r="F30" t="str">
            <v/>
          </cell>
          <cell r="G30" t="str">
            <v/>
          </cell>
          <cell r="H30">
            <v>0</v>
          </cell>
          <cell r="I30">
            <v>0</v>
          </cell>
        </row>
        <row r="31">
          <cell r="B31">
            <v>39630</v>
          </cell>
          <cell r="C31"/>
          <cell r="D31"/>
          <cell r="E31" t="str">
            <v/>
          </cell>
          <cell r="F31" t="str">
            <v/>
          </cell>
          <cell r="G31" t="str">
            <v/>
          </cell>
          <cell r="H31">
            <v>0</v>
          </cell>
          <cell r="I31">
            <v>0</v>
          </cell>
        </row>
        <row r="32">
          <cell r="B32">
            <v>39661</v>
          </cell>
          <cell r="C32"/>
          <cell r="D32"/>
          <cell r="E32" t="str">
            <v/>
          </cell>
          <cell r="F32" t="str">
            <v/>
          </cell>
          <cell r="G32" t="str">
            <v/>
          </cell>
          <cell r="H32">
            <v>0</v>
          </cell>
          <cell r="I32">
            <v>0</v>
          </cell>
        </row>
        <row r="33">
          <cell r="B33">
            <v>39692</v>
          </cell>
          <cell r="C33"/>
          <cell r="D33"/>
          <cell r="E33" t="str">
            <v/>
          </cell>
          <cell r="F33" t="str">
            <v/>
          </cell>
          <cell r="G33" t="str">
            <v/>
          </cell>
          <cell r="H33">
            <v>0</v>
          </cell>
          <cell r="I33">
            <v>0</v>
          </cell>
        </row>
        <row r="34">
          <cell r="B34">
            <v>39722</v>
          </cell>
          <cell r="C34"/>
          <cell r="D34"/>
          <cell r="E34" t="str">
            <v/>
          </cell>
          <cell r="F34" t="str">
            <v/>
          </cell>
          <cell r="G34" t="str">
            <v/>
          </cell>
          <cell r="H34">
            <v>0</v>
          </cell>
          <cell r="I34">
            <v>0</v>
          </cell>
        </row>
      </sheetData>
      <sheetData sheetId="59">
        <row r="13">
          <cell r="B13"/>
          <cell r="C13" t="str">
            <v>INDICE DE FRECUENCIA</v>
          </cell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/>
          <cell r="P13" t="str">
            <v>INDICE DE GRAVEDAD</v>
          </cell>
          <cell r="Q13"/>
          <cell r="R13"/>
          <cell r="S13"/>
          <cell r="T13"/>
          <cell r="U13"/>
          <cell r="V13"/>
          <cell r="W13"/>
          <cell r="X13"/>
          <cell r="Y13"/>
          <cell r="Z13"/>
          <cell r="AA13"/>
          <cell r="AB13"/>
          <cell r="AC13" t="str">
            <v>NUMERO DE ACCIDENTES</v>
          </cell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R13" t="str">
            <v>Frecuencia</v>
          </cell>
          <cell r="AS13"/>
          <cell r="AT13"/>
          <cell r="AU13"/>
          <cell r="AV13"/>
          <cell r="AW13" t="str">
            <v>Acum. Frecuencia</v>
          </cell>
          <cell r="AX13"/>
          <cell r="AY13"/>
          <cell r="AZ13"/>
          <cell r="BA13"/>
          <cell r="BB13"/>
          <cell r="BC13" t="str">
            <v>Gravedad</v>
          </cell>
          <cell r="BD13"/>
          <cell r="BE13"/>
          <cell r="BF13"/>
          <cell r="BG13"/>
          <cell r="BH13" t="str">
            <v>Acum. Gravedad</v>
          </cell>
          <cell r="BI13"/>
          <cell r="BJ13"/>
          <cell r="BK13"/>
          <cell r="BL13"/>
          <cell r="BM13"/>
          <cell r="BN13" t="str">
            <v>Accidentes</v>
          </cell>
          <cell r="BO13"/>
          <cell r="BP13"/>
          <cell r="BQ13"/>
          <cell r="BR13"/>
          <cell r="BS13" t="str">
            <v>Acum. Accidentes</v>
          </cell>
          <cell r="BT13"/>
          <cell r="BU13"/>
          <cell r="BV13"/>
          <cell r="BW13"/>
        </row>
        <row r="14">
          <cell r="B14" t="str">
            <v>Año</v>
          </cell>
          <cell r="C14"/>
          <cell r="D14" t="str">
            <v>INDICE DE FRECUENCIA</v>
          </cell>
          <cell r="E14"/>
          <cell r="F14"/>
          <cell r="G14"/>
          <cell r="H14"/>
          <cell r="I14"/>
          <cell r="J14" t="str">
            <v>ACUMUL. INDICE DE FRECUENCIA</v>
          </cell>
          <cell r="K14"/>
          <cell r="L14"/>
          <cell r="M14"/>
          <cell r="N14"/>
          <cell r="O14"/>
          <cell r="P14"/>
          <cell r="Q14" t="str">
            <v>INDICE DE GRAVEDAD</v>
          </cell>
          <cell r="R14"/>
          <cell r="S14"/>
          <cell r="T14"/>
          <cell r="U14"/>
          <cell r="V14"/>
          <cell r="W14" t="str">
            <v>ACUMUL. INDICE DE GRAVEDAD</v>
          </cell>
          <cell r="X14"/>
          <cell r="Y14"/>
          <cell r="Z14"/>
          <cell r="AA14"/>
          <cell r="AB14"/>
          <cell r="AC14"/>
          <cell r="AD14" t="str">
            <v>ACCIDENTES</v>
          </cell>
          <cell r="AE14"/>
          <cell r="AF14"/>
          <cell r="AG14"/>
          <cell r="AH14"/>
          <cell r="AI14"/>
          <cell r="AJ14" t="str">
            <v>ACUMUL. DE ACCIDENTES</v>
          </cell>
          <cell r="AK14"/>
          <cell r="AL14"/>
          <cell r="AM14"/>
          <cell r="AN14"/>
          <cell r="AR14"/>
          <cell r="AS14" t="str">
            <v>Valores</v>
          </cell>
          <cell r="AT14"/>
          <cell r="AU14" t="str">
            <v>Var 1.</v>
          </cell>
          <cell r="AV14"/>
          <cell r="AW14"/>
          <cell r="AX14" t="str">
            <v>Valores</v>
          </cell>
          <cell r="AY14"/>
          <cell r="AZ14" t="str">
            <v>Var 1.</v>
          </cell>
          <cell r="BA14"/>
          <cell r="BB14"/>
          <cell r="BC14"/>
          <cell r="BD14" t="str">
            <v>Valores</v>
          </cell>
          <cell r="BE14"/>
          <cell r="BF14" t="str">
            <v>Var 1.</v>
          </cell>
          <cell r="BG14"/>
          <cell r="BH14"/>
          <cell r="BI14" t="str">
            <v>Valores</v>
          </cell>
          <cell r="BJ14"/>
          <cell r="BK14" t="str">
            <v>Var 1.</v>
          </cell>
          <cell r="BL14"/>
          <cell r="BM14"/>
          <cell r="BN14"/>
          <cell r="BO14" t="str">
            <v>Valores</v>
          </cell>
          <cell r="BP14"/>
          <cell r="BQ14" t="str">
            <v>Var 1.</v>
          </cell>
          <cell r="BR14"/>
          <cell r="BS14"/>
          <cell r="BT14" t="str">
            <v>Valores</v>
          </cell>
          <cell r="BU14"/>
          <cell r="BV14" t="str">
            <v>Var 1.</v>
          </cell>
          <cell r="BW14"/>
        </row>
        <row r="15">
          <cell r="B15"/>
          <cell r="C15" t="str">
            <v>Escala</v>
          </cell>
          <cell r="D15" t="str">
            <v>Performance</v>
          </cell>
          <cell r="E15"/>
          <cell r="F15"/>
          <cell r="G15" t="str">
            <v>Sup</v>
          </cell>
          <cell r="H15" t="str">
            <v>Inf</v>
          </cell>
          <cell r="I15" t="str">
            <v>Escala</v>
          </cell>
          <cell r="J15" t="str">
            <v>Performance</v>
          </cell>
          <cell r="K15"/>
          <cell r="L15"/>
          <cell r="M15" t="str">
            <v>Sup</v>
          </cell>
          <cell r="N15" t="str">
            <v>Inf</v>
          </cell>
          <cell r="O15"/>
          <cell r="P15" t="str">
            <v>Escala</v>
          </cell>
          <cell r="Q15" t="str">
            <v>Performance</v>
          </cell>
          <cell r="R15"/>
          <cell r="S15"/>
          <cell r="T15" t="str">
            <v>Sup</v>
          </cell>
          <cell r="U15" t="str">
            <v>Inf</v>
          </cell>
          <cell r="V15" t="str">
            <v>Escala</v>
          </cell>
          <cell r="W15" t="str">
            <v>Performance</v>
          </cell>
          <cell r="X15"/>
          <cell r="Y15"/>
          <cell r="Z15" t="str">
            <v>Sup</v>
          </cell>
          <cell r="AA15" t="str">
            <v>Inf</v>
          </cell>
          <cell r="AB15"/>
          <cell r="AC15" t="str">
            <v>Escala</v>
          </cell>
          <cell r="AD15" t="str">
            <v>Performance</v>
          </cell>
          <cell r="AE15"/>
          <cell r="AF15"/>
          <cell r="AG15" t="str">
            <v>Sup</v>
          </cell>
          <cell r="AH15" t="str">
            <v>Inf</v>
          </cell>
          <cell r="AI15" t="str">
            <v>Escala</v>
          </cell>
          <cell r="AJ15" t="str">
            <v>Performance</v>
          </cell>
          <cell r="AK15"/>
          <cell r="AL15"/>
          <cell r="AM15" t="str">
            <v>Sup</v>
          </cell>
          <cell r="AN15" t="str">
            <v>Inf</v>
          </cell>
          <cell r="AR15" t="str">
            <v>Fecha</v>
          </cell>
          <cell r="AS15" t="str">
            <v>Anteriores</v>
          </cell>
          <cell r="AT15" t="str">
            <v>Real</v>
          </cell>
          <cell r="AU15" t="str">
            <v>Unidades</v>
          </cell>
          <cell r="AV15" t="str">
            <v>%</v>
          </cell>
          <cell r="AW15" t="str">
            <v>Fecha</v>
          </cell>
          <cell r="AX15" t="str">
            <v>Anteriores</v>
          </cell>
          <cell r="AY15" t="str">
            <v>Real</v>
          </cell>
          <cell r="AZ15" t="str">
            <v>Unidades</v>
          </cell>
          <cell r="BA15" t="str">
            <v>%</v>
          </cell>
          <cell r="BB15"/>
          <cell r="BC15" t="str">
            <v>Fecha</v>
          </cell>
          <cell r="BD15" t="str">
            <v>Anteriores</v>
          </cell>
          <cell r="BE15" t="str">
            <v>Real</v>
          </cell>
          <cell r="BF15" t="str">
            <v>Unidades</v>
          </cell>
          <cell r="BG15" t="str">
            <v>%</v>
          </cell>
          <cell r="BH15" t="str">
            <v>Fecha</v>
          </cell>
          <cell r="BI15" t="str">
            <v>Anteriores</v>
          </cell>
          <cell r="BJ15" t="str">
            <v>Real</v>
          </cell>
          <cell r="BK15" t="str">
            <v>Unidades</v>
          </cell>
          <cell r="BL15" t="str">
            <v>%</v>
          </cell>
          <cell r="BM15"/>
          <cell r="BN15" t="str">
            <v>Fecha</v>
          </cell>
          <cell r="BO15" t="str">
            <v>Anteriores</v>
          </cell>
          <cell r="BP15" t="str">
            <v>Real</v>
          </cell>
          <cell r="BQ15" t="str">
            <v>Unidades</v>
          </cell>
          <cell r="BR15" t="str">
            <v>%</v>
          </cell>
          <cell r="BS15" t="str">
            <v>Fecha</v>
          </cell>
          <cell r="BT15" t="str">
            <v>Anteriores</v>
          </cell>
          <cell r="BU15" t="str">
            <v>Real</v>
          </cell>
          <cell r="BV15" t="str">
            <v>Unidades</v>
          </cell>
          <cell r="BW15" t="str">
            <v>%</v>
          </cell>
        </row>
        <row r="16">
          <cell r="B16">
            <v>39083</v>
          </cell>
          <cell r="C16">
            <v>11.920714375034496</v>
          </cell>
          <cell r="D16" t="str">
            <v>c</v>
          </cell>
          <cell r="E16" t="str">
            <v>g</v>
          </cell>
          <cell r="F16" t="str">
            <v>c</v>
          </cell>
          <cell r="G16">
            <v>35</v>
          </cell>
          <cell r="H16">
            <v>0</v>
          </cell>
          <cell r="I16">
            <v>11.920714375034496</v>
          </cell>
          <cell r="J16" t="str">
            <v>c</v>
          </cell>
          <cell r="K16" t="str">
            <v>g</v>
          </cell>
          <cell r="L16" t="str">
            <v>c</v>
          </cell>
          <cell r="M16">
            <v>35</v>
          </cell>
          <cell r="N16">
            <v>0</v>
          </cell>
          <cell r="O16"/>
          <cell r="P16">
            <v>107.28642937531046</v>
          </cell>
          <cell r="Q16" t="str">
            <v>g</v>
          </cell>
          <cell r="R16" t="str">
            <v>c</v>
          </cell>
          <cell r="S16" t="str">
            <v>c</v>
          </cell>
          <cell r="T16">
            <v>350</v>
          </cell>
          <cell r="U16">
            <v>250</v>
          </cell>
          <cell r="V16">
            <v>107.28642937531046</v>
          </cell>
          <cell r="W16" t="str">
            <v>g</v>
          </cell>
          <cell r="X16" t="str">
            <v>c</v>
          </cell>
          <cell r="Y16" t="str">
            <v>c</v>
          </cell>
          <cell r="Z16">
            <v>350</v>
          </cell>
          <cell r="AA16">
            <v>300</v>
          </cell>
          <cell r="AB16"/>
          <cell r="AC16">
            <v>1</v>
          </cell>
          <cell r="AD16" t="str">
            <v>c</v>
          </cell>
          <cell r="AE16" t="str">
            <v>g</v>
          </cell>
          <cell r="AF16" t="str">
            <v>c</v>
          </cell>
          <cell r="AG16">
            <v>5</v>
          </cell>
          <cell r="AH16">
            <v>0</v>
          </cell>
          <cell r="AI16">
            <v>1</v>
          </cell>
          <cell r="AJ16" t="str">
            <v>c</v>
          </cell>
          <cell r="AK16" t="str">
            <v>g</v>
          </cell>
          <cell r="AL16" t="str">
            <v>c</v>
          </cell>
          <cell r="AM16">
            <v>5</v>
          </cell>
          <cell r="AN16">
            <v>0</v>
          </cell>
          <cell r="AR16">
            <v>39083</v>
          </cell>
          <cell r="AS16"/>
          <cell r="AT16">
            <v>11.920714375034496</v>
          </cell>
          <cell r="AU16">
            <v>11.920714375034496</v>
          </cell>
          <cell r="AV16"/>
          <cell r="AW16">
            <v>39083</v>
          </cell>
          <cell r="AX16"/>
          <cell r="AY16">
            <v>11.920714375034496</v>
          </cell>
          <cell r="AZ16">
            <v>11.920714375034496</v>
          </cell>
          <cell r="BA16"/>
          <cell r="BB16"/>
          <cell r="BC16">
            <v>39083</v>
          </cell>
          <cell r="BD16"/>
          <cell r="BE16">
            <v>107.28642937531046</v>
          </cell>
          <cell r="BF16">
            <v>107.28642937531046</v>
          </cell>
          <cell r="BG16"/>
          <cell r="BH16">
            <v>39083</v>
          </cell>
          <cell r="BI16"/>
          <cell r="BJ16">
            <v>107.28642937531046</v>
          </cell>
          <cell r="BK16">
            <v>107.28642937531046</v>
          </cell>
          <cell r="BL16"/>
          <cell r="BM16"/>
          <cell r="BN16">
            <v>39083</v>
          </cell>
          <cell r="BO16"/>
          <cell r="BP16">
            <v>1</v>
          </cell>
          <cell r="BQ16">
            <v>1</v>
          </cell>
          <cell r="BR16"/>
          <cell r="BS16">
            <v>39083</v>
          </cell>
          <cell r="BT16"/>
          <cell r="BU16">
            <v>1</v>
          </cell>
          <cell r="BV16">
            <v>1</v>
          </cell>
          <cell r="BW16"/>
        </row>
        <row r="17">
          <cell r="B17">
            <v>39114</v>
          </cell>
          <cell r="C17">
            <v>11.349468873230403</v>
          </cell>
          <cell r="D17" t="str">
            <v>c</v>
          </cell>
          <cell r="E17" t="str">
            <v>g</v>
          </cell>
          <cell r="F17" t="str">
            <v>c</v>
          </cell>
          <cell r="G17">
            <v>35</v>
          </cell>
          <cell r="H17">
            <v>0</v>
          </cell>
          <cell r="I17">
            <v>11.628080045842543</v>
          </cell>
          <cell r="J17" t="str">
            <v>c</v>
          </cell>
          <cell r="K17" t="str">
            <v>g</v>
          </cell>
          <cell r="L17" t="str">
            <v>c</v>
          </cell>
          <cell r="M17">
            <v>35</v>
          </cell>
          <cell r="N17">
            <v>0</v>
          </cell>
          <cell r="O17"/>
          <cell r="P17">
            <v>11.349468873230403</v>
          </cell>
          <cell r="Q17" t="str">
            <v>g</v>
          </cell>
          <cell r="R17" t="str">
            <v>c</v>
          </cell>
          <cell r="S17" t="str">
            <v>c</v>
          </cell>
          <cell r="T17">
            <v>350</v>
          </cell>
          <cell r="U17">
            <v>250</v>
          </cell>
          <cell r="V17">
            <v>58.140400229212716</v>
          </cell>
          <cell r="W17" t="str">
            <v>g</v>
          </cell>
          <cell r="X17" t="str">
            <v>c</v>
          </cell>
          <cell r="Y17" t="str">
            <v>c</v>
          </cell>
          <cell r="Z17">
            <v>350</v>
          </cell>
          <cell r="AA17">
            <v>300</v>
          </cell>
          <cell r="AB17"/>
          <cell r="AC17">
            <v>1</v>
          </cell>
          <cell r="AD17" t="str">
            <v>c</v>
          </cell>
          <cell r="AE17" t="str">
            <v>g</v>
          </cell>
          <cell r="AF17" t="str">
            <v>c</v>
          </cell>
          <cell r="AG17">
            <v>5</v>
          </cell>
          <cell r="AH17">
            <v>0</v>
          </cell>
          <cell r="AI17">
            <v>2</v>
          </cell>
          <cell r="AJ17" t="str">
            <v>c</v>
          </cell>
          <cell r="AK17" t="str">
            <v>g</v>
          </cell>
          <cell r="AL17" t="str">
            <v>c</v>
          </cell>
          <cell r="AM17">
            <v>6</v>
          </cell>
          <cell r="AN17">
            <v>0</v>
          </cell>
          <cell r="AR17">
            <v>39114</v>
          </cell>
          <cell r="AS17"/>
          <cell r="AT17">
            <v>11.349468873230403</v>
          </cell>
          <cell r="AU17">
            <v>11.349468873230403</v>
          </cell>
          <cell r="AV17"/>
          <cell r="AW17">
            <v>39114</v>
          </cell>
          <cell r="AX17"/>
          <cell r="AY17">
            <v>11.628080045842543</v>
          </cell>
          <cell r="AZ17">
            <v>11.628080045842543</v>
          </cell>
          <cell r="BA17"/>
          <cell r="BB17"/>
          <cell r="BC17">
            <v>39114</v>
          </cell>
          <cell r="BD17"/>
          <cell r="BE17">
            <v>11.349468873230403</v>
          </cell>
          <cell r="BF17">
            <v>11.349468873230403</v>
          </cell>
          <cell r="BG17"/>
          <cell r="BH17">
            <v>39114</v>
          </cell>
          <cell r="BI17"/>
          <cell r="BJ17">
            <v>58.140400229212716</v>
          </cell>
          <cell r="BK17">
            <v>58.140400229212716</v>
          </cell>
          <cell r="BL17"/>
          <cell r="BM17"/>
          <cell r="BN17">
            <v>39114</v>
          </cell>
          <cell r="BO17"/>
          <cell r="BP17">
            <v>1</v>
          </cell>
          <cell r="BQ17">
            <v>1</v>
          </cell>
          <cell r="BR17"/>
          <cell r="BS17">
            <v>39114</v>
          </cell>
          <cell r="BT17"/>
          <cell r="BU17">
            <v>2</v>
          </cell>
          <cell r="BV17">
            <v>2</v>
          </cell>
          <cell r="BW17"/>
        </row>
        <row r="18">
          <cell r="B18">
            <v>39142</v>
          </cell>
          <cell r="C18">
            <v>0</v>
          </cell>
          <cell r="D18" t="str">
            <v>g</v>
          </cell>
          <cell r="E18" t="str">
            <v>c</v>
          </cell>
          <cell r="F18" t="str">
            <v>c</v>
          </cell>
          <cell r="G18">
            <v>35</v>
          </cell>
          <cell r="H18">
            <v>0</v>
          </cell>
          <cell r="I18">
            <v>7.5818388423290273</v>
          </cell>
          <cell r="J18" t="str">
            <v>c</v>
          </cell>
          <cell r="K18" t="str">
            <v>g</v>
          </cell>
          <cell r="L18" t="str">
            <v>c</v>
          </cell>
          <cell r="M18">
            <v>35</v>
          </cell>
          <cell r="N18">
            <v>0</v>
          </cell>
          <cell r="O18"/>
          <cell r="P18">
            <v>0</v>
          </cell>
          <cell r="Q18" t="str">
            <v>g</v>
          </cell>
          <cell r="R18" t="str">
            <v>c</v>
          </cell>
          <cell r="S18" t="str">
            <v>c</v>
          </cell>
          <cell r="T18">
            <v>350</v>
          </cell>
          <cell r="U18">
            <v>250</v>
          </cell>
          <cell r="V18">
            <v>37.909194211645136</v>
          </cell>
          <cell r="W18" t="str">
            <v>g</v>
          </cell>
          <cell r="X18" t="str">
            <v>c</v>
          </cell>
          <cell r="Y18" t="str">
            <v>c</v>
          </cell>
          <cell r="Z18">
            <v>350</v>
          </cell>
          <cell r="AA18">
            <v>300</v>
          </cell>
          <cell r="AB18"/>
          <cell r="AC18">
            <v>0</v>
          </cell>
          <cell r="AD18" t="str">
            <v>g</v>
          </cell>
          <cell r="AE18" t="str">
            <v>c</v>
          </cell>
          <cell r="AF18" t="str">
            <v>c</v>
          </cell>
          <cell r="AG18">
            <v>5</v>
          </cell>
          <cell r="AH18">
            <v>0</v>
          </cell>
          <cell r="AI18">
            <v>2</v>
          </cell>
          <cell r="AJ18" t="str">
            <v>c</v>
          </cell>
          <cell r="AK18" t="str">
            <v>g</v>
          </cell>
          <cell r="AL18" t="str">
            <v>c</v>
          </cell>
          <cell r="AM18">
            <v>7</v>
          </cell>
          <cell r="AN18">
            <v>0</v>
          </cell>
          <cell r="AR18">
            <v>39142</v>
          </cell>
          <cell r="AS18"/>
          <cell r="AT18">
            <v>0</v>
          </cell>
          <cell r="AU18">
            <v>0</v>
          </cell>
          <cell r="AV18"/>
          <cell r="AW18">
            <v>39142</v>
          </cell>
          <cell r="AX18"/>
          <cell r="AY18">
            <v>7.5818388423290273</v>
          </cell>
          <cell r="AZ18">
            <v>7.5818388423290273</v>
          </cell>
          <cell r="BA18"/>
          <cell r="BB18"/>
          <cell r="BC18">
            <v>39142</v>
          </cell>
          <cell r="BD18"/>
          <cell r="BE18">
            <v>0</v>
          </cell>
          <cell r="BF18">
            <v>0</v>
          </cell>
          <cell r="BG18"/>
          <cell r="BH18">
            <v>39142</v>
          </cell>
          <cell r="BI18"/>
          <cell r="BJ18">
            <v>37.909194211645136</v>
          </cell>
          <cell r="BK18">
            <v>37.909194211645136</v>
          </cell>
          <cell r="BL18"/>
          <cell r="BM18"/>
          <cell r="BN18">
            <v>39142</v>
          </cell>
          <cell r="BO18"/>
          <cell r="BP18">
            <v>0</v>
          </cell>
          <cell r="BQ18">
            <v>0</v>
          </cell>
          <cell r="BR18"/>
          <cell r="BS18">
            <v>39142</v>
          </cell>
          <cell r="BT18"/>
          <cell r="BU18">
            <v>2</v>
          </cell>
          <cell r="BV18">
            <v>2</v>
          </cell>
          <cell r="BW18"/>
        </row>
        <row r="19">
          <cell r="B19">
            <v>39173</v>
          </cell>
          <cell r="C19">
            <v>10.555491167059436</v>
          </cell>
          <cell r="D19" t="str">
            <v>c</v>
          </cell>
          <cell r="E19" t="str">
            <v>g</v>
          </cell>
          <cell r="F19" t="str">
            <v>c</v>
          </cell>
          <cell r="G19">
            <v>35</v>
          </cell>
          <cell r="H19">
            <v>0</v>
          </cell>
          <cell r="I19">
            <v>8.3676016838626932</v>
          </cell>
          <cell r="J19" t="str">
            <v>c</v>
          </cell>
          <cell r="K19" t="str">
            <v>g</v>
          </cell>
          <cell r="L19" t="str">
            <v>c</v>
          </cell>
          <cell r="M19">
            <v>35</v>
          </cell>
          <cell r="N19">
            <v>0</v>
          </cell>
          <cell r="O19"/>
          <cell r="P19">
            <v>10.555491167059436</v>
          </cell>
          <cell r="Q19" t="str">
            <v>g</v>
          </cell>
          <cell r="R19" t="str">
            <v>c</v>
          </cell>
          <cell r="S19" t="str">
            <v>c</v>
          </cell>
          <cell r="T19">
            <v>350</v>
          </cell>
          <cell r="U19">
            <v>250</v>
          </cell>
          <cell r="V19">
            <v>30.681206174163208</v>
          </cell>
          <cell r="W19" t="str">
            <v>g</v>
          </cell>
          <cell r="X19" t="str">
            <v>c</v>
          </cell>
          <cell r="Y19" t="str">
            <v>c</v>
          </cell>
          <cell r="Z19">
            <v>350</v>
          </cell>
          <cell r="AA19">
            <v>300</v>
          </cell>
          <cell r="AB19"/>
          <cell r="AC19">
            <v>1</v>
          </cell>
          <cell r="AD19" t="str">
            <v>c</v>
          </cell>
          <cell r="AE19" t="str">
            <v>g</v>
          </cell>
          <cell r="AF19" t="str">
            <v>c</v>
          </cell>
          <cell r="AG19">
            <v>5</v>
          </cell>
          <cell r="AH19">
            <v>0</v>
          </cell>
          <cell r="AI19">
            <v>3</v>
          </cell>
          <cell r="AJ19" t="str">
            <v>c</v>
          </cell>
          <cell r="AK19" t="str">
            <v>g</v>
          </cell>
          <cell r="AL19" t="str">
            <v>c</v>
          </cell>
          <cell r="AM19">
            <v>7</v>
          </cell>
          <cell r="AN19">
            <v>0</v>
          </cell>
          <cell r="AR19">
            <v>39173</v>
          </cell>
          <cell r="AS19"/>
          <cell r="AT19">
            <v>10.555491167059436</v>
          </cell>
          <cell r="AU19">
            <v>10.555491167059436</v>
          </cell>
          <cell r="AV19"/>
          <cell r="AW19">
            <v>39173</v>
          </cell>
          <cell r="AX19"/>
          <cell r="AY19">
            <v>8.3676016838626932</v>
          </cell>
          <cell r="AZ19">
            <v>8.3676016838626932</v>
          </cell>
          <cell r="BA19"/>
          <cell r="BB19"/>
          <cell r="BC19">
            <v>39173</v>
          </cell>
          <cell r="BD19"/>
          <cell r="BE19">
            <v>10.555491167059436</v>
          </cell>
          <cell r="BF19">
            <v>10.555491167059436</v>
          </cell>
          <cell r="BG19"/>
          <cell r="BH19">
            <v>39173</v>
          </cell>
          <cell r="BI19"/>
          <cell r="BJ19">
            <v>30.681206174163208</v>
          </cell>
          <cell r="BK19">
            <v>30.681206174163208</v>
          </cell>
          <cell r="BL19"/>
          <cell r="BM19"/>
          <cell r="BN19">
            <v>39173</v>
          </cell>
          <cell r="BO19"/>
          <cell r="BP19">
            <v>1</v>
          </cell>
          <cell r="BQ19">
            <v>1</v>
          </cell>
          <cell r="BR19"/>
          <cell r="BS19">
            <v>39173</v>
          </cell>
          <cell r="BT19"/>
          <cell r="BU19">
            <v>3</v>
          </cell>
          <cell r="BV19">
            <v>3</v>
          </cell>
          <cell r="BW19"/>
        </row>
        <row r="20">
          <cell r="B20">
            <v>39203</v>
          </cell>
          <cell r="C20">
            <v>10.605362580378044</v>
          </cell>
          <cell r="D20" t="str">
            <v>c</v>
          </cell>
          <cell r="E20" t="str">
            <v>g</v>
          </cell>
          <cell r="F20" t="str">
            <v>c</v>
          </cell>
          <cell r="G20">
            <v>35</v>
          </cell>
          <cell r="H20">
            <v>0</v>
          </cell>
          <cell r="I20">
            <v>8.8335791019072385</v>
          </cell>
          <cell r="J20" t="str">
            <v>c</v>
          </cell>
          <cell r="K20" t="str">
            <v>g</v>
          </cell>
          <cell r="L20" t="str">
            <v>c</v>
          </cell>
          <cell r="M20">
            <v>35</v>
          </cell>
          <cell r="N20">
            <v>0</v>
          </cell>
          <cell r="O20"/>
          <cell r="P20">
            <v>53.026812901890217</v>
          </cell>
          <cell r="Q20" t="str">
            <v>g</v>
          </cell>
          <cell r="R20" t="str">
            <v>c</v>
          </cell>
          <cell r="S20" t="str">
            <v>c</v>
          </cell>
          <cell r="T20">
            <v>350</v>
          </cell>
          <cell r="U20">
            <v>250</v>
          </cell>
          <cell r="V20">
            <v>35.334316407628954</v>
          </cell>
          <cell r="W20" t="str">
            <v>g</v>
          </cell>
          <cell r="X20" t="str">
            <v>c</v>
          </cell>
          <cell r="Y20" t="str">
            <v>c</v>
          </cell>
          <cell r="Z20">
            <v>350</v>
          </cell>
          <cell r="AA20">
            <v>300</v>
          </cell>
          <cell r="AB20"/>
          <cell r="AC20">
            <v>1</v>
          </cell>
          <cell r="AD20" t="str">
            <v>c</v>
          </cell>
          <cell r="AE20" t="str">
            <v>g</v>
          </cell>
          <cell r="AF20" t="str">
            <v>c</v>
          </cell>
          <cell r="AG20">
            <v>5</v>
          </cell>
          <cell r="AH20">
            <v>0</v>
          </cell>
          <cell r="AI20">
            <v>4</v>
          </cell>
          <cell r="AJ20" t="str">
            <v>c</v>
          </cell>
          <cell r="AK20" t="str">
            <v>g</v>
          </cell>
          <cell r="AL20" t="str">
            <v>c</v>
          </cell>
          <cell r="AM20">
            <v>8</v>
          </cell>
          <cell r="AN20">
            <v>0</v>
          </cell>
          <cell r="AR20">
            <v>39203</v>
          </cell>
          <cell r="AS20"/>
          <cell r="AT20">
            <v>10.605362580378044</v>
          </cell>
          <cell r="AU20">
            <v>10.605362580378044</v>
          </cell>
          <cell r="AV20"/>
          <cell r="AW20">
            <v>39203</v>
          </cell>
          <cell r="AX20"/>
          <cell r="AY20">
            <v>8.8335791019072385</v>
          </cell>
          <cell r="AZ20">
            <v>8.8335791019072385</v>
          </cell>
          <cell r="BA20"/>
          <cell r="BB20"/>
          <cell r="BC20">
            <v>39203</v>
          </cell>
          <cell r="BD20"/>
          <cell r="BE20">
            <v>53.026812901890217</v>
          </cell>
          <cell r="BF20">
            <v>53.026812901890217</v>
          </cell>
          <cell r="BG20"/>
          <cell r="BH20">
            <v>39203</v>
          </cell>
          <cell r="BI20"/>
          <cell r="BJ20">
            <v>35.334316407628954</v>
          </cell>
          <cell r="BK20">
            <v>35.334316407628954</v>
          </cell>
          <cell r="BL20"/>
          <cell r="BM20"/>
          <cell r="BN20">
            <v>39203</v>
          </cell>
          <cell r="BO20"/>
          <cell r="BP20">
            <v>1</v>
          </cell>
          <cell r="BQ20">
            <v>1</v>
          </cell>
          <cell r="BR20"/>
          <cell r="BS20">
            <v>39203</v>
          </cell>
          <cell r="BT20"/>
          <cell r="BU20">
            <v>4</v>
          </cell>
          <cell r="BV20">
            <v>4</v>
          </cell>
          <cell r="BW20"/>
        </row>
        <row r="21">
          <cell r="B21">
            <v>39234</v>
          </cell>
          <cell r="C21">
            <v>9.9911468447808396</v>
          </cell>
          <cell r="D21" t="str">
            <v>c</v>
          </cell>
          <cell r="E21" t="str">
            <v>g</v>
          </cell>
          <cell r="F21" t="str">
            <v>c</v>
          </cell>
          <cell r="G21">
            <v>35</v>
          </cell>
          <cell r="H21">
            <v>0</v>
          </cell>
          <cell r="I21">
            <v>9.0431252172610836</v>
          </cell>
          <cell r="J21" t="str">
            <v>c</v>
          </cell>
          <cell r="K21" t="str">
            <v>g</v>
          </cell>
          <cell r="L21" t="str">
            <v>c</v>
          </cell>
          <cell r="M21">
            <v>35</v>
          </cell>
          <cell r="N21">
            <v>0</v>
          </cell>
          <cell r="O21"/>
          <cell r="P21">
            <v>109.90261529258923</v>
          </cell>
          <cell r="Q21" t="str">
            <v>g</v>
          </cell>
          <cell r="R21" t="str">
            <v>c</v>
          </cell>
          <cell r="S21" t="str">
            <v>c</v>
          </cell>
          <cell r="T21">
            <v>350</v>
          </cell>
          <cell r="U21">
            <v>250</v>
          </cell>
          <cell r="V21">
            <v>48.832876173209854</v>
          </cell>
          <cell r="W21" t="str">
            <v>g</v>
          </cell>
          <cell r="X21" t="str">
            <v>c</v>
          </cell>
          <cell r="Y21" t="str">
            <v>c</v>
          </cell>
          <cell r="Z21">
            <v>350</v>
          </cell>
          <cell r="AA21">
            <v>300</v>
          </cell>
          <cell r="AB21"/>
          <cell r="AC21">
            <v>1</v>
          </cell>
          <cell r="AD21" t="str">
            <v>c</v>
          </cell>
          <cell r="AE21" t="str">
            <v>g</v>
          </cell>
          <cell r="AF21" t="str">
            <v>c</v>
          </cell>
          <cell r="AG21">
            <v>5</v>
          </cell>
          <cell r="AH21">
            <v>0</v>
          </cell>
          <cell r="AI21">
            <v>5</v>
          </cell>
          <cell r="AJ21" t="str">
            <v>c</v>
          </cell>
          <cell r="AK21" t="str">
            <v>g</v>
          </cell>
          <cell r="AL21" t="str">
            <v>c</v>
          </cell>
          <cell r="AM21">
            <v>9</v>
          </cell>
          <cell r="AN21">
            <v>0</v>
          </cell>
          <cell r="AR21">
            <v>39234</v>
          </cell>
          <cell r="AS21"/>
          <cell r="AT21">
            <v>9.9911468447808396</v>
          </cell>
          <cell r="AU21">
            <v>9.9911468447808396</v>
          </cell>
          <cell r="AV21"/>
          <cell r="AW21">
            <v>39234</v>
          </cell>
          <cell r="AX21"/>
          <cell r="AY21">
            <v>9.0431252172610836</v>
          </cell>
          <cell r="AZ21">
            <v>9.0431252172610836</v>
          </cell>
          <cell r="BA21"/>
          <cell r="BB21"/>
          <cell r="BC21">
            <v>39234</v>
          </cell>
          <cell r="BD21"/>
          <cell r="BE21">
            <v>109.90261529258923</v>
          </cell>
          <cell r="BF21">
            <v>109.90261529258923</v>
          </cell>
          <cell r="BG21"/>
          <cell r="BH21">
            <v>39234</v>
          </cell>
          <cell r="BI21"/>
          <cell r="BJ21">
            <v>48.832876173209854</v>
          </cell>
          <cell r="BK21">
            <v>48.832876173209854</v>
          </cell>
          <cell r="BL21"/>
          <cell r="BM21"/>
          <cell r="BN21">
            <v>39234</v>
          </cell>
          <cell r="BO21"/>
          <cell r="BP21">
            <v>1</v>
          </cell>
          <cell r="BQ21">
            <v>1</v>
          </cell>
          <cell r="BR21"/>
          <cell r="BS21">
            <v>39234</v>
          </cell>
          <cell r="BT21"/>
          <cell r="BU21">
            <v>5</v>
          </cell>
          <cell r="BV21">
            <v>5</v>
          </cell>
          <cell r="BW21"/>
        </row>
        <row r="22">
          <cell r="B22">
            <v>39264</v>
          </cell>
          <cell r="C22">
            <v>18.80418897156882</v>
          </cell>
          <cell r="D22" t="str">
            <v>c</v>
          </cell>
          <cell r="E22" t="str">
            <v>g</v>
          </cell>
          <cell r="F22" t="str">
            <v>c</v>
          </cell>
          <cell r="G22">
            <v>35</v>
          </cell>
          <cell r="H22">
            <v>0</v>
          </cell>
          <cell r="I22">
            <v>10.617877338276532</v>
          </cell>
          <cell r="J22" t="str">
            <v>c</v>
          </cell>
          <cell r="K22" t="str">
            <v>g</v>
          </cell>
          <cell r="L22" t="str">
            <v>c</v>
          </cell>
          <cell r="M22">
            <v>35</v>
          </cell>
          <cell r="N22">
            <v>0</v>
          </cell>
          <cell r="O22"/>
          <cell r="P22">
            <v>47.01047242892205</v>
          </cell>
          <cell r="Q22" t="str">
            <v>g</v>
          </cell>
          <cell r="R22" t="str">
            <v>c</v>
          </cell>
          <cell r="S22" t="str">
            <v>c</v>
          </cell>
          <cell r="T22">
            <v>350</v>
          </cell>
          <cell r="U22">
            <v>250</v>
          </cell>
          <cell r="V22">
            <v>48.538867832121291</v>
          </cell>
          <cell r="W22" t="str">
            <v>g</v>
          </cell>
          <cell r="X22" t="str">
            <v>c</v>
          </cell>
          <cell r="Y22" t="str">
            <v>c</v>
          </cell>
          <cell r="Z22">
            <v>350</v>
          </cell>
          <cell r="AA22">
            <v>300</v>
          </cell>
          <cell r="AB22"/>
          <cell r="AC22">
            <v>2</v>
          </cell>
          <cell r="AD22" t="str">
            <v>c</v>
          </cell>
          <cell r="AE22" t="str">
            <v>g</v>
          </cell>
          <cell r="AF22" t="str">
            <v>c</v>
          </cell>
          <cell r="AG22">
            <v>5</v>
          </cell>
          <cell r="AH22">
            <v>0</v>
          </cell>
          <cell r="AI22">
            <v>7</v>
          </cell>
          <cell r="AJ22" t="str">
            <v>c</v>
          </cell>
          <cell r="AK22" t="str">
            <v>g</v>
          </cell>
          <cell r="AL22" t="str">
            <v>c</v>
          </cell>
          <cell r="AM22">
            <v>10</v>
          </cell>
          <cell r="AN22">
            <v>0</v>
          </cell>
          <cell r="AR22">
            <v>39264</v>
          </cell>
          <cell r="AS22"/>
          <cell r="AT22">
            <v>18.80418897156882</v>
          </cell>
          <cell r="AU22">
            <v>18.80418897156882</v>
          </cell>
          <cell r="AV22"/>
          <cell r="AW22">
            <v>39264</v>
          </cell>
          <cell r="AX22"/>
          <cell r="AY22">
            <v>10.617877338276532</v>
          </cell>
          <cell r="AZ22">
            <v>10.617877338276532</v>
          </cell>
          <cell r="BA22"/>
          <cell r="BB22"/>
          <cell r="BC22">
            <v>39264</v>
          </cell>
          <cell r="BD22"/>
          <cell r="BE22">
            <v>47.01047242892205</v>
          </cell>
          <cell r="BF22">
            <v>47.01047242892205</v>
          </cell>
          <cell r="BG22"/>
          <cell r="BH22">
            <v>39264</v>
          </cell>
          <cell r="BI22"/>
          <cell r="BJ22">
            <v>48.538867832121291</v>
          </cell>
          <cell r="BK22">
            <v>48.538867832121291</v>
          </cell>
          <cell r="BL22"/>
          <cell r="BM22"/>
          <cell r="BN22">
            <v>39264</v>
          </cell>
          <cell r="BO22"/>
          <cell r="BP22">
            <v>2</v>
          </cell>
          <cell r="BQ22">
            <v>2</v>
          </cell>
          <cell r="BR22"/>
          <cell r="BS22">
            <v>39264</v>
          </cell>
          <cell r="BT22"/>
          <cell r="BU22">
            <v>7</v>
          </cell>
          <cell r="BV22">
            <v>7</v>
          </cell>
          <cell r="BW22"/>
        </row>
        <row r="23">
          <cell r="B23">
            <v>39295</v>
          </cell>
          <cell r="C23">
            <v>0</v>
          </cell>
          <cell r="D23" t="str">
            <v>g</v>
          </cell>
          <cell r="E23" t="str">
            <v>c</v>
          </cell>
          <cell r="F23" t="str">
            <v>c</v>
          </cell>
          <cell r="G23">
            <v>35</v>
          </cell>
          <cell r="H23">
            <v>0</v>
          </cell>
          <cell r="I23">
            <v>9.1040432694887592</v>
          </cell>
          <cell r="J23" t="str">
            <v>c</v>
          </cell>
          <cell r="K23" t="str">
            <v>g</v>
          </cell>
          <cell r="L23" t="str">
            <v>c</v>
          </cell>
          <cell r="M23">
            <v>35</v>
          </cell>
          <cell r="N23">
            <v>0</v>
          </cell>
          <cell r="O23"/>
          <cell r="P23">
            <v>0</v>
          </cell>
          <cell r="Q23" t="str">
            <v>g</v>
          </cell>
          <cell r="R23" t="str">
            <v>c</v>
          </cell>
          <cell r="S23" t="str">
            <v>c</v>
          </cell>
          <cell r="T23">
            <v>350</v>
          </cell>
          <cell r="U23">
            <v>250</v>
          </cell>
          <cell r="V23">
            <v>41.618483517662895</v>
          </cell>
          <cell r="W23" t="str">
            <v>g</v>
          </cell>
          <cell r="X23" t="str">
            <v>c</v>
          </cell>
          <cell r="Y23" t="str">
            <v>c</v>
          </cell>
          <cell r="Z23">
            <v>350</v>
          </cell>
          <cell r="AA23">
            <v>300</v>
          </cell>
          <cell r="AB23"/>
          <cell r="AC23">
            <v>0</v>
          </cell>
          <cell r="AD23" t="str">
            <v>g</v>
          </cell>
          <cell r="AE23" t="str">
            <v>c</v>
          </cell>
          <cell r="AF23" t="str">
            <v>c</v>
          </cell>
          <cell r="AG23">
            <v>5</v>
          </cell>
          <cell r="AH23">
            <v>0</v>
          </cell>
          <cell r="AI23">
            <v>7</v>
          </cell>
          <cell r="AJ23" t="str">
            <v>c</v>
          </cell>
          <cell r="AK23" t="str">
            <v>g</v>
          </cell>
          <cell r="AL23" t="str">
            <v>c</v>
          </cell>
          <cell r="AM23">
            <v>12</v>
          </cell>
          <cell r="AN23">
            <v>0</v>
          </cell>
          <cell r="AR23">
            <v>39295</v>
          </cell>
          <cell r="AS23"/>
          <cell r="AT23">
            <v>0</v>
          </cell>
          <cell r="AU23">
            <v>0</v>
          </cell>
          <cell r="AV23"/>
          <cell r="AW23">
            <v>39295</v>
          </cell>
          <cell r="AX23"/>
          <cell r="AY23">
            <v>9.1040432694887592</v>
          </cell>
          <cell r="AZ23">
            <v>9.1040432694887592</v>
          </cell>
          <cell r="BA23"/>
          <cell r="BB23"/>
          <cell r="BC23">
            <v>39295</v>
          </cell>
          <cell r="BD23"/>
          <cell r="BE23">
            <v>0</v>
          </cell>
          <cell r="BF23">
            <v>0</v>
          </cell>
          <cell r="BG23"/>
          <cell r="BH23">
            <v>39295</v>
          </cell>
          <cell r="BI23"/>
          <cell r="BJ23">
            <v>41.618483517662895</v>
          </cell>
          <cell r="BK23">
            <v>41.618483517662895</v>
          </cell>
          <cell r="BL23"/>
          <cell r="BM23"/>
          <cell r="BN23">
            <v>39295</v>
          </cell>
          <cell r="BO23"/>
          <cell r="BP23">
            <v>0</v>
          </cell>
          <cell r="BQ23">
            <v>0</v>
          </cell>
          <cell r="BR23"/>
          <cell r="BS23">
            <v>39295</v>
          </cell>
          <cell r="BT23"/>
          <cell r="BU23">
            <v>7</v>
          </cell>
          <cell r="BV23">
            <v>7</v>
          </cell>
          <cell r="BW23"/>
        </row>
        <row r="24">
          <cell r="B24">
            <v>39326</v>
          </cell>
          <cell r="C24">
            <v>0</v>
          </cell>
          <cell r="D24" t="str">
            <v>g</v>
          </cell>
          <cell r="E24" t="str">
            <v>c</v>
          </cell>
          <cell r="F24" t="str">
            <v>c</v>
          </cell>
          <cell r="G24">
            <v>35</v>
          </cell>
          <cell r="H24">
            <v>0</v>
          </cell>
          <cell r="I24">
            <v>7.9513315805342266</v>
          </cell>
          <cell r="J24" t="str">
            <v>c</v>
          </cell>
          <cell r="K24" t="str">
            <v>g</v>
          </cell>
          <cell r="L24" t="str">
            <v>c</v>
          </cell>
          <cell r="M24">
            <v>35</v>
          </cell>
          <cell r="N24">
            <v>0</v>
          </cell>
          <cell r="O24"/>
          <cell r="P24">
            <v>0</v>
          </cell>
          <cell r="Q24" t="str">
            <v>g</v>
          </cell>
          <cell r="R24" t="str">
            <v>c</v>
          </cell>
          <cell r="S24" t="str">
            <v>c</v>
          </cell>
          <cell r="T24">
            <v>350</v>
          </cell>
          <cell r="U24">
            <v>250</v>
          </cell>
          <cell r="V24">
            <v>36.348944368156467</v>
          </cell>
          <cell r="W24" t="str">
            <v>g</v>
          </cell>
          <cell r="X24" t="str">
            <v>c</v>
          </cell>
          <cell r="Y24" t="str">
            <v>c</v>
          </cell>
          <cell r="Z24">
            <v>350</v>
          </cell>
          <cell r="AA24">
            <v>300</v>
          </cell>
          <cell r="AB24"/>
          <cell r="AC24">
            <v>0</v>
          </cell>
          <cell r="AD24" t="str">
            <v>g</v>
          </cell>
          <cell r="AE24" t="str">
            <v>c</v>
          </cell>
          <cell r="AF24" t="str">
            <v>c</v>
          </cell>
          <cell r="AG24">
            <v>5</v>
          </cell>
          <cell r="AH24">
            <v>0</v>
          </cell>
          <cell r="AI24">
            <v>7</v>
          </cell>
          <cell r="AJ24" t="str">
            <v>c</v>
          </cell>
          <cell r="AK24" t="str">
            <v>g</v>
          </cell>
          <cell r="AL24" t="str">
            <v>c</v>
          </cell>
          <cell r="AM24">
            <v>12</v>
          </cell>
          <cell r="AN24">
            <v>0</v>
          </cell>
          <cell r="AR24">
            <v>39326</v>
          </cell>
          <cell r="AS24"/>
          <cell r="AT24">
            <v>0</v>
          </cell>
          <cell r="AU24">
            <v>0</v>
          </cell>
          <cell r="AV24"/>
          <cell r="AW24">
            <v>39326</v>
          </cell>
          <cell r="AX24"/>
          <cell r="AY24">
            <v>7.9513315805342266</v>
          </cell>
          <cell r="AZ24">
            <v>7.9513315805342266</v>
          </cell>
          <cell r="BA24"/>
          <cell r="BB24"/>
          <cell r="BC24">
            <v>39326</v>
          </cell>
          <cell r="BD24"/>
          <cell r="BE24">
            <v>0</v>
          </cell>
          <cell r="BF24">
            <v>0</v>
          </cell>
          <cell r="BG24"/>
          <cell r="BH24">
            <v>39326</v>
          </cell>
          <cell r="BI24"/>
          <cell r="BJ24">
            <v>36.348944368156467</v>
          </cell>
          <cell r="BK24">
            <v>36.348944368156467</v>
          </cell>
          <cell r="BL24"/>
          <cell r="BM24"/>
          <cell r="BN24">
            <v>39326</v>
          </cell>
          <cell r="BO24"/>
          <cell r="BP24">
            <v>0</v>
          </cell>
          <cell r="BQ24">
            <v>0</v>
          </cell>
          <cell r="BR24"/>
          <cell r="BS24">
            <v>39326</v>
          </cell>
          <cell r="BT24"/>
          <cell r="BU24">
            <v>7</v>
          </cell>
          <cell r="BV24">
            <v>7</v>
          </cell>
          <cell r="BW24"/>
        </row>
        <row r="25">
          <cell r="B25">
            <v>39356</v>
          </cell>
          <cell r="C25">
            <v>8.8720359636849828</v>
          </cell>
          <cell r="D25" t="str">
            <v>c</v>
          </cell>
          <cell r="E25" t="str">
            <v>g</v>
          </cell>
          <cell r="F25" t="str">
            <v>c</v>
          </cell>
          <cell r="G25">
            <v>35</v>
          </cell>
          <cell r="H25">
            <v>0</v>
          </cell>
          <cell r="I25">
            <v>8.0558318286298203</v>
          </cell>
          <cell r="J25" t="str">
            <v>c</v>
          </cell>
          <cell r="K25" t="str">
            <v>g</v>
          </cell>
          <cell r="L25" t="str">
            <v>c</v>
          </cell>
          <cell r="M25">
            <v>35</v>
          </cell>
          <cell r="N25">
            <v>0</v>
          </cell>
          <cell r="O25"/>
          <cell r="P25">
            <v>26.616107891054948</v>
          </cell>
          <cell r="Q25" t="str">
            <v>g</v>
          </cell>
          <cell r="R25" t="str">
            <v>c</v>
          </cell>
          <cell r="S25" t="str">
            <v>c</v>
          </cell>
          <cell r="T25">
            <v>350</v>
          </cell>
          <cell r="U25">
            <v>250</v>
          </cell>
          <cell r="V25">
            <v>35.244264250255462</v>
          </cell>
          <cell r="W25" t="str">
            <v>g</v>
          </cell>
          <cell r="X25" t="str">
            <v>c</v>
          </cell>
          <cell r="Y25" t="str">
            <v>c</v>
          </cell>
          <cell r="Z25">
            <v>350</v>
          </cell>
          <cell r="AA25">
            <v>300</v>
          </cell>
          <cell r="AB25"/>
          <cell r="AC25">
            <v>1</v>
          </cell>
          <cell r="AD25" t="str">
            <v>c</v>
          </cell>
          <cell r="AE25" t="str">
            <v>g</v>
          </cell>
          <cell r="AF25" t="str">
            <v>c</v>
          </cell>
          <cell r="AG25">
            <v>5</v>
          </cell>
          <cell r="AH25">
            <v>0</v>
          </cell>
          <cell r="AI25">
            <v>8</v>
          </cell>
          <cell r="AJ25" t="str">
            <v>c</v>
          </cell>
          <cell r="AK25" t="str">
            <v>g</v>
          </cell>
          <cell r="AL25" t="str">
            <v>c</v>
          </cell>
          <cell r="AM25">
            <v>12</v>
          </cell>
          <cell r="AN25">
            <v>0</v>
          </cell>
          <cell r="AR25">
            <v>39356</v>
          </cell>
          <cell r="AS25"/>
          <cell r="AT25">
            <v>8.8720359636849828</v>
          </cell>
          <cell r="AU25">
            <v>8.8720359636849828</v>
          </cell>
          <cell r="AV25"/>
          <cell r="AW25">
            <v>39356</v>
          </cell>
          <cell r="AX25"/>
          <cell r="AY25">
            <v>8.0558318286298203</v>
          </cell>
          <cell r="AZ25">
            <v>8.0558318286298203</v>
          </cell>
          <cell r="BA25"/>
          <cell r="BB25"/>
          <cell r="BC25">
            <v>39356</v>
          </cell>
          <cell r="BD25"/>
          <cell r="BE25">
            <v>26.616107891054948</v>
          </cell>
          <cell r="BF25">
            <v>26.616107891054948</v>
          </cell>
          <cell r="BG25"/>
          <cell r="BH25">
            <v>39356</v>
          </cell>
          <cell r="BI25"/>
          <cell r="BJ25">
            <v>35.244264250255462</v>
          </cell>
          <cell r="BK25">
            <v>35.244264250255462</v>
          </cell>
          <cell r="BL25"/>
          <cell r="BM25"/>
          <cell r="BN25">
            <v>39356</v>
          </cell>
          <cell r="BO25"/>
          <cell r="BP25">
            <v>1</v>
          </cell>
          <cell r="BQ25">
            <v>1</v>
          </cell>
          <cell r="BR25"/>
          <cell r="BS25">
            <v>39356</v>
          </cell>
          <cell r="BT25"/>
          <cell r="BU25">
            <v>8</v>
          </cell>
          <cell r="BV25">
            <v>8</v>
          </cell>
          <cell r="BW25"/>
        </row>
        <row r="26">
          <cell r="B26">
            <v>39387</v>
          </cell>
          <cell r="C26">
            <v>8.8005059938926244</v>
          </cell>
          <cell r="D26" t="str">
            <v>c</v>
          </cell>
          <cell r="E26" t="str">
            <v>g</v>
          </cell>
          <cell r="F26" t="str">
            <v>c</v>
          </cell>
          <cell r="G26">
            <v>35</v>
          </cell>
          <cell r="H26">
            <v>0</v>
          </cell>
          <cell r="I26">
            <v>8.1322909037561271</v>
          </cell>
          <cell r="J26" t="str">
            <v>c</v>
          </cell>
          <cell r="K26" t="str">
            <v>g</v>
          </cell>
          <cell r="L26" t="str">
            <v>c</v>
          </cell>
          <cell r="M26">
            <v>35</v>
          </cell>
          <cell r="N26">
            <v>0</v>
          </cell>
          <cell r="O26"/>
          <cell r="P26">
            <v>228.81315584120824</v>
          </cell>
          <cell r="Q26" t="str">
            <v>g</v>
          </cell>
          <cell r="R26" t="str">
            <v>c</v>
          </cell>
          <cell r="S26" t="str">
            <v>c</v>
          </cell>
          <cell r="T26">
            <v>350</v>
          </cell>
          <cell r="U26">
            <v>250</v>
          </cell>
          <cell r="V26">
            <v>55.118860569902637</v>
          </cell>
          <cell r="W26" t="str">
            <v>g</v>
          </cell>
          <cell r="X26" t="str">
            <v>c</v>
          </cell>
          <cell r="Y26" t="str">
            <v>c</v>
          </cell>
          <cell r="Z26">
            <v>350</v>
          </cell>
          <cell r="AA26">
            <v>300</v>
          </cell>
          <cell r="AB26"/>
          <cell r="AC26">
            <v>1</v>
          </cell>
          <cell r="AD26" t="str">
            <v>c</v>
          </cell>
          <cell r="AE26" t="str">
            <v>g</v>
          </cell>
          <cell r="AF26" t="str">
            <v>c</v>
          </cell>
          <cell r="AG26">
            <v>5</v>
          </cell>
          <cell r="AH26">
            <v>0</v>
          </cell>
          <cell r="AI26">
            <v>9</v>
          </cell>
          <cell r="AJ26" t="str">
            <v>c</v>
          </cell>
          <cell r="AK26" t="str">
            <v>g</v>
          </cell>
          <cell r="AL26" t="str">
            <v>c</v>
          </cell>
          <cell r="AM26">
            <v>13</v>
          </cell>
          <cell r="AN26">
            <v>0</v>
          </cell>
          <cell r="AR26">
            <v>39387</v>
          </cell>
          <cell r="AS26"/>
          <cell r="AT26">
            <v>8.8005059938926244</v>
          </cell>
          <cell r="AU26">
            <v>8.8005059938926244</v>
          </cell>
          <cell r="AV26"/>
          <cell r="AW26">
            <v>39387</v>
          </cell>
          <cell r="AX26"/>
          <cell r="AY26">
            <v>8.1322909037561271</v>
          </cell>
          <cell r="AZ26">
            <v>8.1322909037561271</v>
          </cell>
          <cell r="BA26"/>
          <cell r="BB26"/>
          <cell r="BC26">
            <v>39387</v>
          </cell>
          <cell r="BD26"/>
          <cell r="BE26">
            <v>228.81315584120824</v>
          </cell>
          <cell r="BF26">
            <v>228.81315584120824</v>
          </cell>
          <cell r="BG26"/>
          <cell r="BH26">
            <v>39387</v>
          </cell>
          <cell r="BI26"/>
          <cell r="BJ26">
            <v>55.118860569902637</v>
          </cell>
          <cell r="BK26">
            <v>55.118860569902637</v>
          </cell>
          <cell r="BL26"/>
          <cell r="BM26"/>
          <cell r="BN26">
            <v>39387</v>
          </cell>
          <cell r="BO26"/>
          <cell r="BP26">
            <v>1</v>
          </cell>
          <cell r="BQ26">
            <v>1</v>
          </cell>
          <cell r="BR26"/>
          <cell r="BS26">
            <v>39387</v>
          </cell>
          <cell r="BT26"/>
          <cell r="BU26">
            <v>9</v>
          </cell>
          <cell r="BV26">
            <v>9</v>
          </cell>
          <cell r="BW26"/>
        </row>
        <row r="27">
          <cell r="B27">
            <v>39417</v>
          </cell>
          <cell r="C27">
            <v>17.666015497335433</v>
          </cell>
          <cell r="D27" t="str">
            <v>c</v>
          </cell>
          <cell r="E27" t="str">
            <v>g</v>
          </cell>
          <cell r="F27" t="str">
            <v>c</v>
          </cell>
          <cell r="G27">
            <v>35</v>
          </cell>
          <cell r="H27">
            <v>0</v>
          </cell>
          <cell r="I27">
            <v>9.0170516873961315</v>
          </cell>
          <cell r="J27" t="str">
            <v>c</v>
          </cell>
          <cell r="K27" t="str">
            <v>g</v>
          </cell>
          <cell r="L27" t="str">
            <v>c</v>
          </cell>
          <cell r="M27">
            <v>35</v>
          </cell>
          <cell r="N27">
            <v>0</v>
          </cell>
          <cell r="O27"/>
          <cell r="P27">
            <v>61.831054240674021</v>
          </cell>
          <cell r="Q27" t="str">
            <v>g</v>
          </cell>
          <cell r="R27" t="str">
            <v>c</v>
          </cell>
          <cell r="S27" t="str">
            <v>c</v>
          </cell>
          <cell r="T27">
            <v>350</v>
          </cell>
          <cell r="U27">
            <v>250</v>
          </cell>
          <cell r="V27">
            <v>55.741774067539723</v>
          </cell>
          <cell r="W27" t="str">
            <v>g</v>
          </cell>
          <cell r="X27" t="str">
            <v>c</v>
          </cell>
          <cell r="Y27" t="str">
            <v>c</v>
          </cell>
          <cell r="Z27">
            <v>350</v>
          </cell>
          <cell r="AA27">
            <v>300</v>
          </cell>
          <cell r="AB27"/>
          <cell r="AC27">
            <v>2</v>
          </cell>
          <cell r="AD27" t="str">
            <v>c</v>
          </cell>
          <cell r="AE27" t="str">
            <v>g</v>
          </cell>
          <cell r="AF27" t="str">
            <v>c</v>
          </cell>
          <cell r="AG27">
            <v>5</v>
          </cell>
          <cell r="AH27">
            <v>0</v>
          </cell>
          <cell r="AI27">
            <v>11</v>
          </cell>
          <cell r="AJ27" t="str">
            <v>c</v>
          </cell>
          <cell r="AK27" t="str">
            <v>g</v>
          </cell>
          <cell r="AL27" t="str">
            <v>c</v>
          </cell>
          <cell r="AM27">
            <v>14</v>
          </cell>
          <cell r="AN27">
            <v>0</v>
          </cell>
          <cell r="AR27">
            <v>39417</v>
          </cell>
          <cell r="AS27"/>
          <cell r="AT27">
            <v>17.666015497335433</v>
          </cell>
          <cell r="AU27">
            <v>17.666015497335433</v>
          </cell>
          <cell r="AV27"/>
          <cell r="AW27">
            <v>39417</v>
          </cell>
          <cell r="AX27"/>
          <cell r="AY27">
            <v>9.0170516873961315</v>
          </cell>
          <cell r="AZ27">
            <v>9.0170516873961315</v>
          </cell>
          <cell r="BA27"/>
          <cell r="BB27"/>
          <cell r="BC27">
            <v>39417</v>
          </cell>
          <cell r="BD27"/>
          <cell r="BE27">
            <v>61.831054240674021</v>
          </cell>
          <cell r="BF27">
            <v>61.831054240674021</v>
          </cell>
          <cell r="BG27"/>
          <cell r="BH27">
            <v>39417</v>
          </cell>
          <cell r="BI27"/>
          <cell r="BJ27">
            <v>55.741774067539723</v>
          </cell>
          <cell r="BK27">
            <v>55.741774067539723</v>
          </cell>
          <cell r="BL27"/>
          <cell r="BM27"/>
          <cell r="BN27">
            <v>39417</v>
          </cell>
          <cell r="BO27"/>
          <cell r="BP27">
            <v>2</v>
          </cell>
          <cell r="BQ27">
            <v>2</v>
          </cell>
          <cell r="BR27"/>
          <cell r="BS27">
            <v>39417</v>
          </cell>
          <cell r="BT27"/>
          <cell r="BU27">
            <v>11</v>
          </cell>
          <cell r="BV27">
            <v>11</v>
          </cell>
          <cell r="BW27"/>
        </row>
        <row r="28">
          <cell r="B28">
            <v>39448</v>
          </cell>
          <cell r="C28">
            <v>25.928902948116264</v>
          </cell>
          <cell r="D28" t="str">
            <v>c</v>
          </cell>
          <cell r="E28" t="str">
            <v>g</v>
          </cell>
          <cell r="F28" t="str">
            <v>c</v>
          </cell>
          <cell r="G28">
            <v>35</v>
          </cell>
          <cell r="H28">
            <v>0</v>
          </cell>
          <cell r="I28">
            <v>25.928902948116264</v>
          </cell>
          <cell r="J28" t="str">
            <v>c</v>
          </cell>
          <cell r="K28" t="str">
            <v>g</v>
          </cell>
          <cell r="L28" t="str">
            <v>c</v>
          </cell>
          <cell r="M28">
            <v>35</v>
          </cell>
          <cell r="N28">
            <v>0</v>
          </cell>
          <cell r="O28"/>
          <cell r="P28">
            <v>319.78980302676729</v>
          </cell>
          <cell r="Q28" t="str">
            <v>c</v>
          </cell>
          <cell r="R28" t="str">
            <v>g</v>
          </cell>
          <cell r="S28" t="str">
            <v>c</v>
          </cell>
          <cell r="T28">
            <v>350</v>
          </cell>
          <cell r="U28">
            <v>250</v>
          </cell>
          <cell r="V28">
            <v>319.78980302676729</v>
          </cell>
          <cell r="W28" t="str">
            <v>c</v>
          </cell>
          <cell r="X28" t="str">
            <v>g</v>
          </cell>
          <cell r="Y28" t="str">
            <v>c</v>
          </cell>
          <cell r="Z28">
            <v>350</v>
          </cell>
          <cell r="AA28">
            <v>300</v>
          </cell>
          <cell r="AB28"/>
          <cell r="AC28">
            <v>3</v>
          </cell>
          <cell r="AD28" t="str">
            <v>c</v>
          </cell>
          <cell r="AE28" t="str">
            <v>g</v>
          </cell>
          <cell r="AF28" t="str">
            <v>c</v>
          </cell>
          <cell r="AG28">
            <v>5</v>
          </cell>
          <cell r="AH28">
            <v>0</v>
          </cell>
          <cell r="AI28">
            <v>3</v>
          </cell>
          <cell r="AJ28" t="str">
            <v>c</v>
          </cell>
          <cell r="AK28" t="str">
            <v>g</v>
          </cell>
          <cell r="AL28" t="str">
            <v>c</v>
          </cell>
          <cell r="AM28">
            <v>5</v>
          </cell>
          <cell r="AN28">
            <v>0</v>
          </cell>
          <cell r="AR28">
            <v>39448</v>
          </cell>
          <cell r="AS28">
            <v>11.920714375034496</v>
          </cell>
          <cell r="AT28">
            <v>25.928902948116264</v>
          </cell>
          <cell r="AU28">
            <v>14.008188573081767</v>
          </cell>
          <cell r="AV28">
            <v>1.1751131796613681</v>
          </cell>
          <cell r="AW28">
            <v>39448</v>
          </cell>
          <cell r="AX28">
            <v>11.920714375034496</v>
          </cell>
          <cell r="AY28">
            <v>25.928902948116264</v>
          </cell>
          <cell r="AZ28">
            <v>14.008188573081767</v>
          </cell>
          <cell r="BA28">
            <v>1.1751131796613681</v>
          </cell>
          <cell r="BB28"/>
          <cell r="BC28">
            <v>39448</v>
          </cell>
          <cell r="BD28">
            <v>107.28642937531046</v>
          </cell>
          <cell r="BE28">
            <v>319.78980302676729</v>
          </cell>
          <cell r="BF28">
            <v>212.50337365145683</v>
          </cell>
          <cell r="BG28">
            <v>1.9807106536100236</v>
          </cell>
          <cell r="BH28">
            <v>39448</v>
          </cell>
          <cell r="BI28">
            <v>107.28642937531046</v>
          </cell>
          <cell r="BJ28">
            <v>319.78980302676729</v>
          </cell>
          <cell r="BK28">
            <v>212.50337365145683</v>
          </cell>
          <cell r="BL28">
            <v>1.9807106536100236</v>
          </cell>
          <cell r="BM28"/>
          <cell r="BN28">
            <v>39448</v>
          </cell>
          <cell r="BO28">
            <v>1</v>
          </cell>
          <cell r="BP28">
            <v>3</v>
          </cell>
          <cell r="BQ28">
            <v>2</v>
          </cell>
          <cell r="BR28">
            <v>2</v>
          </cell>
          <cell r="BS28">
            <v>39448</v>
          </cell>
          <cell r="BT28">
            <v>1</v>
          </cell>
          <cell r="BU28">
            <v>3</v>
          </cell>
          <cell r="BV28">
            <v>2</v>
          </cell>
          <cell r="BW28">
            <v>2</v>
          </cell>
        </row>
        <row r="29">
          <cell r="B29">
            <v>39479</v>
          </cell>
          <cell r="C29">
            <v>0</v>
          </cell>
          <cell r="D29" t="str">
            <v>g</v>
          </cell>
          <cell r="E29" t="str">
            <v>c</v>
          </cell>
          <cell r="F29" t="str">
            <v>c</v>
          </cell>
          <cell r="G29">
            <v>35</v>
          </cell>
          <cell r="H29">
            <v>0</v>
          </cell>
          <cell r="I29">
            <v>12.839113074068843</v>
          </cell>
          <cell r="J29" t="str">
            <v>c</v>
          </cell>
          <cell r="K29" t="str">
            <v>g</v>
          </cell>
          <cell r="L29" t="str">
            <v>c</v>
          </cell>
          <cell r="M29">
            <v>35</v>
          </cell>
          <cell r="N29">
            <v>0</v>
          </cell>
          <cell r="O29"/>
          <cell r="P29">
            <v>288.23329942353342</v>
          </cell>
          <cell r="Q29" t="str">
            <v>c</v>
          </cell>
          <cell r="R29" t="str">
            <v>g</v>
          </cell>
          <cell r="S29" t="str">
            <v>c</v>
          </cell>
          <cell r="T29">
            <v>350</v>
          </cell>
          <cell r="U29">
            <v>250</v>
          </cell>
          <cell r="V29">
            <v>303.85900941962927</v>
          </cell>
          <cell r="W29" t="str">
            <v>c</v>
          </cell>
          <cell r="X29" t="str">
            <v>g</v>
          </cell>
          <cell r="Y29" t="str">
            <v>c</v>
          </cell>
          <cell r="Z29">
            <v>350</v>
          </cell>
          <cell r="AA29">
            <v>300</v>
          </cell>
          <cell r="AB29"/>
          <cell r="AC29">
            <v>0</v>
          </cell>
          <cell r="AD29" t="str">
            <v>g</v>
          </cell>
          <cell r="AE29" t="str">
            <v>c</v>
          </cell>
          <cell r="AF29" t="str">
            <v>c</v>
          </cell>
          <cell r="AG29">
            <v>5</v>
          </cell>
          <cell r="AH29">
            <v>0</v>
          </cell>
          <cell r="AI29">
            <v>3</v>
          </cell>
          <cell r="AJ29" t="str">
            <v>c</v>
          </cell>
          <cell r="AK29" t="str">
            <v>g</v>
          </cell>
          <cell r="AL29" t="str">
            <v>c</v>
          </cell>
          <cell r="AM29">
            <v>8</v>
          </cell>
          <cell r="AN29">
            <v>0</v>
          </cell>
          <cell r="AR29">
            <v>39479</v>
          </cell>
          <cell r="AS29">
            <v>11.349468873230403</v>
          </cell>
          <cell r="AT29">
            <v>0</v>
          </cell>
          <cell r="AU29">
            <v>-11.349468873230403</v>
          </cell>
          <cell r="AV29">
            <v>-1</v>
          </cell>
          <cell r="AW29">
            <v>39479</v>
          </cell>
          <cell r="AX29">
            <v>11.628080045842543</v>
          </cell>
          <cell r="AY29">
            <v>12.839113074068843</v>
          </cell>
          <cell r="AZ29">
            <v>1.2110330282263</v>
          </cell>
          <cell r="BA29">
            <v>0.10414729030518566</v>
          </cell>
          <cell r="BB29"/>
          <cell r="BC29">
            <v>39479</v>
          </cell>
          <cell r="BD29">
            <v>11.349468873230403</v>
          </cell>
          <cell r="BE29">
            <v>288.23329942353342</v>
          </cell>
          <cell r="BF29">
            <v>276.883830550303</v>
          </cell>
          <cell r="BG29">
            <v>24.396192777212619</v>
          </cell>
          <cell r="BH29">
            <v>39479</v>
          </cell>
          <cell r="BI29">
            <v>58.140400229212716</v>
          </cell>
          <cell r="BJ29">
            <v>303.85900941962927</v>
          </cell>
          <cell r="BK29">
            <v>245.71860919041654</v>
          </cell>
          <cell r="BL29">
            <v>4.2262971741112123</v>
          </cell>
          <cell r="BM29"/>
          <cell r="BN29">
            <v>39479</v>
          </cell>
          <cell r="BO29">
            <v>1</v>
          </cell>
          <cell r="BP29">
            <v>0</v>
          </cell>
          <cell r="BQ29">
            <v>-1</v>
          </cell>
          <cell r="BR29">
            <v>-1</v>
          </cell>
          <cell r="BS29">
            <v>39479</v>
          </cell>
          <cell r="BT29">
            <v>2</v>
          </cell>
          <cell r="BU29">
            <v>3</v>
          </cell>
          <cell r="BV29">
            <v>1</v>
          </cell>
          <cell r="BW29">
            <v>0.5</v>
          </cell>
        </row>
        <row r="30">
          <cell r="B30">
            <v>39508</v>
          </cell>
          <cell r="C30">
            <v>25.225318854336649</v>
          </cell>
          <cell r="D30" t="str">
            <v>c</v>
          </cell>
          <cell r="E30" t="str">
            <v>g</v>
          </cell>
          <cell r="F30" t="str">
            <v>c</v>
          </cell>
          <cell r="G30">
            <v>35</v>
          </cell>
          <cell r="H30">
            <v>0</v>
          </cell>
          <cell r="I30">
            <v>17.016973835807132</v>
          </cell>
          <cell r="J30" t="str">
            <v>c</v>
          </cell>
          <cell r="K30" t="str">
            <v>g</v>
          </cell>
          <cell r="L30" t="str">
            <v>c</v>
          </cell>
          <cell r="M30">
            <v>35</v>
          </cell>
          <cell r="N30">
            <v>0</v>
          </cell>
          <cell r="O30"/>
          <cell r="P30">
            <v>504.50637708673293</v>
          </cell>
          <cell r="Q30" t="str">
            <v>c</v>
          </cell>
          <cell r="R30" t="str">
            <v>c</v>
          </cell>
          <cell r="S30" t="str">
            <v>g</v>
          </cell>
          <cell r="T30">
            <v>350</v>
          </cell>
          <cell r="U30">
            <v>250</v>
          </cell>
          <cell r="V30">
            <v>371.53726208178909</v>
          </cell>
          <cell r="W30" t="str">
            <v>c</v>
          </cell>
          <cell r="X30" t="str">
            <v>c</v>
          </cell>
          <cell r="Y30" t="str">
            <v>g</v>
          </cell>
          <cell r="Z30">
            <v>350</v>
          </cell>
          <cell r="AA30">
            <v>300</v>
          </cell>
          <cell r="AB30"/>
          <cell r="AC30">
            <v>3</v>
          </cell>
          <cell r="AD30" t="str">
            <v>c</v>
          </cell>
          <cell r="AE30" t="str">
            <v>g</v>
          </cell>
          <cell r="AF30" t="str">
            <v>c</v>
          </cell>
          <cell r="AG30">
            <v>5</v>
          </cell>
          <cell r="AH30">
            <v>0</v>
          </cell>
          <cell r="AI30">
            <v>6</v>
          </cell>
          <cell r="AJ30" t="str">
            <v>c</v>
          </cell>
          <cell r="AK30" t="str">
            <v>g</v>
          </cell>
          <cell r="AL30" t="str">
            <v>c</v>
          </cell>
          <cell r="AM30">
            <v>8</v>
          </cell>
          <cell r="AN30">
            <v>0</v>
          </cell>
          <cell r="AR30">
            <v>39508</v>
          </cell>
          <cell r="AS30">
            <v>0</v>
          </cell>
          <cell r="AT30">
            <v>25.225318854336649</v>
          </cell>
          <cell r="AU30">
            <v>25.225318854336649</v>
          </cell>
          <cell r="AV30" t="str">
            <v/>
          </cell>
          <cell r="AW30">
            <v>39508</v>
          </cell>
          <cell r="AX30">
            <v>7.5818388423290273</v>
          </cell>
          <cell r="AY30">
            <v>17.016973835807132</v>
          </cell>
          <cell r="AZ30">
            <v>9.4351349934781048</v>
          </cell>
          <cell r="BA30">
            <v>1.2444388742216752</v>
          </cell>
          <cell r="BB30"/>
          <cell r="BC30">
            <v>39508</v>
          </cell>
          <cell r="BD30">
            <v>0</v>
          </cell>
          <cell r="BE30">
            <v>504.50637708673293</v>
          </cell>
          <cell r="BF30">
            <v>504.50637708673293</v>
          </cell>
          <cell r="BG30" t="str">
            <v/>
          </cell>
          <cell r="BH30">
            <v>39508</v>
          </cell>
          <cell r="BI30">
            <v>37.909194211645136</v>
          </cell>
          <cell r="BJ30">
            <v>371.53726208178909</v>
          </cell>
          <cell r="BK30">
            <v>333.62806787014398</v>
          </cell>
          <cell r="BL30">
            <v>8.8007164174346499</v>
          </cell>
          <cell r="BM30"/>
          <cell r="BN30">
            <v>39508</v>
          </cell>
          <cell r="BO30">
            <v>0</v>
          </cell>
          <cell r="BP30">
            <v>3</v>
          </cell>
          <cell r="BQ30">
            <v>3</v>
          </cell>
          <cell r="BR30" t="str">
            <v/>
          </cell>
          <cell r="BS30">
            <v>39508</v>
          </cell>
          <cell r="BT30">
            <v>2</v>
          </cell>
          <cell r="BU30">
            <v>6</v>
          </cell>
          <cell r="BV30">
            <v>4</v>
          </cell>
          <cell r="BW30">
            <v>2</v>
          </cell>
        </row>
        <row r="31">
          <cell r="B31">
            <v>39539</v>
          </cell>
          <cell r="C31">
            <v>0</v>
          </cell>
          <cell r="D31" t="str">
            <v>g</v>
          </cell>
          <cell r="E31" t="str">
            <v>c</v>
          </cell>
          <cell r="F31" t="str">
            <v>c</v>
          </cell>
          <cell r="G31">
            <v>35</v>
          </cell>
          <cell r="H31">
            <v>0</v>
          </cell>
          <cell r="I31">
            <v>12.642994107121519</v>
          </cell>
          <cell r="J31" t="str">
            <v>c</v>
          </cell>
          <cell r="K31" t="str">
            <v>g</v>
          </cell>
          <cell r="L31" t="str">
            <v>c</v>
          </cell>
          <cell r="M31">
            <v>35</v>
          </cell>
          <cell r="N31">
            <v>0</v>
          </cell>
          <cell r="O31"/>
          <cell r="P31">
            <v>737.81377580298738</v>
          </cell>
          <cell r="Q31" t="str">
            <v>c</v>
          </cell>
          <cell r="R31" t="str">
            <v>c</v>
          </cell>
          <cell r="S31" t="str">
            <v>g</v>
          </cell>
          <cell r="T31">
            <v>350</v>
          </cell>
          <cell r="U31">
            <v>250</v>
          </cell>
          <cell r="V31">
            <v>465.68361627897593</v>
          </cell>
          <cell r="W31" t="str">
            <v>c</v>
          </cell>
          <cell r="X31" t="str">
            <v>c</v>
          </cell>
          <cell r="Y31" t="str">
            <v>g</v>
          </cell>
          <cell r="Z31">
            <v>350</v>
          </cell>
          <cell r="AA31">
            <v>300</v>
          </cell>
          <cell r="AB31"/>
          <cell r="AC31">
            <v>0</v>
          </cell>
          <cell r="AD31" t="str">
            <v>g</v>
          </cell>
          <cell r="AE31" t="str">
            <v>c</v>
          </cell>
          <cell r="AF31" t="str">
            <v>c</v>
          </cell>
          <cell r="AG31">
            <v>5</v>
          </cell>
          <cell r="AH31">
            <v>0</v>
          </cell>
          <cell r="AI31">
            <v>6</v>
          </cell>
          <cell r="AJ31" t="str">
            <v>c</v>
          </cell>
          <cell r="AK31" t="str">
            <v>g</v>
          </cell>
          <cell r="AL31" t="str">
            <v>c</v>
          </cell>
          <cell r="AM31">
            <v>11</v>
          </cell>
          <cell r="AN31">
            <v>0</v>
          </cell>
          <cell r="AR31">
            <v>39539</v>
          </cell>
          <cell r="AS31">
            <v>10.555491167059436</v>
          </cell>
          <cell r="AT31">
            <v>0</v>
          </cell>
          <cell r="AU31">
            <v>-10.555491167059436</v>
          </cell>
          <cell r="AV31">
            <v>-1</v>
          </cell>
          <cell r="AW31">
            <v>39539</v>
          </cell>
          <cell r="AX31">
            <v>8.3676016838626932</v>
          </cell>
          <cell r="AY31">
            <v>12.642994107121519</v>
          </cell>
          <cell r="AZ31">
            <v>4.2753924232588254</v>
          </cell>
          <cell r="BA31">
            <v>0.51094597768726469</v>
          </cell>
          <cell r="BB31"/>
          <cell r="BC31">
            <v>39539</v>
          </cell>
          <cell r="BD31">
            <v>10.555491167059436</v>
          </cell>
          <cell r="BE31">
            <v>737.81377580298738</v>
          </cell>
          <cell r="BF31">
            <v>727.25828463592791</v>
          </cell>
          <cell r="BG31">
            <v>68.898573560033455</v>
          </cell>
          <cell r="BH31">
            <v>39539</v>
          </cell>
          <cell r="BI31">
            <v>30.681206174163208</v>
          </cell>
          <cell r="BJ31">
            <v>465.68361627897593</v>
          </cell>
          <cell r="BK31">
            <v>435.00241010481272</v>
          </cell>
          <cell r="BL31">
            <v>14.178139139494794</v>
          </cell>
          <cell r="BM31"/>
          <cell r="BN31">
            <v>39539</v>
          </cell>
          <cell r="BO31">
            <v>1</v>
          </cell>
          <cell r="BP31">
            <v>0</v>
          </cell>
          <cell r="BQ31">
            <v>-1</v>
          </cell>
          <cell r="BR31">
            <v>-1</v>
          </cell>
          <cell r="BS31">
            <v>39539</v>
          </cell>
          <cell r="BT31">
            <v>3</v>
          </cell>
          <cell r="BU31">
            <v>6</v>
          </cell>
          <cell r="BV31">
            <v>3</v>
          </cell>
          <cell r="BW31">
            <v>1</v>
          </cell>
        </row>
        <row r="32">
          <cell r="B32">
            <v>39569</v>
          </cell>
          <cell r="C32">
            <v>8.3052339584406099</v>
          </cell>
          <cell r="D32" t="str">
            <v>c</v>
          </cell>
          <cell r="E32" t="str">
            <v>g</v>
          </cell>
          <cell r="F32" t="str">
            <v>c</v>
          </cell>
          <cell r="G32">
            <v>35</v>
          </cell>
          <cell r="H32">
            <v>0</v>
          </cell>
          <cell r="I32">
            <v>11.765158099438208</v>
          </cell>
          <cell r="J32" t="str">
            <v>c</v>
          </cell>
          <cell r="K32" t="str">
            <v>g</v>
          </cell>
          <cell r="L32" t="str">
            <v>c</v>
          </cell>
          <cell r="M32">
            <v>35</v>
          </cell>
          <cell r="N32">
            <v>0</v>
          </cell>
          <cell r="O32"/>
          <cell r="P32">
            <v>539.8402072986396</v>
          </cell>
          <cell r="Q32" t="str">
            <v>c</v>
          </cell>
          <cell r="R32" t="str">
            <v>c</v>
          </cell>
          <cell r="S32" t="str">
            <v>g</v>
          </cell>
          <cell r="T32">
            <v>350</v>
          </cell>
          <cell r="U32">
            <v>250</v>
          </cell>
          <cell r="V32">
            <v>480.69074520561821</v>
          </cell>
          <cell r="W32" t="str">
            <v>c</v>
          </cell>
          <cell r="X32" t="str">
            <v>c</v>
          </cell>
          <cell r="Y32" t="str">
            <v>g</v>
          </cell>
          <cell r="Z32">
            <v>350</v>
          </cell>
          <cell r="AA32">
            <v>300</v>
          </cell>
          <cell r="AB32"/>
          <cell r="AC32">
            <v>1</v>
          </cell>
          <cell r="AD32" t="str">
            <v>c</v>
          </cell>
          <cell r="AE32" t="str">
            <v>g</v>
          </cell>
          <cell r="AF32" t="str">
            <v>c</v>
          </cell>
          <cell r="AG32">
            <v>5</v>
          </cell>
          <cell r="AH32">
            <v>0</v>
          </cell>
          <cell r="AI32">
            <v>7</v>
          </cell>
          <cell r="AJ32" t="str">
            <v>c</v>
          </cell>
          <cell r="AK32" t="str">
            <v>g</v>
          </cell>
          <cell r="AL32" t="str">
            <v>c</v>
          </cell>
          <cell r="AM32">
            <v>11</v>
          </cell>
          <cell r="AN32">
            <v>0</v>
          </cell>
          <cell r="AR32">
            <v>39569</v>
          </cell>
          <cell r="AS32">
            <v>10.605362580378044</v>
          </cell>
          <cell r="AT32">
            <v>8.3052339584406099</v>
          </cell>
          <cell r="AU32">
            <v>-2.3001286219374339</v>
          </cell>
          <cell r="AV32">
            <v>-0.21688354400943477</v>
          </cell>
          <cell r="AW32">
            <v>39569</v>
          </cell>
          <cell r="AX32">
            <v>8.8335791019072385</v>
          </cell>
          <cell r="AY32">
            <v>11.765158099438208</v>
          </cell>
          <cell r="AZ32">
            <v>2.9315789975309698</v>
          </cell>
          <cell r="BA32">
            <v>0.33186763413914733</v>
          </cell>
          <cell r="BB32"/>
          <cell r="BC32">
            <v>39569</v>
          </cell>
          <cell r="BD32">
            <v>53.026812901890217</v>
          </cell>
          <cell r="BE32">
            <v>539.8402072986396</v>
          </cell>
          <cell r="BF32">
            <v>486.8133943967494</v>
          </cell>
          <cell r="BG32">
            <v>9.1805139278773478</v>
          </cell>
          <cell r="BH32">
            <v>39569</v>
          </cell>
          <cell r="BI32">
            <v>35.334316407628954</v>
          </cell>
          <cell r="BJ32">
            <v>480.69074520561821</v>
          </cell>
          <cell r="BK32">
            <v>445.35642879798928</v>
          </cell>
          <cell r="BL32">
            <v>12.604076548707006</v>
          </cell>
          <cell r="BM32"/>
          <cell r="BN32">
            <v>39569</v>
          </cell>
          <cell r="BO32">
            <v>1</v>
          </cell>
          <cell r="BP32">
            <v>1</v>
          </cell>
          <cell r="BQ32">
            <v>0</v>
          </cell>
          <cell r="BR32">
            <v>0</v>
          </cell>
          <cell r="BS32">
            <v>39569</v>
          </cell>
          <cell r="BT32">
            <v>4</v>
          </cell>
          <cell r="BU32">
            <v>7</v>
          </cell>
          <cell r="BV32">
            <v>3</v>
          </cell>
          <cell r="BW32">
            <v>0.75</v>
          </cell>
        </row>
        <row r="33">
          <cell r="B33">
            <v>39600</v>
          </cell>
          <cell r="C33">
            <v>0</v>
          </cell>
          <cell r="D33" t="str">
            <v>g</v>
          </cell>
          <cell r="E33" t="str">
            <v>c</v>
          </cell>
          <cell r="F33" t="str">
            <v>c</v>
          </cell>
          <cell r="G33">
            <v>35</v>
          </cell>
          <cell r="H33">
            <v>0</v>
          </cell>
          <cell r="I33">
            <v>9.7783099289252373</v>
          </cell>
          <cell r="J33" t="str">
            <v>c</v>
          </cell>
          <cell r="K33" t="str">
            <v>g</v>
          </cell>
          <cell r="L33" t="str">
            <v>c</v>
          </cell>
          <cell r="M33">
            <v>35</v>
          </cell>
          <cell r="N33">
            <v>0</v>
          </cell>
          <cell r="O33"/>
          <cell r="P33">
            <v>223.33799310133756</v>
          </cell>
          <cell r="Q33" t="str">
            <v>g</v>
          </cell>
          <cell r="R33" t="str">
            <v>c</v>
          </cell>
          <cell r="S33" t="str">
            <v>c</v>
          </cell>
          <cell r="T33">
            <v>350</v>
          </cell>
          <cell r="U33">
            <v>250</v>
          </cell>
          <cell r="V33">
            <v>437.23014396479988</v>
          </cell>
          <cell r="W33" t="str">
            <v>c</v>
          </cell>
          <cell r="X33" t="str">
            <v>c</v>
          </cell>
          <cell r="Y33" t="str">
            <v>g</v>
          </cell>
          <cell r="Z33">
            <v>350</v>
          </cell>
          <cell r="AA33">
            <v>300</v>
          </cell>
          <cell r="AB33"/>
          <cell r="AC33">
            <v>0</v>
          </cell>
          <cell r="AD33" t="str">
            <v>g</v>
          </cell>
          <cell r="AE33" t="str">
            <v>c</v>
          </cell>
          <cell r="AF33" t="str">
            <v>c</v>
          </cell>
          <cell r="AG33">
            <v>5</v>
          </cell>
          <cell r="AH33">
            <v>0</v>
          </cell>
          <cell r="AI33">
            <v>7</v>
          </cell>
          <cell r="AJ33" t="str">
            <v>c</v>
          </cell>
          <cell r="AK33" t="str">
            <v>g</v>
          </cell>
          <cell r="AL33" t="str">
            <v>c</v>
          </cell>
          <cell r="AM33">
            <v>12</v>
          </cell>
          <cell r="AN33">
            <v>0</v>
          </cell>
          <cell r="AR33">
            <v>39600</v>
          </cell>
          <cell r="AS33">
            <v>9.9911468447808396</v>
          </cell>
          <cell r="AT33">
            <v>0</v>
          </cell>
          <cell r="AU33">
            <v>-9.9911468447808396</v>
          </cell>
          <cell r="AV33">
            <v>-1</v>
          </cell>
          <cell r="AW33">
            <v>39600</v>
          </cell>
          <cell r="AX33">
            <v>9.0431252172610836</v>
          </cell>
          <cell r="AY33">
            <v>9.7783099289252373</v>
          </cell>
          <cell r="AZ33">
            <v>0.73518471166415367</v>
          </cell>
          <cell r="BA33">
            <v>8.129763704486459E-2</v>
          </cell>
          <cell r="BB33"/>
          <cell r="BC33">
            <v>39600</v>
          </cell>
          <cell r="BD33">
            <v>109.90261529258923</v>
          </cell>
          <cell r="BE33">
            <v>223.33799310133756</v>
          </cell>
          <cell r="BF33">
            <v>113.43537780874833</v>
          </cell>
          <cell r="BG33">
            <v>1.0321444808820424</v>
          </cell>
          <cell r="BH33">
            <v>39600</v>
          </cell>
          <cell r="BI33">
            <v>48.832876173209854</v>
          </cell>
          <cell r="BJ33">
            <v>437.23014396479988</v>
          </cell>
          <cell r="BK33">
            <v>388.39726779159002</v>
          </cell>
          <cell r="BL33">
            <v>7.953602126852978</v>
          </cell>
          <cell r="BM33"/>
          <cell r="BN33">
            <v>39600</v>
          </cell>
          <cell r="BO33">
            <v>1</v>
          </cell>
          <cell r="BP33">
            <v>0</v>
          </cell>
          <cell r="BQ33">
            <v>-1</v>
          </cell>
          <cell r="BR33">
            <v>-1</v>
          </cell>
          <cell r="BS33">
            <v>39600</v>
          </cell>
          <cell r="BT33">
            <v>5</v>
          </cell>
          <cell r="BU33">
            <v>7</v>
          </cell>
          <cell r="BV33">
            <v>2</v>
          </cell>
          <cell r="BW33">
            <v>0.39999999999999991</v>
          </cell>
        </row>
        <row r="34">
          <cell r="B34">
            <v>39630</v>
          </cell>
          <cell r="C34">
            <v>0</v>
          </cell>
          <cell r="D34" t="str">
            <v>g</v>
          </cell>
          <cell r="E34" t="str">
            <v>c</v>
          </cell>
          <cell r="F34" t="str">
            <v>c</v>
          </cell>
          <cell r="G34">
            <v>35</v>
          </cell>
          <cell r="H34">
            <v>0</v>
          </cell>
          <cell r="I34">
            <v>8.3847886852978348</v>
          </cell>
          <cell r="J34" t="str">
            <v>c</v>
          </cell>
          <cell r="K34" t="str">
            <v>g</v>
          </cell>
          <cell r="L34" t="str">
            <v>c</v>
          </cell>
          <cell r="M34">
            <v>35</v>
          </cell>
          <cell r="N34">
            <v>0</v>
          </cell>
          <cell r="O34"/>
          <cell r="P34">
            <v>0</v>
          </cell>
          <cell r="Q34" t="str">
            <v>g</v>
          </cell>
          <cell r="R34" t="str">
            <v>c</v>
          </cell>
          <cell r="S34" t="str">
            <v>c</v>
          </cell>
          <cell r="T34">
            <v>350</v>
          </cell>
          <cell r="U34">
            <v>250</v>
          </cell>
          <cell r="V34">
            <v>374.91983692831747</v>
          </cell>
          <cell r="W34" t="str">
            <v>c</v>
          </cell>
          <cell r="X34" t="str">
            <v>c</v>
          </cell>
          <cell r="Y34" t="str">
            <v>g</v>
          </cell>
          <cell r="Z34">
            <v>350</v>
          </cell>
          <cell r="AA34">
            <v>300</v>
          </cell>
          <cell r="AB34"/>
          <cell r="AC34">
            <v>0</v>
          </cell>
          <cell r="AD34" t="str">
            <v>g</v>
          </cell>
          <cell r="AE34" t="str">
            <v>c</v>
          </cell>
          <cell r="AF34" t="str">
            <v>c</v>
          </cell>
          <cell r="AG34">
            <v>5</v>
          </cell>
          <cell r="AH34">
            <v>0</v>
          </cell>
          <cell r="AI34">
            <v>7</v>
          </cell>
          <cell r="AJ34" t="str">
            <v>c</v>
          </cell>
          <cell r="AK34" t="str">
            <v>g</v>
          </cell>
          <cell r="AL34" t="str">
            <v>c</v>
          </cell>
          <cell r="AM34">
            <v>12</v>
          </cell>
          <cell r="AN34">
            <v>0</v>
          </cell>
          <cell r="AR34">
            <v>39630</v>
          </cell>
          <cell r="AS34">
            <v>18.80418897156882</v>
          </cell>
          <cell r="AT34">
            <v>0</v>
          </cell>
          <cell r="AU34">
            <v>-18.80418897156882</v>
          </cell>
          <cell r="AV34">
            <v>-1</v>
          </cell>
          <cell r="AW34">
            <v>39630</v>
          </cell>
          <cell r="AX34">
            <v>10.617877338276532</v>
          </cell>
          <cell r="AY34">
            <v>8.3847886852978348</v>
          </cell>
          <cell r="AZ34">
            <v>-2.2330886529786973</v>
          </cell>
          <cell r="BA34">
            <v>-0.21031403752693634</v>
          </cell>
          <cell r="BB34"/>
          <cell r="BC34">
            <v>39630</v>
          </cell>
          <cell r="BD34">
            <v>47.01047242892205</v>
          </cell>
          <cell r="BE34">
            <v>0</v>
          </cell>
          <cell r="BF34">
            <v>-47.01047242892205</v>
          </cell>
          <cell r="BG34">
            <v>-1</v>
          </cell>
          <cell r="BH34">
            <v>39630</v>
          </cell>
          <cell r="BI34">
            <v>48.538867832121291</v>
          </cell>
          <cell r="BJ34">
            <v>374.91983692831747</v>
          </cell>
          <cell r="BK34">
            <v>326.38096909619617</v>
          </cell>
          <cell r="BL34">
            <v>6.7241158204396543</v>
          </cell>
          <cell r="BM34"/>
          <cell r="BN34">
            <v>39630</v>
          </cell>
          <cell r="BO34">
            <v>2</v>
          </cell>
          <cell r="BP34">
            <v>0</v>
          </cell>
          <cell r="BQ34">
            <v>-2</v>
          </cell>
          <cell r="BR34">
            <v>-1</v>
          </cell>
          <cell r="BS34">
            <v>39630</v>
          </cell>
          <cell r="BT34">
            <v>7</v>
          </cell>
          <cell r="BU34">
            <v>7</v>
          </cell>
          <cell r="BV34">
            <v>0</v>
          </cell>
          <cell r="BW34">
            <v>0</v>
          </cell>
        </row>
        <row r="35">
          <cell r="B35">
            <v>39661</v>
          </cell>
          <cell r="C35">
            <v>0</v>
          </cell>
          <cell r="D35" t="str">
            <v>g</v>
          </cell>
          <cell r="E35" t="str">
            <v>c</v>
          </cell>
          <cell r="F35" t="str">
            <v>c</v>
          </cell>
          <cell r="G35">
            <v>35</v>
          </cell>
          <cell r="H35">
            <v>0</v>
          </cell>
          <cell r="I35">
            <v>7.3156319912294352</v>
          </cell>
          <cell r="J35" t="str">
            <v>c</v>
          </cell>
          <cell r="K35" t="str">
            <v>g</v>
          </cell>
          <cell r="L35" t="str">
            <v>c</v>
          </cell>
          <cell r="M35">
            <v>35</v>
          </cell>
          <cell r="N35">
            <v>0</v>
          </cell>
          <cell r="O35"/>
          <cell r="P35">
            <v>0</v>
          </cell>
          <cell r="Q35" t="str">
            <v>g</v>
          </cell>
          <cell r="R35" t="str">
            <v>c</v>
          </cell>
          <cell r="S35" t="str">
            <v>c</v>
          </cell>
          <cell r="T35">
            <v>350</v>
          </cell>
          <cell r="U35">
            <v>250</v>
          </cell>
          <cell r="V35">
            <v>327.11325903640187</v>
          </cell>
          <cell r="W35" t="str">
            <v>c</v>
          </cell>
          <cell r="X35" t="str">
            <v>g</v>
          </cell>
          <cell r="Y35" t="str">
            <v>c</v>
          </cell>
          <cell r="Z35">
            <v>350</v>
          </cell>
          <cell r="AA35">
            <v>300</v>
          </cell>
          <cell r="AB35"/>
          <cell r="AC35">
            <v>0</v>
          </cell>
          <cell r="AD35" t="str">
            <v>g</v>
          </cell>
          <cell r="AE35" t="str">
            <v>c</v>
          </cell>
          <cell r="AF35" t="str">
            <v>c</v>
          </cell>
          <cell r="AG35">
            <v>5</v>
          </cell>
          <cell r="AH35">
            <v>0</v>
          </cell>
          <cell r="AI35">
            <v>7</v>
          </cell>
          <cell r="AJ35" t="str">
            <v>c</v>
          </cell>
          <cell r="AK35" t="str">
            <v>g</v>
          </cell>
          <cell r="AL35" t="str">
            <v>c</v>
          </cell>
          <cell r="AM35">
            <v>12</v>
          </cell>
          <cell r="AN35">
            <v>0</v>
          </cell>
          <cell r="AR35">
            <v>39661</v>
          </cell>
          <cell r="AS35">
            <v>0</v>
          </cell>
          <cell r="AT35">
            <v>0</v>
          </cell>
          <cell r="AU35">
            <v>0</v>
          </cell>
          <cell r="AV35" t="str">
            <v/>
          </cell>
          <cell r="AW35">
            <v>39661</v>
          </cell>
          <cell r="AX35">
            <v>9.1040432694887592</v>
          </cell>
          <cell r="AY35">
            <v>7.3156319912294352</v>
          </cell>
          <cell r="AZ35">
            <v>-1.788411278259324</v>
          </cell>
          <cell r="BA35">
            <v>-0.19644142995815894</v>
          </cell>
          <cell r="BB35"/>
          <cell r="BC35">
            <v>39661</v>
          </cell>
          <cell r="BD35">
            <v>0</v>
          </cell>
          <cell r="BE35">
            <v>0</v>
          </cell>
          <cell r="BF35">
            <v>0</v>
          </cell>
          <cell r="BG35" t="str">
            <v/>
          </cell>
          <cell r="BH35">
            <v>39661</v>
          </cell>
          <cell r="BI35">
            <v>41.618483517662895</v>
          </cell>
          <cell r="BJ35">
            <v>327.11325903640187</v>
          </cell>
          <cell r="BK35">
            <v>285.49477551873895</v>
          </cell>
          <cell r="BL35">
            <v>6.859807263221759</v>
          </cell>
          <cell r="BM35"/>
          <cell r="BN35">
            <v>39661</v>
          </cell>
          <cell r="BO35">
            <v>0</v>
          </cell>
          <cell r="BP35">
            <v>0</v>
          </cell>
          <cell r="BQ35">
            <v>0</v>
          </cell>
          <cell r="BR35" t="str">
            <v/>
          </cell>
          <cell r="BS35">
            <v>39661</v>
          </cell>
          <cell r="BT35">
            <v>7</v>
          </cell>
          <cell r="BU35">
            <v>7</v>
          </cell>
          <cell r="BV35">
            <v>0</v>
          </cell>
          <cell r="BW35">
            <v>0</v>
          </cell>
        </row>
        <row r="36">
          <cell r="B36">
            <v>39692</v>
          </cell>
          <cell r="C36">
            <v>0</v>
          </cell>
          <cell r="D36" t="str">
            <v>g</v>
          </cell>
          <cell r="E36" t="str">
            <v>c</v>
          </cell>
          <cell r="F36" t="str">
            <v>c</v>
          </cell>
          <cell r="G36">
            <v>35</v>
          </cell>
          <cell r="H36">
            <v>0</v>
          </cell>
          <cell r="I36">
            <v>6.4994685802364929</v>
          </cell>
          <cell r="J36" t="str">
            <v>c</v>
          </cell>
          <cell r="K36" t="str">
            <v>g</v>
          </cell>
          <cell r="L36" t="str">
            <v>c</v>
          </cell>
          <cell r="M36">
            <v>35</v>
          </cell>
          <cell r="N36">
            <v>0</v>
          </cell>
          <cell r="O36"/>
          <cell r="P36">
            <v>0</v>
          </cell>
          <cell r="Q36" t="str">
            <v>g</v>
          </cell>
          <cell r="R36" t="str">
            <v>c</v>
          </cell>
          <cell r="S36" t="str">
            <v>c</v>
          </cell>
          <cell r="T36">
            <v>350</v>
          </cell>
          <cell r="U36">
            <v>250</v>
          </cell>
          <cell r="V36">
            <v>290.61909508771748</v>
          </cell>
          <cell r="W36" t="str">
            <v>g</v>
          </cell>
          <cell r="X36" t="str">
            <v>c</v>
          </cell>
          <cell r="Y36" t="str">
            <v>c</v>
          </cell>
          <cell r="Z36">
            <v>350</v>
          </cell>
          <cell r="AA36">
            <v>300</v>
          </cell>
          <cell r="AB36"/>
          <cell r="AC36">
            <v>0</v>
          </cell>
          <cell r="AD36" t="str">
            <v>g</v>
          </cell>
          <cell r="AE36" t="str">
            <v>c</v>
          </cell>
          <cell r="AF36" t="str">
            <v>c</v>
          </cell>
          <cell r="AG36">
            <v>5</v>
          </cell>
          <cell r="AH36">
            <v>0</v>
          </cell>
          <cell r="AI36">
            <v>7</v>
          </cell>
          <cell r="AJ36" t="str">
            <v>c</v>
          </cell>
          <cell r="AK36" t="str">
            <v>g</v>
          </cell>
          <cell r="AL36" t="str">
            <v>c</v>
          </cell>
          <cell r="AM36">
            <v>12</v>
          </cell>
          <cell r="AN36">
            <v>0</v>
          </cell>
          <cell r="AR36">
            <v>39692</v>
          </cell>
          <cell r="AS36">
            <v>0</v>
          </cell>
          <cell r="AT36">
            <v>0</v>
          </cell>
          <cell r="AU36"/>
          <cell r="AV36" t="str">
            <v/>
          </cell>
          <cell r="AW36">
            <v>39692</v>
          </cell>
          <cell r="AX36">
            <v>7.9513315805342266</v>
          </cell>
          <cell r="AY36">
            <v>6.4994685802364929</v>
          </cell>
          <cell r="AZ36"/>
          <cell r="BA36">
            <v>-0.18259369334465447</v>
          </cell>
          <cell r="BB36"/>
          <cell r="BC36">
            <v>39692</v>
          </cell>
          <cell r="BD36">
            <v>0</v>
          </cell>
          <cell r="BE36">
            <v>0</v>
          </cell>
          <cell r="BF36"/>
          <cell r="BG36" t="str">
            <v/>
          </cell>
          <cell r="BH36">
            <v>39692</v>
          </cell>
          <cell r="BI36">
            <v>36.348944368156467</v>
          </cell>
          <cell r="BJ36">
            <v>290.61909508771748</v>
          </cell>
          <cell r="BK36"/>
          <cell r="BL36">
            <v>6.9952554369725979</v>
          </cell>
          <cell r="BM36"/>
          <cell r="BN36">
            <v>39692</v>
          </cell>
          <cell r="BO36">
            <v>0</v>
          </cell>
          <cell r="BP36">
            <v>0</v>
          </cell>
          <cell r="BQ36"/>
          <cell r="BR36" t="str">
            <v/>
          </cell>
          <cell r="BS36">
            <v>39692</v>
          </cell>
          <cell r="BT36">
            <v>7</v>
          </cell>
          <cell r="BU36">
            <v>7</v>
          </cell>
          <cell r="BV36"/>
          <cell r="BW36">
            <v>0</v>
          </cell>
        </row>
        <row r="37">
          <cell r="B37">
            <v>39722</v>
          </cell>
          <cell r="C37">
            <v>8.0763049289688986</v>
          </cell>
          <cell r="D37" t="str">
            <v>c</v>
          </cell>
          <cell r="E37" t="str">
            <v>g</v>
          </cell>
          <cell r="F37" t="str">
            <v>c</v>
          </cell>
          <cell r="G37">
            <v>35</v>
          </cell>
          <cell r="H37">
            <v>0</v>
          </cell>
          <cell r="I37">
            <v>6.6620580214788587</v>
          </cell>
          <cell r="J37" t="str">
            <v>c</v>
          </cell>
          <cell r="K37" t="str">
            <v>g</v>
          </cell>
          <cell r="L37" t="str">
            <v>c</v>
          </cell>
          <cell r="M37">
            <v>35</v>
          </cell>
          <cell r="N37">
            <v>0</v>
          </cell>
          <cell r="O37"/>
          <cell r="P37">
            <v>88.839354218657874</v>
          </cell>
          <cell r="Q37" t="str">
            <v>g</v>
          </cell>
          <cell r="R37" t="str">
            <v>c</v>
          </cell>
          <cell r="S37" t="str">
            <v>c</v>
          </cell>
          <cell r="T37">
            <v>350</v>
          </cell>
          <cell r="U37">
            <v>250</v>
          </cell>
          <cell r="V37">
            <v>269.81334986989378</v>
          </cell>
          <cell r="W37" t="str">
            <v>g</v>
          </cell>
          <cell r="X37" t="str">
            <v>c</v>
          </cell>
          <cell r="Y37" t="str">
            <v>c</v>
          </cell>
          <cell r="Z37">
            <v>350</v>
          </cell>
          <cell r="AA37">
            <v>300</v>
          </cell>
          <cell r="AB37"/>
          <cell r="AC37">
            <v>1</v>
          </cell>
          <cell r="AD37" t="str">
            <v>c</v>
          </cell>
          <cell r="AE37" t="str">
            <v>g</v>
          </cell>
          <cell r="AF37" t="str">
            <v>c</v>
          </cell>
          <cell r="AG37">
            <v>5</v>
          </cell>
          <cell r="AH37">
            <v>0</v>
          </cell>
          <cell r="AI37">
            <v>8</v>
          </cell>
          <cell r="AJ37" t="str">
            <v>c</v>
          </cell>
          <cell r="AK37" t="str">
            <v>g</v>
          </cell>
          <cell r="AL37" t="str">
            <v>c</v>
          </cell>
          <cell r="AM37">
            <v>12</v>
          </cell>
          <cell r="AN37">
            <v>0</v>
          </cell>
          <cell r="AR37">
            <v>39722</v>
          </cell>
          <cell r="AS37">
            <v>8.8720359636849828</v>
          </cell>
          <cell r="AT37">
            <v>8.0763049289688986</v>
          </cell>
          <cell r="AU37"/>
          <cell r="AV37">
            <v>-8.9689789127678332E-2</v>
          </cell>
          <cell r="AW37">
            <v>39722</v>
          </cell>
          <cell r="AX37">
            <v>8.0558318286298203</v>
          </cell>
          <cell r="AY37">
            <v>6.6620580214788587</v>
          </cell>
          <cell r="AZ37"/>
          <cell r="BA37">
            <v>-0.17301426305817291</v>
          </cell>
          <cell r="BB37"/>
          <cell r="BC37">
            <v>39722</v>
          </cell>
          <cell r="BD37">
            <v>26.616107891054948</v>
          </cell>
          <cell r="BE37">
            <v>88.839354218657874</v>
          </cell>
          <cell r="BF37"/>
          <cell r="BG37">
            <v>2.3378041065318458</v>
          </cell>
          <cell r="BH37">
            <v>39722</v>
          </cell>
          <cell r="BI37">
            <v>35.244264250255462</v>
          </cell>
          <cell r="BJ37">
            <v>269.81334986989378</v>
          </cell>
          <cell r="BK37"/>
          <cell r="BL37">
            <v>6.6555251076900577</v>
          </cell>
          <cell r="BM37"/>
          <cell r="BN37">
            <v>39722</v>
          </cell>
          <cell r="BO37">
            <v>1</v>
          </cell>
          <cell r="BP37">
            <v>1</v>
          </cell>
          <cell r="BQ37"/>
          <cell r="BR37">
            <v>0</v>
          </cell>
          <cell r="BS37">
            <v>39722</v>
          </cell>
          <cell r="BT37">
            <v>8</v>
          </cell>
          <cell r="BU37">
            <v>8</v>
          </cell>
          <cell r="BV37"/>
          <cell r="BW37">
            <v>0</v>
          </cell>
        </row>
        <row r="38">
          <cell r="B38">
            <v>39753</v>
          </cell>
          <cell r="C38">
            <v>27.954825002795481</v>
          </cell>
          <cell r="D38" t="str">
            <v>c</v>
          </cell>
          <cell r="E38" t="str">
            <v>g</v>
          </cell>
          <cell r="F38" t="str">
            <v>c</v>
          </cell>
          <cell r="G38">
            <v>35</v>
          </cell>
          <cell r="H38">
            <v>0</v>
          </cell>
          <cell r="I38">
            <v>8.408846494848401</v>
          </cell>
          <cell r="J38" t="str">
            <v>c</v>
          </cell>
          <cell r="K38" t="str">
            <v>g</v>
          </cell>
          <cell r="L38" t="str">
            <v>c</v>
          </cell>
          <cell r="M38">
            <v>35</v>
          </cell>
          <cell r="N38">
            <v>0</v>
          </cell>
          <cell r="O38"/>
          <cell r="P38">
            <v>205.00205002050021</v>
          </cell>
          <cell r="Q38" t="str">
            <v>g</v>
          </cell>
          <cell r="R38" t="str">
            <v>c</v>
          </cell>
          <cell r="S38" t="str">
            <v>c</v>
          </cell>
          <cell r="T38">
            <v>350</v>
          </cell>
          <cell r="U38">
            <v>250</v>
          </cell>
          <cell r="V38">
            <v>264.49644429250424</v>
          </cell>
          <cell r="W38" t="str">
            <v>g</v>
          </cell>
          <cell r="X38" t="str">
            <v>c</v>
          </cell>
          <cell r="Y38" t="str">
            <v>c</v>
          </cell>
          <cell r="Z38">
            <v>350</v>
          </cell>
          <cell r="AA38">
            <v>300</v>
          </cell>
          <cell r="AB38"/>
          <cell r="AC38">
            <v>3</v>
          </cell>
          <cell r="AD38" t="str">
            <v>c</v>
          </cell>
          <cell r="AE38" t="str">
            <v>g</v>
          </cell>
          <cell r="AF38" t="str">
            <v>c</v>
          </cell>
          <cell r="AG38">
            <v>5</v>
          </cell>
          <cell r="AH38">
            <v>0</v>
          </cell>
          <cell r="AI38">
            <v>11</v>
          </cell>
          <cell r="AJ38" t="str">
            <v>c</v>
          </cell>
          <cell r="AK38" t="str">
            <v>g</v>
          </cell>
          <cell r="AL38" t="str">
            <v>c</v>
          </cell>
          <cell r="AM38">
            <v>13</v>
          </cell>
          <cell r="AN38">
            <v>0</v>
          </cell>
          <cell r="AR38">
            <v>39753</v>
          </cell>
          <cell r="AS38">
            <v>8.8005059938926244</v>
          </cell>
          <cell r="AT38">
            <v>27.954825002795481</v>
          </cell>
          <cell r="AU38"/>
          <cell r="AV38">
            <v>2.1765020127474002</v>
          </cell>
          <cell r="AW38">
            <v>39753</v>
          </cell>
          <cell r="AX38">
            <v>8.1322909037561271</v>
          </cell>
          <cell r="AY38">
            <v>8.408846494848401</v>
          </cell>
          <cell r="AZ38"/>
          <cell r="BA38">
            <v>3.4007095216495475E-2</v>
          </cell>
          <cell r="BB38"/>
          <cell r="BC38">
            <v>39753</v>
          </cell>
          <cell r="BD38">
            <v>228.81315584120824</v>
          </cell>
          <cell r="BE38">
            <v>205.00205002050021</v>
          </cell>
          <cell r="BF38"/>
          <cell r="BG38">
            <v>-0.10406353486611786</v>
          </cell>
          <cell r="BH38">
            <v>39753</v>
          </cell>
          <cell r="BI38">
            <v>55.118860569902637</v>
          </cell>
          <cell r="BJ38">
            <v>264.49644429250424</v>
          </cell>
          <cell r="BK38"/>
          <cell r="BL38">
            <v>3.798655878545703</v>
          </cell>
          <cell r="BM38"/>
          <cell r="BN38">
            <v>39753</v>
          </cell>
          <cell r="BO38">
            <v>1</v>
          </cell>
          <cell r="BP38">
            <v>3</v>
          </cell>
          <cell r="BQ38"/>
          <cell r="BR38">
            <v>2</v>
          </cell>
          <cell r="BS38">
            <v>39753</v>
          </cell>
          <cell r="BT38">
            <v>9</v>
          </cell>
          <cell r="BU38">
            <v>11</v>
          </cell>
          <cell r="BV38"/>
          <cell r="BW38">
            <v>0.22222222222222232</v>
          </cell>
        </row>
        <row r="39">
          <cell r="AR39">
            <v>39783</v>
          </cell>
          <cell r="AS39">
            <v>17.666015497335433</v>
          </cell>
          <cell r="AT39">
            <v>0</v>
          </cell>
          <cell r="AU39"/>
          <cell r="AV39">
            <v>-1</v>
          </cell>
          <cell r="AW39">
            <v>39783</v>
          </cell>
          <cell r="AX39">
            <v>9.0170516873961315</v>
          </cell>
          <cell r="AY39">
            <v>7.963794389800789</v>
          </cell>
          <cell r="AZ39"/>
          <cell r="BA39">
            <v>-0.11680728181558131</v>
          </cell>
          <cell r="BB39"/>
          <cell r="BC39">
            <v>39783</v>
          </cell>
          <cell r="BD39">
            <v>61.831054240674021</v>
          </cell>
          <cell r="BE39">
            <v>0</v>
          </cell>
          <cell r="BF39"/>
          <cell r="BG39">
            <v>-1</v>
          </cell>
          <cell r="BH39">
            <v>39783</v>
          </cell>
          <cell r="BI39">
            <v>55.741774067539723</v>
          </cell>
          <cell r="BJ39">
            <v>250.49753262464301</v>
          </cell>
          <cell r="BK39"/>
          <cell r="BL39">
            <v>3.4938923601736604</v>
          </cell>
          <cell r="BM39"/>
          <cell r="BN39">
            <v>39783</v>
          </cell>
          <cell r="BO39">
            <v>2</v>
          </cell>
          <cell r="BP39">
            <v>0</v>
          </cell>
          <cell r="BQ39"/>
          <cell r="BR39">
            <v>-1</v>
          </cell>
          <cell r="BS39">
            <v>39783</v>
          </cell>
          <cell r="BT39">
            <v>11</v>
          </cell>
          <cell r="BU39">
            <v>11</v>
          </cell>
          <cell r="BV39"/>
          <cell r="BW39">
            <v>0</v>
          </cell>
        </row>
        <row r="40">
          <cell r="AR40">
            <v>39814</v>
          </cell>
          <cell r="AS40">
            <v>25.928902948116264</v>
          </cell>
          <cell r="AT40" t="str">
            <v/>
          </cell>
          <cell r="AU40"/>
          <cell r="AV40" t="str">
            <v/>
          </cell>
          <cell r="AW40">
            <v>39814</v>
          </cell>
          <cell r="AX40">
            <v>25.928902948116264</v>
          </cell>
          <cell r="AY40" t="str">
            <v/>
          </cell>
          <cell r="AZ40"/>
          <cell r="BA40" t="str">
            <v/>
          </cell>
          <cell r="BB40"/>
          <cell r="BC40">
            <v>39814</v>
          </cell>
          <cell r="BD40">
            <v>319.78980302676729</v>
          </cell>
          <cell r="BE40" t="str">
            <v/>
          </cell>
          <cell r="BF40"/>
          <cell r="BG40" t="str">
            <v/>
          </cell>
          <cell r="BH40">
            <v>39814</v>
          </cell>
          <cell r="BI40">
            <v>319.78980302676729</v>
          </cell>
          <cell r="BJ40" t="str">
            <v/>
          </cell>
          <cell r="BK40"/>
          <cell r="BL40" t="str">
            <v/>
          </cell>
          <cell r="BM40"/>
          <cell r="BN40">
            <v>39814</v>
          </cell>
          <cell r="BO40">
            <v>3</v>
          </cell>
          <cell r="BP40" t="str">
            <v/>
          </cell>
          <cell r="BQ40"/>
          <cell r="BR40" t="str">
            <v/>
          </cell>
          <cell r="BS40">
            <v>39814</v>
          </cell>
          <cell r="BT40">
            <v>3</v>
          </cell>
          <cell r="BU40" t="str">
            <v/>
          </cell>
          <cell r="BV40"/>
          <cell r="BW40" t="str">
            <v/>
          </cell>
        </row>
        <row r="41">
          <cell r="AR41">
            <v>39845</v>
          </cell>
          <cell r="AS41">
            <v>0</v>
          </cell>
          <cell r="AT41" t="str">
            <v/>
          </cell>
          <cell r="AU41"/>
          <cell r="AV41" t="str">
            <v/>
          </cell>
          <cell r="AW41">
            <v>39845</v>
          </cell>
          <cell r="AX41">
            <v>12.839113074068843</v>
          </cell>
          <cell r="AY41">
            <v>0</v>
          </cell>
          <cell r="AZ41"/>
          <cell r="BA41">
            <v>-1</v>
          </cell>
          <cell r="BB41"/>
          <cell r="BC41">
            <v>39845</v>
          </cell>
          <cell r="BD41">
            <v>288.23329942353342</v>
          </cell>
          <cell r="BE41" t="str">
            <v/>
          </cell>
          <cell r="BF41"/>
          <cell r="BG41" t="str">
            <v/>
          </cell>
          <cell r="BH41">
            <v>39845</v>
          </cell>
          <cell r="BI41">
            <v>303.85900941962927</v>
          </cell>
          <cell r="BJ41" t="str">
            <v/>
          </cell>
          <cell r="BK41"/>
          <cell r="BL41" t="str">
            <v/>
          </cell>
          <cell r="BM41"/>
          <cell r="BN41">
            <v>39845</v>
          </cell>
          <cell r="BO41">
            <v>0</v>
          </cell>
          <cell r="BP41" t="str">
            <v/>
          </cell>
          <cell r="BQ41"/>
          <cell r="BR41" t="str">
            <v/>
          </cell>
          <cell r="BS41">
            <v>39845</v>
          </cell>
          <cell r="BT41">
            <v>3</v>
          </cell>
          <cell r="BU41" t="str">
            <v/>
          </cell>
          <cell r="BV41"/>
          <cell r="BW41" t="str">
            <v/>
          </cell>
        </row>
        <row r="42">
          <cell r="AR42">
            <v>39873</v>
          </cell>
          <cell r="AS42">
            <v>25.225318854336649</v>
          </cell>
          <cell r="AT42" t="str">
            <v/>
          </cell>
          <cell r="AU42"/>
          <cell r="AV42" t="str">
            <v/>
          </cell>
          <cell r="AW42">
            <v>39873</v>
          </cell>
          <cell r="AX42">
            <v>17.016973835807132</v>
          </cell>
          <cell r="AY42">
            <v>0</v>
          </cell>
          <cell r="AZ42"/>
          <cell r="BA42">
            <v>-1</v>
          </cell>
          <cell r="BB42"/>
          <cell r="BC42">
            <v>39873</v>
          </cell>
          <cell r="BD42">
            <v>504.50637708673293</v>
          </cell>
          <cell r="BE42" t="str">
            <v/>
          </cell>
          <cell r="BF42"/>
          <cell r="BG42" t="str">
            <v/>
          </cell>
          <cell r="BH42">
            <v>39873</v>
          </cell>
          <cell r="BI42">
            <v>371.53726208178909</v>
          </cell>
          <cell r="BJ42" t="str">
            <v/>
          </cell>
          <cell r="BK42"/>
          <cell r="BL42" t="str">
            <v/>
          </cell>
          <cell r="BM42"/>
          <cell r="BN42">
            <v>39873</v>
          </cell>
          <cell r="BO42">
            <v>3</v>
          </cell>
          <cell r="BP42" t="str">
            <v/>
          </cell>
          <cell r="BQ42"/>
          <cell r="BR42" t="str">
            <v/>
          </cell>
          <cell r="BS42">
            <v>39873</v>
          </cell>
          <cell r="BT42">
            <v>6</v>
          </cell>
          <cell r="BU42" t="str">
            <v/>
          </cell>
          <cell r="BV42"/>
          <cell r="BW42" t="str">
            <v/>
          </cell>
        </row>
        <row r="43">
          <cell r="AR43">
            <v>39904</v>
          </cell>
          <cell r="AS43">
            <v>0</v>
          </cell>
          <cell r="AT43" t="str">
            <v/>
          </cell>
          <cell r="AU43"/>
          <cell r="AV43" t="str">
            <v/>
          </cell>
          <cell r="AW43">
            <v>39904</v>
          </cell>
          <cell r="AX43">
            <v>12.642994107121519</v>
          </cell>
          <cell r="AY43">
            <v>0</v>
          </cell>
          <cell r="AZ43"/>
          <cell r="BA43">
            <v>-1</v>
          </cell>
          <cell r="BB43"/>
          <cell r="BC43">
            <v>39904</v>
          </cell>
          <cell r="BD43">
            <v>737.81377580298738</v>
          </cell>
          <cell r="BE43" t="str">
            <v/>
          </cell>
          <cell r="BF43"/>
          <cell r="BG43" t="str">
            <v/>
          </cell>
          <cell r="BH43">
            <v>39904</v>
          </cell>
          <cell r="BI43">
            <v>465.68361627897593</v>
          </cell>
          <cell r="BJ43" t="str">
            <v/>
          </cell>
          <cell r="BK43"/>
          <cell r="BL43" t="str">
            <v/>
          </cell>
          <cell r="BM43"/>
          <cell r="BN43">
            <v>39904</v>
          </cell>
          <cell r="BO43">
            <v>0</v>
          </cell>
          <cell r="BP43" t="str">
            <v/>
          </cell>
          <cell r="BQ43"/>
          <cell r="BR43" t="str">
            <v/>
          </cell>
          <cell r="BS43">
            <v>39904</v>
          </cell>
          <cell r="BT43">
            <v>6</v>
          </cell>
          <cell r="BU43" t="str">
            <v/>
          </cell>
          <cell r="BV43"/>
          <cell r="BW43" t="str">
            <v/>
          </cell>
        </row>
        <row r="44">
          <cell r="AR44">
            <v>39934</v>
          </cell>
          <cell r="AS44">
            <v>8.3052339584406099</v>
          </cell>
          <cell r="AT44" t="str">
            <v/>
          </cell>
          <cell r="AU44"/>
          <cell r="AV44" t="str">
            <v/>
          </cell>
          <cell r="AW44">
            <v>39934</v>
          </cell>
          <cell r="AX44">
            <v>11.765158099438208</v>
          </cell>
          <cell r="AY44">
            <v>0</v>
          </cell>
          <cell r="AZ44"/>
          <cell r="BA44">
            <v>-1</v>
          </cell>
          <cell r="BB44"/>
          <cell r="BC44">
            <v>39934</v>
          </cell>
          <cell r="BD44">
            <v>539.8402072986396</v>
          </cell>
          <cell r="BE44" t="str">
            <v/>
          </cell>
          <cell r="BF44"/>
          <cell r="BG44" t="str">
            <v/>
          </cell>
          <cell r="BH44">
            <v>39934</v>
          </cell>
          <cell r="BI44">
            <v>480.69074520561821</v>
          </cell>
          <cell r="BJ44" t="str">
            <v/>
          </cell>
          <cell r="BK44"/>
          <cell r="BL44" t="str">
            <v/>
          </cell>
          <cell r="BM44"/>
          <cell r="BN44">
            <v>39934</v>
          </cell>
          <cell r="BO44">
            <v>1</v>
          </cell>
          <cell r="BP44" t="str">
            <v/>
          </cell>
          <cell r="BQ44"/>
          <cell r="BR44" t="str">
            <v/>
          </cell>
          <cell r="BS44">
            <v>39934</v>
          </cell>
          <cell r="BT44">
            <v>7</v>
          </cell>
          <cell r="BU44" t="str">
            <v/>
          </cell>
          <cell r="BV44"/>
          <cell r="BW44" t="str">
            <v/>
          </cell>
        </row>
        <row r="45">
          <cell r="AR45">
            <v>39965</v>
          </cell>
          <cell r="AS45">
            <v>0</v>
          </cell>
          <cell r="AT45" t="str">
            <v/>
          </cell>
          <cell r="AU45"/>
          <cell r="AV45" t="str">
            <v/>
          </cell>
          <cell r="AW45">
            <v>39965</v>
          </cell>
          <cell r="AX45">
            <v>9.7783099289252373</v>
          </cell>
          <cell r="AY45">
            <v>0</v>
          </cell>
          <cell r="AZ45"/>
          <cell r="BA45">
            <v>-1</v>
          </cell>
          <cell r="BB45"/>
          <cell r="BC45">
            <v>39965</v>
          </cell>
          <cell r="BD45">
            <v>223.33799310133756</v>
          </cell>
          <cell r="BE45" t="str">
            <v/>
          </cell>
          <cell r="BF45"/>
          <cell r="BG45" t="str">
            <v/>
          </cell>
          <cell r="BH45">
            <v>39965</v>
          </cell>
          <cell r="BI45">
            <v>437.23014396479988</v>
          </cell>
          <cell r="BJ45" t="str">
            <v/>
          </cell>
          <cell r="BK45"/>
          <cell r="BL45" t="str">
            <v/>
          </cell>
          <cell r="BM45"/>
          <cell r="BN45">
            <v>39965</v>
          </cell>
          <cell r="BO45">
            <v>0</v>
          </cell>
          <cell r="BP45" t="str">
            <v/>
          </cell>
          <cell r="BQ45"/>
          <cell r="BR45" t="str">
            <v/>
          </cell>
          <cell r="BS45">
            <v>39965</v>
          </cell>
          <cell r="BT45">
            <v>7</v>
          </cell>
          <cell r="BU45" t="str">
            <v/>
          </cell>
          <cell r="BV45"/>
          <cell r="BW45" t="str">
            <v/>
          </cell>
        </row>
        <row r="46">
          <cell r="AR46">
            <v>39995</v>
          </cell>
          <cell r="AS46">
            <v>0</v>
          </cell>
          <cell r="AT46" t="str">
            <v/>
          </cell>
          <cell r="AU46"/>
          <cell r="AV46" t="str">
            <v/>
          </cell>
          <cell r="AW46">
            <v>39995</v>
          </cell>
          <cell r="AX46">
            <v>8.3847886852978348</v>
          </cell>
          <cell r="AY46">
            <v>0</v>
          </cell>
          <cell r="AZ46"/>
          <cell r="BA46">
            <v>-1</v>
          </cell>
          <cell r="BB46"/>
          <cell r="BC46">
            <v>39995</v>
          </cell>
          <cell r="BD46">
            <v>0</v>
          </cell>
          <cell r="BE46" t="str">
            <v/>
          </cell>
          <cell r="BF46"/>
          <cell r="BG46" t="str">
            <v/>
          </cell>
          <cell r="BH46">
            <v>39995</v>
          </cell>
          <cell r="BI46">
            <v>374.91983692831747</v>
          </cell>
          <cell r="BJ46" t="str">
            <v/>
          </cell>
          <cell r="BK46"/>
          <cell r="BL46" t="str">
            <v/>
          </cell>
          <cell r="BM46"/>
          <cell r="BN46">
            <v>39995</v>
          </cell>
          <cell r="BO46">
            <v>0</v>
          </cell>
          <cell r="BP46" t="str">
            <v/>
          </cell>
          <cell r="BQ46"/>
          <cell r="BR46" t="str">
            <v/>
          </cell>
          <cell r="BS46">
            <v>39995</v>
          </cell>
          <cell r="BT46">
            <v>7</v>
          </cell>
          <cell r="BU46" t="str">
            <v/>
          </cell>
          <cell r="BV46"/>
          <cell r="BW46" t="str">
            <v/>
          </cell>
        </row>
        <row r="47">
          <cell r="AR47">
            <v>40026</v>
          </cell>
          <cell r="AS47">
            <v>0</v>
          </cell>
          <cell r="AT47" t="str">
            <v/>
          </cell>
          <cell r="AU47"/>
          <cell r="AV47" t="str">
            <v/>
          </cell>
          <cell r="AW47">
            <v>40026</v>
          </cell>
          <cell r="AX47">
            <v>7.3156319912294352</v>
          </cell>
          <cell r="AY47">
            <v>0</v>
          </cell>
          <cell r="AZ47"/>
          <cell r="BA47">
            <v>-1</v>
          </cell>
          <cell r="BB47"/>
          <cell r="BC47">
            <v>40026</v>
          </cell>
          <cell r="BD47">
            <v>0</v>
          </cell>
          <cell r="BE47" t="str">
            <v/>
          </cell>
          <cell r="BF47"/>
          <cell r="BG47" t="str">
            <v/>
          </cell>
          <cell r="BH47">
            <v>40026</v>
          </cell>
          <cell r="BI47">
            <v>327.11325903640187</v>
          </cell>
          <cell r="BJ47" t="str">
            <v/>
          </cell>
          <cell r="BK47"/>
          <cell r="BL47" t="str">
            <v/>
          </cell>
          <cell r="BM47"/>
          <cell r="BN47">
            <v>40026</v>
          </cell>
          <cell r="BO47">
            <v>0</v>
          </cell>
          <cell r="BP47" t="str">
            <v/>
          </cell>
          <cell r="BQ47"/>
          <cell r="BR47" t="str">
            <v/>
          </cell>
          <cell r="BS47">
            <v>40026</v>
          </cell>
          <cell r="BT47">
            <v>7</v>
          </cell>
          <cell r="BU47" t="str">
            <v/>
          </cell>
          <cell r="BV47"/>
          <cell r="BW47" t="str">
            <v/>
          </cell>
        </row>
        <row r="48">
          <cell r="AR48">
            <v>40057</v>
          </cell>
          <cell r="AS48">
            <v>0</v>
          </cell>
          <cell r="AT48" t="str">
            <v/>
          </cell>
          <cell r="AU48"/>
          <cell r="AV48" t="str">
            <v/>
          </cell>
          <cell r="AW48">
            <v>40057</v>
          </cell>
          <cell r="AX48">
            <v>6.4994685802364929</v>
          </cell>
          <cell r="AY48">
            <v>0</v>
          </cell>
          <cell r="AZ48"/>
          <cell r="BA48">
            <v>-1</v>
          </cell>
          <cell r="BB48"/>
          <cell r="BC48">
            <v>40057</v>
          </cell>
          <cell r="BD48">
            <v>0</v>
          </cell>
          <cell r="BE48" t="str">
            <v/>
          </cell>
          <cell r="BF48"/>
          <cell r="BG48" t="str">
            <v/>
          </cell>
          <cell r="BH48">
            <v>40057</v>
          </cell>
          <cell r="BI48">
            <v>290.61909508771748</v>
          </cell>
          <cell r="BJ48" t="str">
            <v/>
          </cell>
          <cell r="BK48"/>
          <cell r="BL48" t="str">
            <v/>
          </cell>
          <cell r="BM48"/>
          <cell r="BN48">
            <v>40057</v>
          </cell>
          <cell r="BO48">
            <v>0</v>
          </cell>
          <cell r="BP48" t="str">
            <v/>
          </cell>
          <cell r="BQ48"/>
          <cell r="BR48" t="str">
            <v/>
          </cell>
          <cell r="BS48">
            <v>40057</v>
          </cell>
          <cell r="BT48">
            <v>7</v>
          </cell>
          <cell r="BU48" t="str">
            <v/>
          </cell>
          <cell r="BV48"/>
          <cell r="BW48" t="str">
            <v/>
          </cell>
        </row>
      </sheetData>
      <sheetData sheetId="60">
        <row r="14">
          <cell r="AO14" t="str">
            <v>Mes</v>
          </cell>
          <cell r="AP14"/>
          <cell r="AQ14"/>
          <cell r="AR14"/>
          <cell r="AS14"/>
          <cell r="AT14"/>
          <cell r="AU14"/>
          <cell r="AV14" t="str">
            <v>Mes</v>
          </cell>
          <cell r="AW14"/>
          <cell r="AX14"/>
          <cell r="AY14"/>
          <cell r="AZ14"/>
          <cell r="BA14"/>
          <cell r="BB14"/>
          <cell r="BC14" t="str">
            <v>Mes</v>
          </cell>
          <cell r="BD14"/>
          <cell r="BE14"/>
          <cell r="BF14"/>
          <cell r="BG14"/>
          <cell r="BH14"/>
          <cell r="BI14"/>
          <cell r="BJ14" t="str">
            <v>Mes</v>
          </cell>
          <cell r="BK14"/>
          <cell r="BL14"/>
          <cell r="BM14"/>
          <cell r="BN14"/>
          <cell r="BO14"/>
          <cell r="BP14"/>
        </row>
        <row r="15">
          <cell r="AO15"/>
          <cell r="AP15" t="str">
            <v>% IL</v>
          </cell>
          <cell r="AQ15"/>
          <cell r="AR15" t="str">
            <v>Var 1.</v>
          </cell>
          <cell r="AS15"/>
          <cell r="AT15" t="str">
            <v>Acum. 
Anual</v>
          </cell>
          <cell r="AU15" t="str">
            <v>Avance 
del Año</v>
          </cell>
          <cell r="AV15"/>
          <cell r="AW15" t="str">
            <v>% IL</v>
          </cell>
          <cell r="AX15"/>
          <cell r="AY15" t="str">
            <v>Var 1.</v>
          </cell>
          <cell r="AZ15"/>
          <cell r="BA15" t="str">
            <v>Acum. 
Anual</v>
          </cell>
          <cell r="BB15" t="str">
            <v>Avance 
del Año</v>
          </cell>
          <cell r="BC15"/>
          <cell r="BD15" t="str">
            <v>% IL</v>
          </cell>
          <cell r="BE15"/>
          <cell r="BF15" t="str">
            <v>Var 1.</v>
          </cell>
          <cell r="BG15"/>
          <cell r="BH15" t="str">
            <v>Acum. 
Anual</v>
          </cell>
          <cell r="BI15" t="str">
            <v>Avance 
del Año</v>
          </cell>
          <cell r="BJ15"/>
          <cell r="BK15" t="str">
            <v>% IL</v>
          </cell>
          <cell r="BL15"/>
          <cell r="BM15" t="str">
            <v>Var 1.</v>
          </cell>
          <cell r="BN15"/>
          <cell r="BO15" t="str">
            <v>Acum. 
Anual</v>
          </cell>
          <cell r="BP15" t="str">
            <v>Avance 
del Año</v>
          </cell>
        </row>
        <row r="16">
          <cell r="AO16" t="str">
            <v>Fecha</v>
          </cell>
          <cell r="AP16" t="str">
            <v>Anteriores</v>
          </cell>
          <cell r="AQ16" t="str">
            <v>Real</v>
          </cell>
          <cell r="AR16" t="str">
            <v>Unidades</v>
          </cell>
          <cell r="AS16" t="str">
            <v>%</v>
          </cell>
          <cell r="AT16"/>
          <cell r="AU16"/>
          <cell r="AV16" t="str">
            <v>Fecha</v>
          </cell>
          <cell r="AW16" t="str">
            <v>Anteriores</v>
          </cell>
          <cell r="AX16" t="str">
            <v>Real</v>
          </cell>
          <cell r="AY16" t="str">
            <v>Unidades</v>
          </cell>
          <cell r="AZ16" t="str">
            <v>%</v>
          </cell>
          <cell r="BA16"/>
          <cell r="BB16"/>
          <cell r="BC16" t="str">
            <v>Fecha</v>
          </cell>
          <cell r="BD16" t="str">
            <v>Anteriores</v>
          </cell>
          <cell r="BE16" t="str">
            <v>Real</v>
          </cell>
          <cell r="BF16" t="str">
            <v>Unidades</v>
          </cell>
          <cell r="BG16" t="str">
            <v>%</v>
          </cell>
          <cell r="BH16"/>
          <cell r="BI16"/>
          <cell r="BJ16" t="str">
            <v>Fecha</v>
          </cell>
          <cell r="BK16" t="str">
            <v>Anteriores</v>
          </cell>
          <cell r="BL16" t="str">
            <v>Real</v>
          </cell>
          <cell r="BM16" t="str">
            <v>Unidades</v>
          </cell>
          <cell r="BN16" t="str">
            <v>%</v>
          </cell>
          <cell r="BO16"/>
          <cell r="BP16"/>
        </row>
        <row r="17">
          <cell r="D17">
            <v>39083</v>
          </cell>
          <cell r="E17">
            <v>2</v>
          </cell>
          <cell r="F17">
            <v>2</v>
          </cell>
          <cell r="G17">
            <v>0</v>
          </cell>
          <cell r="H17">
            <v>0</v>
          </cell>
          <cell r="I17" t="str">
            <v>g</v>
          </cell>
          <cell r="J17"/>
          <cell r="K17" t="str">
            <v>c</v>
          </cell>
          <cell r="L17">
            <v>0</v>
          </cell>
          <cell r="M17">
            <v>1.48</v>
          </cell>
          <cell r="N17">
            <v>1.42</v>
          </cell>
          <cell r="O17">
            <v>0</v>
          </cell>
          <cell r="P17">
            <v>6.0000000000000053E-2</v>
          </cell>
          <cell r="Q17" t="str">
            <v>g</v>
          </cell>
          <cell r="R17"/>
          <cell r="S17" t="str">
            <v>c</v>
          </cell>
          <cell r="T17">
            <v>0</v>
          </cell>
          <cell r="V17">
            <v>39083</v>
          </cell>
          <cell r="W17">
            <v>2</v>
          </cell>
          <cell r="X17">
            <v>2</v>
          </cell>
          <cell r="Y17">
            <v>0</v>
          </cell>
          <cell r="Z17">
            <v>0</v>
          </cell>
          <cell r="AA17" t="str">
            <v>g</v>
          </cell>
          <cell r="AB17"/>
          <cell r="AC17" t="str">
            <v>c</v>
          </cell>
          <cell r="AD17">
            <v>0</v>
          </cell>
          <cell r="AE17">
            <v>1.48</v>
          </cell>
          <cell r="AF17">
            <v>1.42</v>
          </cell>
          <cell r="AG17">
            <v>0</v>
          </cell>
          <cell r="AH17">
            <v>6.0000000000000053E-2</v>
          </cell>
          <cell r="AI17" t="str">
            <v>g</v>
          </cell>
          <cell r="AJ17"/>
          <cell r="AK17" t="str">
            <v>c</v>
          </cell>
          <cell r="AL17">
            <v>0</v>
          </cell>
          <cell r="AO17">
            <v>39083</v>
          </cell>
          <cell r="AP17"/>
          <cell r="AQ17">
            <v>0</v>
          </cell>
          <cell r="AR17">
            <v>0</v>
          </cell>
          <cell r="AS17"/>
          <cell r="AT17"/>
          <cell r="AU17"/>
          <cell r="AV17">
            <v>39083</v>
          </cell>
          <cell r="AW17"/>
          <cell r="AX17">
            <v>6.0000000000000053E-2</v>
          </cell>
          <cell r="AY17">
            <v>6.0000000000000053E-2</v>
          </cell>
          <cell r="AZ17"/>
          <cell r="BA17"/>
          <cell r="BB17"/>
          <cell r="BC17">
            <v>39083</v>
          </cell>
          <cell r="BD17"/>
          <cell r="BE17">
            <v>0</v>
          </cell>
          <cell r="BF17">
            <v>0</v>
          </cell>
          <cell r="BG17"/>
          <cell r="BH17"/>
          <cell r="BI17"/>
          <cell r="BJ17">
            <v>39083</v>
          </cell>
          <cell r="BK17"/>
          <cell r="BL17">
            <v>6.0000000000000053E-2</v>
          </cell>
          <cell r="BM17">
            <v>6.0000000000000053E-2</v>
          </cell>
          <cell r="BN17"/>
          <cell r="BO17"/>
          <cell r="BP17"/>
        </row>
        <row r="18">
          <cell r="D18">
            <v>39114</v>
          </cell>
          <cell r="E18">
            <v>2.2999999999999998</v>
          </cell>
          <cell r="F18">
            <v>2</v>
          </cell>
          <cell r="G18">
            <v>0</v>
          </cell>
          <cell r="H18">
            <v>0.29999999999999982</v>
          </cell>
          <cell r="I18" t="str">
            <v>g</v>
          </cell>
          <cell r="J18"/>
          <cell r="K18" t="str">
            <v>c</v>
          </cell>
          <cell r="L18">
            <v>0</v>
          </cell>
          <cell r="M18">
            <v>2.1</v>
          </cell>
          <cell r="N18">
            <v>1.48</v>
          </cell>
          <cell r="O18">
            <v>0</v>
          </cell>
          <cell r="P18">
            <v>0.62000000000000011</v>
          </cell>
          <cell r="Q18" t="str">
            <v>g</v>
          </cell>
          <cell r="R18"/>
          <cell r="S18" t="str">
            <v>c</v>
          </cell>
          <cell r="T18">
            <v>0</v>
          </cell>
          <cell r="V18">
            <v>39114</v>
          </cell>
          <cell r="W18">
            <v>2.15</v>
          </cell>
          <cell r="X18">
            <v>2</v>
          </cell>
          <cell r="Y18">
            <v>0</v>
          </cell>
          <cell r="Z18">
            <v>0.14999999999999991</v>
          </cell>
          <cell r="AA18" t="str">
            <v>g</v>
          </cell>
          <cell r="AB18"/>
          <cell r="AC18" t="str">
            <v>c</v>
          </cell>
          <cell r="AD18">
            <v>0</v>
          </cell>
          <cell r="AE18">
            <v>1.79</v>
          </cell>
          <cell r="AF18">
            <v>1.45</v>
          </cell>
          <cell r="AG18">
            <v>0</v>
          </cell>
          <cell r="AH18">
            <v>0.34000000000000008</v>
          </cell>
          <cell r="AI18" t="str">
            <v>g</v>
          </cell>
          <cell r="AJ18"/>
          <cell r="AK18" t="str">
            <v>c</v>
          </cell>
          <cell r="AL18">
            <v>0</v>
          </cell>
          <cell r="AO18">
            <v>39114</v>
          </cell>
          <cell r="AP18"/>
          <cell r="AQ18">
            <v>0.29999999999999982</v>
          </cell>
          <cell r="AR18">
            <v>0.29999999999999982</v>
          </cell>
          <cell r="AS18"/>
          <cell r="AT18"/>
          <cell r="AU18"/>
          <cell r="AV18">
            <v>39114</v>
          </cell>
          <cell r="AW18"/>
          <cell r="AX18">
            <v>0.62000000000000011</v>
          </cell>
          <cell r="AY18">
            <v>0.62000000000000011</v>
          </cell>
          <cell r="AZ18"/>
          <cell r="BA18"/>
          <cell r="BB18"/>
          <cell r="BC18">
            <v>39114</v>
          </cell>
          <cell r="BD18"/>
          <cell r="BE18">
            <v>0.14999999999999991</v>
          </cell>
          <cell r="BF18">
            <v>0.14999999999999991</v>
          </cell>
          <cell r="BG18"/>
          <cell r="BH18"/>
          <cell r="BI18"/>
          <cell r="BJ18">
            <v>39114</v>
          </cell>
          <cell r="BK18"/>
          <cell r="BL18">
            <v>0.34000000000000008</v>
          </cell>
          <cell r="BM18">
            <v>0.34000000000000008</v>
          </cell>
          <cell r="BN18"/>
          <cell r="BO18"/>
          <cell r="BP18"/>
        </row>
        <row r="19">
          <cell r="D19">
            <v>39142</v>
          </cell>
          <cell r="E19">
            <v>3.05</v>
          </cell>
          <cell r="F19">
            <v>2.2999999999999998</v>
          </cell>
          <cell r="G19">
            <v>0</v>
          </cell>
          <cell r="H19">
            <v>0.75</v>
          </cell>
          <cell r="I19" t="str">
            <v>g</v>
          </cell>
          <cell r="J19"/>
          <cell r="K19" t="str">
            <v>c</v>
          </cell>
          <cell r="L19">
            <v>0</v>
          </cell>
          <cell r="M19">
            <v>2.9</v>
          </cell>
          <cell r="N19">
            <v>2.1</v>
          </cell>
          <cell r="O19">
            <v>0</v>
          </cell>
          <cell r="P19">
            <v>0.79999999999999982</v>
          </cell>
          <cell r="Q19" t="str">
            <v>g</v>
          </cell>
          <cell r="R19"/>
          <cell r="S19" t="str">
            <v>c</v>
          </cell>
          <cell r="T19">
            <v>0</v>
          </cell>
          <cell r="V19">
            <v>39142</v>
          </cell>
          <cell r="W19">
            <v>2.4499999999999997</v>
          </cell>
          <cell r="X19">
            <v>2.1</v>
          </cell>
          <cell r="Y19">
            <v>0</v>
          </cell>
          <cell r="Z19">
            <v>0.34999999999999964</v>
          </cell>
          <cell r="AA19" t="str">
            <v>g</v>
          </cell>
          <cell r="AB19"/>
          <cell r="AC19" t="str">
            <v>c</v>
          </cell>
          <cell r="AD19">
            <v>0</v>
          </cell>
          <cell r="AE19">
            <v>2.16</v>
          </cell>
          <cell r="AF19">
            <v>1.6666666666666667</v>
          </cell>
          <cell r="AG19">
            <v>0</v>
          </cell>
          <cell r="AH19">
            <v>0.4933333333333334</v>
          </cell>
          <cell r="AI19" t="str">
            <v>g</v>
          </cell>
          <cell r="AJ19"/>
          <cell r="AK19" t="str">
            <v>c</v>
          </cell>
          <cell r="AL19">
            <v>0</v>
          </cell>
          <cell r="AO19">
            <v>39142</v>
          </cell>
          <cell r="AP19"/>
          <cell r="AQ19">
            <v>0.75</v>
          </cell>
          <cell r="AR19">
            <v>0.75</v>
          </cell>
          <cell r="AS19"/>
          <cell r="AT19"/>
          <cell r="AU19"/>
          <cell r="AV19">
            <v>39142</v>
          </cell>
          <cell r="AW19"/>
          <cell r="AX19">
            <v>0.79999999999999982</v>
          </cell>
          <cell r="AY19">
            <v>0.79999999999999982</v>
          </cell>
          <cell r="AZ19"/>
          <cell r="BA19"/>
          <cell r="BB19"/>
          <cell r="BC19">
            <v>39142</v>
          </cell>
          <cell r="BD19"/>
          <cell r="BE19">
            <v>0.34999999999999964</v>
          </cell>
          <cell r="BF19">
            <v>0.34999999999999964</v>
          </cell>
          <cell r="BG19"/>
          <cell r="BH19"/>
          <cell r="BI19"/>
          <cell r="BJ19">
            <v>39142</v>
          </cell>
          <cell r="BK19"/>
          <cell r="BL19">
            <v>0.4933333333333334</v>
          </cell>
          <cell r="BM19">
            <v>0.4933333333333334</v>
          </cell>
          <cell r="BN19"/>
          <cell r="BO19"/>
          <cell r="BP19"/>
        </row>
        <row r="20">
          <cell r="D20">
            <v>39173</v>
          </cell>
          <cell r="E20">
            <v>3.5</v>
          </cell>
          <cell r="F20">
            <v>3.05</v>
          </cell>
          <cell r="G20">
            <v>0.03</v>
          </cell>
          <cell r="H20">
            <v>0.45983606557377066</v>
          </cell>
          <cell r="I20" t="str">
            <v>g</v>
          </cell>
          <cell r="J20"/>
          <cell r="K20" t="str">
            <v>c</v>
          </cell>
          <cell r="L20">
            <v>0</v>
          </cell>
          <cell r="M20">
            <v>3.01</v>
          </cell>
          <cell r="N20">
            <v>2.9</v>
          </cell>
          <cell r="O20">
            <v>0.03</v>
          </cell>
          <cell r="P20">
            <v>0.12034482758620677</v>
          </cell>
          <cell r="Q20" t="str">
            <v>g</v>
          </cell>
          <cell r="R20"/>
          <cell r="S20" t="str">
            <v>c</v>
          </cell>
          <cell r="T20">
            <v>0</v>
          </cell>
          <cell r="V20">
            <v>39173</v>
          </cell>
          <cell r="W20">
            <v>2.7124999999999999</v>
          </cell>
          <cell r="X20">
            <v>2.3374999999999999</v>
          </cell>
          <cell r="Y20">
            <v>7.4999999999999997E-3</v>
          </cell>
          <cell r="Z20">
            <v>0.37820855614973264</v>
          </cell>
          <cell r="AA20" t="str">
            <v>g</v>
          </cell>
          <cell r="AB20"/>
          <cell r="AC20" t="str">
            <v>c</v>
          </cell>
          <cell r="AD20">
            <v>0</v>
          </cell>
          <cell r="AE20">
            <v>2.3725000000000001</v>
          </cell>
          <cell r="AF20">
            <v>1.9750000000000001</v>
          </cell>
          <cell r="AG20">
            <v>7.4999999999999997E-3</v>
          </cell>
          <cell r="AH20">
            <v>0.40129746835443036</v>
          </cell>
          <cell r="AI20" t="str">
            <v>g</v>
          </cell>
          <cell r="AJ20"/>
          <cell r="AK20" t="str">
            <v>c</v>
          </cell>
          <cell r="AL20">
            <v>0</v>
          </cell>
          <cell r="AO20">
            <v>39173</v>
          </cell>
          <cell r="AP20"/>
          <cell r="AQ20">
            <v>0.45983606557377066</v>
          </cell>
          <cell r="AR20">
            <v>0.45983606557377066</v>
          </cell>
          <cell r="AS20"/>
          <cell r="AT20"/>
          <cell r="AU20"/>
          <cell r="AV20">
            <v>39173</v>
          </cell>
          <cell r="AW20"/>
          <cell r="AX20">
            <v>0.12034482758620677</v>
          </cell>
          <cell r="AY20">
            <v>0.12034482758620677</v>
          </cell>
          <cell r="AZ20"/>
          <cell r="BA20"/>
          <cell r="BB20"/>
          <cell r="BC20">
            <v>39173</v>
          </cell>
          <cell r="BD20"/>
          <cell r="BE20">
            <v>0.37820855614973264</v>
          </cell>
          <cell r="BF20">
            <v>0.37820855614973264</v>
          </cell>
          <cell r="BG20"/>
          <cell r="BH20"/>
          <cell r="BI20"/>
          <cell r="BJ20">
            <v>39173</v>
          </cell>
          <cell r="BK20"/>
          <cell r="BL20">
            <v>0.40129746835443036</v>
          </cell>
          <cell r="BM20">
            <v>0.40129746835443036</v>
          </cell>
          <cell r="BN20"/>
          <cell r="BO20"/>
          <cell r="BP20"/>
        </row>
        <row r="21">
          <cell r="D21">
            <v>39203</v>
          </cell>
          <cell r="E21">
            <v>2.9</v>
          </cell>
          <cell r="F21">
            <v>3.5</v>
          </cell>
          <cell r="G21">
            <v>0</v>
          </cell>
          <cell r="H21">
            <v>-0.60000000000000009</v>
          </cell>
          <cell r="I21" t="str">
            <v>c</v>
          </cell>
          <cell r="J21"/>
          <cell r="K21" t="str">
            <v>g</v>
          </cell>
          <cell r="L21">
            <v>0</v>
          </cell>
          <cell r="M21">
            <v>2.8</v>
          </cell>
          <cell r="N21">
            <v>3.01</v>
          </cell>
          <cell r="O21">
            <v>0</v>
          </cell>
          <cell r="P21">
            <v>-0.20999999999999996</v>
          </cell>
          <cell r="Q21" t="str">
            <v>c</v>
          </cell>
          <cell r="R21"/>
          <cell r="S21" t="str">
            <v>g</v>
          </cell>
          <cell r="T21">
            <v>0</v>
          </cell>
          <cell r="V21">
            <v>39203</v>
          </cell>
          <cell r="W21">
            <v>2.75</v>
          </cell>
          <cell r="X21">
            <v>2.57</v>
          </cell>
          <cell r="Y21">
            <v>6.0000000000000001E-3</v>
          </cell>
          <cell r="Z21">
            <v>0.1823346303501947</v>
          </cell>
          <cell r="AA21" t="str">
            <v>g</v>
          </cell>
          <cell r="AB21"/>
          <cell r="AC21" t="str">
            <v>c</v>
          </cell>
          <cell r="AD21">
            <v>0</v>
          </cell>
          <cell r="AE21">
            <v>2.4579999999999997</v>
          </cell>
          <cell r="AF21">
            <v>2.1819999999999999</v>
          </cell>
          <cell r="AG21">
            <v>6.0000000000000001E-3</v>
          </cell>
          <cell r="AH21">
            <v>0.27874977085242875</v>
          </cell>
          <cell r="AI21" t="str">
            <v>g</v>
          </cell>
          <cell r="AJ21"/>
          <cell r="AK21" t="str">
            <v>c</v>
          </cell>
          <cell r="AL21">
            <v>0</v>
          </cell>
          <cell r="AO21">
            <v>39203</v>
          </cell>
          <cell r="AP21"/>
          <cell r="AQ21">
            <v>-0.60000000000000009</v>
          </cell>
          <cell r="AR21">
            <v>-0.60000000000000009</v>
          </cell>
          <cell r="AS21"/>
          <cell r="AT21"/>
          <cell r="AU21"/>
          <cell r="AV21">
            <v>39203</v>
          </cell>
          <cell r="AW21"/>
          <cell r="AX21">
            <v>-0.20999999999999996</v>
          </cell>
          <cell r="AY21">
            <v>-0.20999999999999996</v>
          </cell>
          <cell r="AZ21"/>
          <cell r="BA21"/>
          <cell r="BB21"/>
          <cell r="BC21">
            <v>39203</v>
          </cell>
          <cell r="BD21"/>
          <cell r="BE21">
            <v>0.1823346303501947</v>
          </cell>
          <cell r="BF21">
            <v>0.1823346303501947</v>
          </cell>
          <cell r="BG21"/>
          <cell r="BH21"/>
          <cell r="BI21"/>
          <cell r="BJ21">
            <v>39203</v>
          </cell>
          <cell r="BK21"/>
          <cell r="BL21">
            <v>0.27874977085242875</v>
          </cell>
          <cell r="BM21">
            <v>0.27874977085242875</v>
          </cell>
          <cell r="BN21"/>
          <cell r="BO21"/>
          <cell r="BP21"/>
        </row>
        <row r="22">
          <cell r="D22">
            <v>39234</v>
          </cell>
          <cell r="E22">
            <v>2.9</v>
          </cell>
          <cell r="F22">
            <v>2.9</v>
          </cell>
          <cell r="G22">
            <v>0</v>
          </cell>
          <cell r="H22">
            <v>0</v>
          </cell>
          <cell r="I22" t="str">
            <v>g</v>
          </cell>
          <cell r="J22"/>
          <cell r="K22" t="str">
            <v>c</v>
          </cell>
          <cell r="L22">
            <v>0</v>
          </cell>
          <cell r="M22">
            <v>2.8</v>
          </cell>
          <cell r="N22">
            <v>2.8</v>
          </cell>
          <cell r="O22">
            <v>0</v>
          </cell>
          <cell r="P22">
            <v>0</v>
          </cell>
          <cell r="Q22" t="str">
            <v>g</v>
          </cell>
          <cell r="R22"/>
          <cell r="S22" t="str">
            <v>c</v>
          </cell>
          <cell r="T22">
            <v>0</v>
          </cell>
          <cell r="V22">
            <v>39234</v>
          </cell>
          <cell r="W22">
            <v>2.7749999999999999</v>
          </cell>
          <cell r="X22">
            <v>2.625</v>
          </cell>
          <cell r="Y22">
            <v>5.0000000000000001E-3</v>
          </cell>
          <cell r="Z22">
            <v>0.15190476190476182</v>
          </cell>
          <cell r="AA22" t="str">
            <v>g</v>
          </cell>
          <cell r="AB22"/>
          <cell r="AC22" t="str">
            <v>c</v>
          </cell>
          <cell r="AD22">
            <v>0</v>
          </cell>
          <cell r="AE22">
            <v>2.5150000000000001</v>
          </cell>
          <cell r="AF22">
            <v>2.2850000000000001</v>
          </cell>
          <cell r="AG22">
            <v>5.0000000000000001E-3</v>
          </cell>
          <cell r="AH22">
            <v>0.2321881838074398</v>
          </cell>
          <cell r="AI22" t="str">
            <v>g</v>
          </cell>
          <cell r="AJ22"/>
          <cell r="AK22" t="str">
            <v>c</v>
          </cell>
          <cell r="AL22">
            <v>0</v>
          </cell>
          <cell r="AO22">
            <v>39234</v>
          </cell>
          <cell r="AP22"/>
          <cell r="AQ22">
            <v>0</v>
          </cell>
          <cell r="AR22">
            <v>0</v>
          </cell>
          <cell r="AS22"/>
          <cell r="AT22"/>
          <cell r="AU22"/>
          <cell r="AV22">
            <v>39234</v>
          </cell>
          <cell r="AW22"/>
          <cell r="AX22">
            <v>0</v>
          </cell>
          <cell r="AY22">
            <v>0</v>
          </cell>
          <cell r="AZ22"/>
          <cell r="BA22"/>
          <cell r="BB22"/>
          <cell r="BC22">
            <v>39234</v>
          </cell>
          <cell r="BD22"/>
          <cell r="BE22">
            <v>0.15190476190476182</v>
          </cell>
          <cell r="BF22">
            <v>0.15190476190476182</v>
          </cell>
          <cell r="BG22"/>
          <cell r="BH22"/>
          <cell r="BI22"/>
          <cell r="BJ22">
            <v>39234</v>
          </cell>
          <cell r="BK22"/>
          <cell r="BL22">
            <v>0.2321881838074398</v>
          </cell>
          <cell r="BM22">
            <v>0.2321881838074398</v>
          </cell>
          <cell r="BN22"/>
          <cell r="BO22"/>
          <cell r="BP22"/>
        </row>
        <row r="23">
          <cell r="D23">
            <v>39264</v>
          </cell>
          <cell r="E23">
            <v>3</v>
          </cell>
          <cell r="F23">
            <v>2.9</v>
          </cell>
          <cell r="G23">
            <v>0</v>
          </cell>
          <cell r="H23">
            <v>0.10000000000000009</v>
          </cell>
          <cell r="I23" t="str">
            <v>g</v>
          </cell>
          <cell r="J23"/>
          <cell r="K23" t="str">
            <v>c</v>
          </cell>
          <cell r="L23">
            <v>0</v>
          </cell>
          <cell r="M23">
            <v>2.7</v>
          </cell>
          <cell r="N23">
            <v>2.8</v>
          </cell>
          <cell r="O23">
            <v>0</v>
          </cell>
          <cell r="P23">
            <v>-9.9999999999999645E-2</v>
          </cell>
          <cell r="Q23" t="str">
            <v>c</v>
          </cell>
          <cell r="R23"/>
          <cell r="S23" t="str">
            <v>g</v>
          </cell>
          <cell r="T23">
            <v>0</v>
          </cell>
          <cell r="V23">
            <v>39264</v>
          </cell>
          <cell r="W23">
            <v>2.8071428571428569</v>
          </cell>
          <cell r="X23">
            <v>2.6642857142857141</v>
          </cell>
          <cell r="Y23">
            <v>4.2857142857142859E-3</v>
          </cell>
          <cell r="Z23">
            <v>0.14446572194561463</v>
          </cell>
          <cell r="AA23" t="str">
            <v>g</v>
          </cell>
          <cell r="AB23"/>
          <cell r="AC23" t="str">
            <v>c</v>
          </cell>
          <cell r="AD23">
            <v>0</v>
          </cell>
          <cell r="AE23">
            <v>2.5414285714285714</v>
          </cell>
          <cell r="AF23">
            <v>2.358571428571429</v>
          </cell>
          <cell r="AG23">
            <v>4.2857142857142859E-3</v>
          </cell>
          <cell r="AH23">
            <v>0.18467422341438042</v>
          </cell>
          <cell r="AI23" t="str">
            <v>g</v>
          </cell>
          <cell r="AJ23"/>
          <cell r="AK23" t="str">
            <v>c</v>
          </cell>
          <cell r="AL23">
            <v>0</v>
          </cell>
          <cell r="AO23">
            <v>39264</v>
          </cell>
          <cell r="AP23"/>
          <cell r="AQ23">
            <v>0.10000000000000009</v>
          </cell>
          <cell r="AR23">
            <v>0.10000000000000009</v>
          </cell>
          <cell r="AS23"/>
          <cell r="AT23"/>
          <cell r="AU23"/>
          <cell r="AV23">
            <v>39264</v>
          </cell>
          <cell r="AW23"/>
          <cell r="AX23">
            <v>-9.9999999999999645E-2</v>
          </cell>
          <cell r="AY23">
            <v>-9.9999999999999645E-2</v>
          </cell>
          <cell r="AZ23"/>
          <cell r="BA23"/>
          <cell r="BB23"/>
          <cell r="BC23">
            <v>39264</v>
          </cell>
          <cell r="BD23"/>
          <cell r="BE23">
            <v>0.14446572194561463</v>
          </cell>
          <cell r="BF23">
            <v>0.14446572194561463</v>
          </cell>
          <cell r="BG23"/>
          <cell r="BH23"/>
          <cell r="BI23"/>
          <cell r="BJ23">
            <v>39264</v>
          </cell>
          <cell r="BK23"/>
          <cell r="BL23">
            <v>0.18467422341438042</v>
          </cell>
          <cell r="BM23">
            <v>0.18467422341438042</v>
          </cell>
          <cell r="BN23"/>
          <cell r="BO23"/>
          <cell r="BP23"/>
        </row>
        <row r="24">
          <cell r="D24">
            <v>39295</v>
          </cell>
          <cell r="E24">
            <v>3.05</v>
          </cell>
          <cell r="F24">
            <v>3</v>
          </cell>
          <cell r="G24">
            <v>0</v>
          </cell>
          <cell r="H24">
            <v>4.9999999999999822E-2</v>
          </cell>
          <cell r="I24" t="str">
            <v>g</v>
          </cell>
          <cell r="J24"/>
          <cell r="K24" t="str">
            <v>c</v>
          </cell>
          <cell r="L24">
            <v>0</v>
          </cell>
          <cell r="M24">
            <v>2.7</v>
          </cell>
          <cell r="N24">
            <v>2.7</v>
          </cell>
          <cell r="O24">
            <v>0</v>
          </cell>
          <cell r="P24">
            <v>0</v>
          </cell>
          <cell r="Q24" t="str">
            <v>g</v>
          </cell>
          <cell r="R24"/>
          <cell r="S24" t="str">
            <v>c</v>
          </cell>
          <cell r="T24">
            <v>0</v>
          </cell>
          <cell r="V24">
            <v>39295</v>
          </cell>
          <cell r="W24">
            <v>2.8374999999999999</v>
          </cell>
          <cell r="X24">
            <v>2.7062499999999998</v>
          </cell>
          <cell r="Y24">
            <v>3.7499999999999999E-3</v>
          </cell>
          <cell r="Z24">
            <v>0.13263568129330264</v>
          </cell>
          <cell r="AA24" t="str">
            <v>g</v>
          </cell>
          <cell r="AB24"/>
          <cell r="AC24" t="str">
            <v>c</v>
          </cell>
          <cell r="AD24">
            <v>0</v>
          </cell>
          <cell r="AE24">
            <v>2.5612499999999998</v>
          </cell>
          <cell r="AF24">
            <v>2.4012500000000001</v>
          </cell>
          <cell r="AG24">
            <v>3.7499999999999999E-3</v>
          </cell>
          <cell r="AH24">
            <v>0.16156168662155096</v>
          </cell>
          <cell r="AI24" t="str">
            <v>g</v>
          </cell>
          <cell r="AJ24"/>
          <cell r="AK24" t="str">
            <v>c</v>
          </cell>
          <cell r="AL24">
            <v>0</v>
          </cell>
          <cell r="AO24">
            <v>39295</v>
          </cell>
          <cell r="AP24"/>
          <cell r="AQ24">
            <v>4.9999999999999822E-2</v>
          </cell>
          <cell r="AR24">
            <v>4.9999999999999822E-2</v>
          </cell>
          <cell r="AS24"/>
          <cell r="AT24"/>
          <cell r="AU24"/>
          <cell r="AV24">
            <v>39295</v>
          </cell>
          <cell r="AW24"/>
          <cell r="AX24">
            <v>0</v>
          </cell>
          <cell r="AY24">
            <v>0</v>
          </cell>
          <cell r="AZ24"/>
          <cell r="BA24"/>
          <cell r="BB24"/>
          <cell r="BC24">
            <v>39295</v>
          </cell>
          <cell r="BD24"/>
          <cell r="BE24">
            <v>0.13263568129330264</v>
          </cell>
          <cell r="BF24">
            <v>0.13263568129330264</v>
          </cell>
          <cell r="BG24"/>
          <cell r="BH24"/>
          <cell r="BI24"/>
          <cell r="BJ24">
            <v>39295</v>
          </cell>
          <cell r="BK24"/>
          <cell r="BL24">
            <v>0.16156168662155096</v>
          </cell>
          <cell r="BM24">
            <v>0.16156168662155096</v>
          </cell>
          <cell r="BN24"/>
          <cell r="BO24"/>
          <cell r="BP24"/>
        </row>
        <row r="25">
          <cell r="D25">
            <v>39326</v>
          </cell>
          <cell r="E25">
            <v>3.05</v>
          </cell>
          <cell r="F25">
            <v>3.05</v>
          </cell>
          <cell r="G25">
            <v>0</v>
          </cell>
          <cell r="H25">
            <v>0</v>
          </cell>
          <cell r="I25" t="str">
            <v>g</v>
          </cell>
          <cell r="J25"/>
          <cell r="K25" t="str">
            <v>c</v>
          </cell>
          <cell r="L25">
            <v>0</v>
          </cell>
          <cell r="M25">
            <v>2.35</v>
          </cell>
          <cell r="N25">
            <v>2.7</v>
          </cell>
          <cell r="O25">
            <v>0</v>
          </cell>
          <cell r="P25">
            <v>-0.35000000000000009</v>
          </cell>
          <cell r="Q25" t="str">
            <v>c</v>
          </cell>
          <cell r="R25"/>
          <cell r="S25" t="str">
            <v>g</v>
          </cell>
          <cell r="T25">
            <v>0</v>
          </cell>
          <cell r="V25">
            <v>39326</v>
          </cell>
          <cell r="W25">
            <v>2.8611111111111112</v>
          </cell>
          <cell r="X25">
            <v>2.7444444444444445</v>
          </cell>
          <cell r="Y25">
            <v>3.3333333333333331E-3</v>
          </cell>
          <cell r="Z25">
            <v>0.11788124156545213</v>
          </cell>
          <cell r="AA25" t="str">
            <v>g</v>
          </cell>
          <cell r="AB25"/>
          <cell r="AC25" t="str">
            <v>c</v>
          </cell>
          <cell r="AD25">
            <v>0</v>
          </cell>
          <cell r="AE25">
            <v>2.5377777777777779</v>
          </cell>
          <cell r="AF25">
            <v>2.4344444444444444</v>
          </cell>
          <cell r="AG25">
            <v>3.3333333333333331E-3</v>
          </cell>
          <cell r="AH25">
            <v>0.10470257112429653</v>
          </cell>
          <cell r="AI25" t="str">
            <v>g</v>
          </cell>
          <cell r="AJ25"/>
          <cell r="AK25" t="str">
            <v>c</v>
          </cell>
          <cell r="AL25">
            <v>0</v>
          </cell>
          <cell r="AO25">
            <v>39326</v>
          </cell>
          <cell r="AP25"/>
          <cell r="AQ25">
            <v>0</v>
          </cell>
          <cell r="AR25">
            <v>0</v>
          </cell>
          <cell r="AS25"/>
          <cell r="AT25"/>
          <cell r="AU25"/>
          <cell r="AV25">
            <v>39326</v>
          </cell>
          <cell r="AW25"/>
          <cell r="AX25">
            <v>-0.35000000000000009</v>
          </cell>
          <cell r="AY25">
            <v>-0.35000000000000009</v>
          </cell>
          <cell r="AZ25"/>
          <cell r="BA25"/>
          <cell r="BB25"/>
          <cell r="BC25">
            <v>39326</v>
          </cell>
          <cell r="BD25"/>
          <cell r="BE25">
            <v>0.11788124156545213</v>
          </cell>
          <cell r="BF25">
            <v>0.11788124156545213</v>
          </cell>
          <cell r="BG25"/>
          <cell r="BH25"/>
          <cell r="BI25"/>
          <cell r="BJ25">
            <v>39326</v>
          </cell>
          <cell r="BK25"/>
          <cell r="BL25">
            <v>0.10470257112429653</v>
          </cell>
          <cell r="BM25">
            <v>0.10470257112429653</v>
          </cell>
          <cell r="BN25"/>
          <cell r="BO25"/>
          <cell r="BP25"/>
        </row>
        <row r="26">
          <cell r="D26">
            <v>39356</v>
          </cell>
          <cell r="E26">
            <v>3.05</v>
          </cell>
          <cell r="F26">
            <v>3.05</v>
          </cell>
          <cell r="G26">
            <v>0</v>
          </cell>
          <cell r="H26">
            <v>0</v>
          </cell>
          <cell r="I26" t="str">
            <v>g</v>
          </cell>
          <cell r="J26"/>
          <cell r="K26" t="str">
            <v>c</v>
          </cell>
          <cell r="L26">
            <v>0</v>
          </cell>
          <cell r="M26">
            <v>2.25</v>
          </cell>
          <cell r="N26">
            <v>2.35</v>
          </cell>
          <cell r="O26">
            <v>0</v>
          </cell>
          <cell r="P26">
            <v>-0.10000000000000009</v>
          </cell>
          <cell r="Q26" t="str">
            <v>c</v>
          </cell>
          <cell r="R26"/>
          <cell r="S26" t="str">
            <v>g</v>
          </cell>
          <cell r="T26">
            <v>0</v>
          </cell>
          <cell r="V26">
            <v>39356</v>
          </cell>
          <cell r="W26">
            <v>2.88</v>
          </cell>
          <cell r="X26">
            <v>2.7749999999999999</v>
          </cell>
          <cell r="Y26">
            <v>3.0000000000000001E-3</v>
          </cell>
          <cell r="Z26">
            <v>0.10608108108108107</v>
          </cell>
          <cell r="AA26" t="str">
            <v>g</v>
          </cell>
          <cell r="AB26"/>
          <cell r="AC26" t="str">
            <v>c</v>
          </cell>
          <cell r="AD26">
            <v>0</v>
          </cell>
          <cell r="AE26">
            <v>2.5089999999999999</v>
          </cell>
          <cell r="AF26">
            <v>2.4260000000000002</v>
          </cell>
          <cell r="AG26">
            <v>3.0000000000000001E-3</v>
          </cell>
          <cell r="AH26">
            <v>8.4236603462489429E-2</v>
          </cell>
          <cell r="AI26" t="str">
            <v>g</v>
          </cell>
          <cell r="AJ26"/>
          <cell r="AK26" t="str">
            <v>c</v>
          </cell>
          <cell r="AL26">
            <v>0</v>
          </cell>
          <cell r="AO26">
            <v>39356</v>
          </cell>
          <cell r="AP26"/>
          <cell r="AQ26">
            <v>0</v>
          </cell>
          <cell r="AR26">
            <v>0</v>
          </cell>
          <cell r="AS26"/>
          <cell r="AT26"/>
          <cell r="AU26"/>
          <cell r="AV26">
            <v>39356</v>
          </cell>
          <cell r="AW26"/>
          <cell r="AX26">
            <v>-0.10000000000000009</v>
          </cell>
          <cell r="AY26">
            <v>-0.10000000000000009</v>
          </cell>
          <cell r="AZ26"/>
          <cell r="BA26"/>
          <cell r="BB26"/>
          <cell r="BC26">
            <v>39356</v>
          </cell>
          <cell r="BD26"/>
          <cell r="BE26">
            <v>0.10608108108108107</v>
          </cell>
          <cell r="BF26">
            <v>0.10608108108108107</v>
          </cell>
          <cell r="BG26"/>
          <cell r="BH26"/>
          <cell r="BI26"/>
          <cell r="BJ26">
            <v>39356</v>
          </cell>
          <cell r="BK26"/>
          <cell r="BL26">
            <v>8.4236603462489429E-2</v>
          </cell>
          <cell r="BM26">
            <v>8.4236603462489429E-2</v>
          </cell>
          <cell r="BN26"/>
          <cell r="BO26"/>
          <cell r="BP26"/>
        </row>
        <row r="27">
          <cell r="D27">
            <v>39387</v>
          </cell>
          <cell r="E27">
            <v>3.05</v>
          </cell>
          <cell r="F27">
            <v>3.05</v>
          </cell>
          <cell r="G27">
            <v>0</v>
          </cell>
          <cell r="H27">
            <v>0</v>
          </cell>
          <cell r="I27" t="str">
            <v>g</v>
          </cell>
          <cell r="J27"/>
          <cell r="K27" t="str">
            <v>c</v>
          </cell>
          <cell r="L27">
            <v>0</v>
          </cell>
          <cell r="M27">
            <v>2.2000000000000002</v>
          </cell>
          <cell r="N27">
            <v>2.25</v>
          </cell>
          <cell r="O27">
            <v>0</v>
          </cell>
          <cell r="P27">
            <v>-4.9999999999999822E-2</v>
          </cell>
          <cell r="Q27" t="str">
            <v>c</v>
          </cell>
          <cell r="R27"/>
          <cell r="S27" t="str">
            <v>g</v>
          </cell>
          <cell r="T27">
            <v>0</v>
          </cell>
          <cell r="V27">
            <v>39387</v>
          </cell>
          <cell r="W27">
            <v>2.8954545454545455</v>
          </cell>
          <cell r="X27">
            <v>2.8000000000000003</v>
          </cell>
          <cell r="Y27">
            <v>2.7272727272727271E-3</v>
          </cell>
          <cell r="Z27">
            <v>9.6428571428571211E-2</v>
          </cell>
          <cell r="AA27" t="str">
            <v>g</v>
          </cell>
          <cell r="AB27"/>
          <cell r="AC27" t="str">
            <v>c</v>
          </cell>
          <cell r="AD27">
            <v>0</v>
          </cell>
          <cell r="AE27">
            <v>2.480909090909091</v>
          </cell>
          <cell r="AF27">
            <v>2.41</v>
          </cell>
          <cell r="AG27">
            <v>2.7272727272727271E-3</v>
          </cell>
          <cell r="AH27">
            <v>7.2040739343643814E-2</v>
          </cell>
          <cell r="AI27" t="str">
            <v>g</v>
          </cell>
          <cell r="AJ27"/>
          <cell r="AK27" t="str">
            <v>c</v>
          </cell>
          <cell r="AL27">
            <v>0</v>
          </cell>
          <cell r="AO27">
            <v>39387</v>
          </cell>
          <cell r="AP27"/>
          <cell r="AQ27">
            <v>0</v>
          </cell>
          <cell r="AR27">
            <v>0</v>
          </cell>
          <cell r="AS27"/>
          <cell r="AT27"/>
          <cell r="AU27"/>
          <cell r="AV27">
            <v>39387</v>
          </cell>
          <cell r="AW27"/>
          <cell r="AX27">
            <v>-4.9999999999999822E-2</v>
          </cell>
          <cell r="AY27">
            <v>-4.9999999999999822E-2</v>
          </cell>
          <cell r="AZ27"/>
          <cell r="BA27"/>
          <cell r="BB27"/>
          <cell r="BC27">
            <v>39387</v>
          </cell>
          <cell r="BD27"/>
          <cell r="BE27">
            <v>9.6428571428571211E-2</v>
          </cell>
          <cell r="BF27">
            <v>9.6428571428571211E-2</v>
          </cell>
          <cell r="BG27"/>
          <cell r="BH27"/>
          <cell r="BI27"/>
          <cell r="BJ27">
            <v>39387</v>
          </cell>
          <cell r="BK27"/>
          <cell r="BL27">
            <v>7.2040739343643814E-2</v>
          </cell>
          <cell r="BM27">
            <v>7.2040739343643814E-2</v>
          </cell>
          <cell r="BN27"/>
          <cell r="BO27"/>
          <cell r="BP27"/>
        </row>
        <row r="28">
          <cell r="D28">
            <v>39417</v>
          </cell>
          <cell r="E28">
            <v>3.05</v>
          </cell>
          <cell r="F28">
            <v>3.05</v>
          </cell>
          <cell r="G28">
            <v>0</v>
          </cell>
          <cell r="H28">
            <v>0</v>
          </cell>
          <cell r="I28" t="str">
            <v>g</v>
          </cell>
          <cell r="J28"/>
          <cell r="K28" t="str">
            <v>c</v>
          </cell>
          <cell r="L28">
            <v>0</v>
          </cell>
          <cell r="M28">
            <v>2.15</v>
          </cell>
          <cell r="N28">
            <v>2.2000000000000002</v>
          </cell>
          <cell r="O28">
            <v>0</v>
          </cell>
          <cell r="P28">
            <v>-5.0000000000000266E-2</v>
          </cell>
          <cell r="Q28" t="str">
            <v>c</v>
          </cell>
          <cell r="R28"/>
          <cell r="S28" t="str">
            <v>g</v>
          </cell>
          <cell r="T28">
            <v>0</v>
          </cell>
          <cell r="V28">
            <v>39417</v>
          </cell>
          <cell r="W28">
            <v>2.9083333333333332</v>
          </cell>
          <cell r="X28">
            <v>2.8208333333333333</v>
          </cell>
          <cell r="Y28">
            <v>2.5000000000000001E-3</v>
          </cell>
          <cell r="Z28">
            <v>8.8386262924667558E-2</v>
          </cell>
          <cell r="AA28" t="str">
            <v>g</v>
          </cell>
          <cell r="AB28"/>
          <cell r="AC28" t="str">
            <v>c</v>
          </cell>
          <cell r="AD28">
            <v>0</v>
          </cell>
          <cell r="AE28">
            <v>2.4533333333333331</v>
          </cell>
          <cell r="AF28">
            <v>2.3925000000000001</v>
          </cell>
          <cell r="AG28">
            <v>2.5000000000000001E-3</v>
          </cell>
          <cell r="AH28">
            <v>6.1878265412747914E-2</v>
          </cell>
          <cell r="AI28" t="str">
            <v>g</v>
          </cell>
          <cell r="AJ28"/>
          <cell r="AK28" t="str">
            <v>c</v>
          </cell>
          <cell r="AL28">
            <v>0</v>
          </cell>
          <cell r="AO28">
            <v>39417</v>
          </cell>
          <cell r="AP28"/>
          <cell r="AQ28">
            <v>0</v>
          </cell>
          <cell r="AR28">
            <v>0</v>
          </cell>
          <cell r="AS28"/>
          <cell r="AT28"/>
          <cell r="AU28"/>
          <cell r="AV28">
            <v>39417</v>
          </cell>
          <cell r="AW28"/>
          <cell r="AX28">
            <v>-5.0000000000000266E-2</v>
          </cell>
          <cell r="AY28">
            <v>-5.0000000000000266E-2</v>
          </cell>
          <cell r="AZ28"/>
          <cell r="BA28"/>
          <cell r="BB28"/>
          <cell r="BC28">
            <v>39417</v>
          </cell>
          <cell r="BD28"/>
          <cell r="BE28">
            <v>8.8386262924667558E-2</v>
          </cell>
          <cell r="BF28">
            <v>8.8386262924667558E-2</v>
          </cell>
          <cell r="BG28"/>
          <cell r="BH28"/>
          <cell r="BI28"/>
          <cell r="BJ28">
            <v>39417</v>
          </cell>
          <cell r="BK28"/>
          <cell r="BL28">
            <v>6.1878265412747914E-2</v>
          </cell>
          <cell r="BM28">
            <v>6.1878265412747914E-2</v>
          </cell>
          <cell r="BN28"/>
          <cell r="BO28"/>
          <cell r="BP28"/>
        </row>
        <row r="29">
          <cell r="D29">
            <v>39448</v>
          </cell>
          <cell r="E29">
            <v>3.05</v>
          </cell>
          <cell r="F29">
            <v>3.05</v>
          </cell>
          <cell r="G29">
            <v>0</v>
          </cell>
          <cell r="H29">
            <v>0</v>
          </cell>
          <cell r="I29" t="str">
            <v>g</v>
          </cell>
          <cell r="J29"/>
          <cell r="K29" t="str">
            <v>c</v>
          </cell>
          <cell r="L29">
            <v>0</v>
          </cell>
          <cell r="M29">
            <v>1.7</v>
          </cell>
          <cell r="N29">
            <v>2.15</v>
          </cell>
          <cell r="O29">
            <v>0</v>
          </cell>
          <cell r="P29">
            <v>-0.44999999999999996</v>
          </cell>
          <cell r="Q29" t="str">
            <v>c</v>
          </cell>
          <cell r="R29"/>
          <cell r="S29" t="str">
            <v>g</v>
          </cell>
          <cell r="T29">
            <v>0</v>
          </cell>
          <cell r="V29">
            <v>39448</v>
          </cell>
          <cell r="W29">
            <v>3.05</v>
          </cell>
          <cell r="X29">
            <v>3.05</v>
          </cell>
          <cell r="Y29">
            <v>2.3076923076923075E-3</v>
          </cell>
          <cell r="Z29">
            <v>7.5662042875157629E-4</v>
          </cell>
          <cell r="AA29" t="str">
            <v>g</v>
          </cell>
          <cell r="AB29"/>
          <cell r="AC29" t="str">
            <v>c</v>
          </cell>
          <cell r="AD29">
            <v>0</v>
          </cell>
          <cell r="AE29">
            <v>1.7</v>
          </cell>
          <cell r="AF29">
            <v>2.15</v>
          </cell>
          <cell r="AG29">
            <v>0</v>
          </cell>
          <cell r="AH29">
            <v>-0.44999999999999996</v>
          </cell>
          <cell r="AI29" t="str">
            <v>c</v>
          </cell>
          <cell r="AJ29"/>
          <cell r="AK29" t="str">
            <v>g</v>
          </cell>
          <cell r="AL29">
            <v>0</v>
          </cell>
          <cell r="AO29">
            <v>39448</v>
          </cell>
          <cell r="AP29">
            <v>0</v>
          </cell>
          <cell r="AQ29">
            <v>0</v>
          </cell>
          <cell r="AR29">
            <v>0</v>
          </cell>
          <cell r="AS29"/>
          <cell r="AT29">
            <v>1.0598360655737702</v>
          </cell>
          <cell r="AU29">
            <v>0</v>
          </cell>
          <cell r="AV29">
            <v>39448</v>
          </cell>
          <cell r="AW29">
            <v>6.0000000000000053E-2</v>
          </cell>
          <cell r="AX29">
            <v>-0.44999999999999996</v>
          </cell>
          <cell r="AY29">
            <v>-0.51</v>
          </cell>
          <cell r="AZ29">
            <v>-8.4999999999999929</v>
          </cell>
          <cell r="BA29">
            <v>0.74034482758620679</v>
          </cell>
          <cell r="BB29">
            <v>-0.44999999999999996</v>
          </cell>
          <cell r="BC29">
            <v>39448</v>
          </cell>
          <cell r="BD29">
            <v>0</v>
          </cell>
          <cell r="BE29">
            <v>7.5662042875157629E-4</v>
          </cell>
          <cell r="BF29">
            <v>7.5662042875157629E-4</v>
          </cell>
          <cell r="BG29"/>
          <cell r="BH29">
            <v>1.898326508643378</v>
          </cell>
          <cell r="BI29">
            <v>7.5662042875157629E-4</v>
          </cell>
          <cell r="BJ29">
            <v>39448</v>
          </cell>
          <cell r="BK29">
            <v>6.0000000000000053E-2</v>
          </cell>
          <cell r="BL29">
            <v>-0.44999999999999996</v>
          </cell>
          <cell r="BM29">
            <v>-0.51</v>
          </cell>
          <cell r="BN29">
            <v>-8.4999999999999929</v>
          </cell>
          <cell r="BO29">
            <v>2.4746628457267414</v>
          </cell>
          <cell r="BP29">
            <v>-0.44999999999999996</v>
          </cell>
        </row>
        <row r="30">
          <cell r="D30">
            <v>39479</v>
          </cell>
          <cell r="E30">
            <v>3.05</v>
          </cell>
          <cell r="F30">
            <v>3.05</v>
          </cell>
          <cell r="G30">
            <v>0</v>
          </cell>
          <cell r="H30">
            <v>0</v>
          </cell>
          <cell r="I30" t="str">
            <v>g</v>
          </cell>
          <cell r="J30"/>
          <cell r="K30" t="str">
            <v>c</v>
          </cell>
          <cell r="L30">
            <v>0</v>
          </cell>
          <cell r="M30">
            <v>1.7</v>
          </cell>
          <cell r="N30">
            <v>1.7</v>
          </cell>
          <cell r="O30">
            <v>0</v>
          </cell>
          <cell r="P30">
            <v>0</v>
          </cell>
          <cell r="Q30" t="str">
            <v>g</v>
          </cell>
          <cell r="R30"/>
          <cell r="S30" t="str">
            <v>c</v>
          </cell>
          <cell r="T30">
            <v>0</v>
          </cell>
          <cell r="V30">
            <v>39479</v>
          </cell>
          <cell r="W30">
            <v>3.05</v>
          </cell>
          <cell r="X30">
            <v>3.05</v>
          </cell>
          <cell r="Y30">
            <v>2.142857142857143E-3</v>
          </cell>
          <cell r="Z30">
            <v>7.0257611241217809E-4</v>
          </cell>
          <cell r="AA30" t="str">
            <v>g</v>
          </cell>
          <cell r="AB30"/>
          <cell r="AC30" t="str">
            <v>c</v>
          </cell>
          <cell r="AD30">
            <v>0</v>
          </cell>
          <cell r="AE30">
            <v>1.7</v>
          </cell>
          <cell r="AF30">
            <v>1.9249999999999998</v>
          </cell>
          <cell r="AG30">
            <v>0</v>
          </cell>
          <cell r="AH30">
            <v>-0.22499999999999987</v>
          </cell>
          <cell r="AI30" t="str">
            <v>c</v>
          </cell>
          <cell r="AJ30"/>
          <cell r="AK30" t="str">
            <v>g</v>
          </cell>
          <cell r="AL30">
            <v>0</v>
          </cell>
          <cell r="AO30">
            <v>39479</v>
          </cell>
          <cell r="AP30">
            <v>0.29999999999999982</v>
          </cell>
          <cell r="AQ30">
            <v>0</v>
          </cell>
          <cell r="AR30">
            <v>-0.29999999999999982</v>
          </cell>
          <cell r="AS30">
            <v>-1</v>
          </cell>
          <cell r="AT30">
            <v>1.0598360655737702</v>
          </cell>
          <cell r="AU30">
            <v>0</v>
          </cell>
          <cell r="AV30">
            <v>39479</v>
          </cell>
          <cell r="AW30">
            <v>0.62000000000000011</v>
          </cell>
          <cell r="AX30">
            <v>0</v>
          </cell>
          <cell r="AY30">
            <v>-0.62000000000000011</v>
          </cell>
          <cell r="AZ30">
            <v>-1</v>
          </cell>
          <cell r="BA30">
            <v>0.74034482758620679</v>
          </cell>
          <cell r="BB30">
            <v>0</v>
          </cell>
          <cell r="BC30">
            <v>39479</v>
          </cell>
          <cell r="BD30">
            <v>0.14999999999999991</v>
          </cell>
          <cell r="BE30">
            <v>7.0257611241217809E-4</v>
          </cell>
          <cell r="BF30">
            <v>-0.14929742388758774</v>
          </cell>
          <cell r="BG30">
            <v>-0.99531615925058547</v>
          </cell>
          <cell r="BH30">
            <v>1.898326508643378</v>
          </cell>
          <cell r="BI30">
            <v>0.18481483435323875</v>
          </cell>
          <cell r="BJ30">
            <v>39479</v>
          </cell>
          <cell r="BK30">
            <v>0.34000000000000008</v>
          </cell>
          <cell r="BL30">
            <v>-0.22499999999999987</v>
          </cell>
          <cell r="BM30">
            <v>-0.56499999999999995</v>
          </cell>
          <cell r="BN30">
            <v>-1.6617647058823524</v>
          </cell>
          <cell r="BO30">
            <v>2.4746628457267414</v>
          </cell>
          <cell r="BP30">
            <v>-0.22499999999999987</v>
          </cell>
        </row>
        <row r="31">
          <cell r="D31">
            <v>39508</v>
          </cell>
          <cell r="E31">
            <v>3.05</v>
          </cell>
          <cell r="F31">
            <v>3.05</v>
          </cell>
          <cell r="G31">
            <v>0</v>
          </cell>
          <cell r="H31">
            <v>0</v>
          </cell>
          <cell r="I31" t="str">
            <v>g</v>
          </cell>
          <cell r="J31"/>
          <cell r="K31" t="str">
            <v>c</v>
          </cell>
          <cell r="L31">
            <v>0</v>
          </cell>
          <cell r="M31">
            <v>1.85</v>
          </cell>
          <cell r="N31">
            <v>1.7</v>
          </cell>
          <cell r="O31">
            <v>0</v>
          </cell>
          <cell r="P31">
            <v>0.15000000000000013</v>
          </cell>
          <cell r="Q31" t="str">
            <v>g</v>
          </cell>
          <cell r="R31"/>
          <cell r="S31" t="str">
            <v>c</v>
          </cell>
          <cell r="T31">
            <v>0</v>
          </cell>
          <cell r="V31">
            <v>39508</v>
          </cell>
          <cell r="W31">
            <v>3.0499999999999994</v>
          </cell>
          <cell r="X31">
            <v>3.0499999999999994</v>
          </cell>
          <cell r="Y31">
            <v>2E-3</v>
          </cell>
          <cell r="Z31">
            <v>6.5573770491803289E-4</v>
          </cell>
          <cell r="AA31" t="str">
            <v>g</v>
          </cell>
          <cell r="AB31"/>
          <cell r="AC31" t="str">
            <v>c</v>
          </cell>
          <cell r="AD31">
            <v>0</v>
          </cell>
          <cell r="AE31">
            <v>1.75</v>
          </cell>
          <cell r="AF31">
            <v>1.8499999999999999</v>
          </cell>
          <cell r="AG31">
            <v>0</v>
          </cell>
          <cell r="AH31">
            <v>-9.9999999999999867E-2</v>
          </cell>
          <cell r="AI31" t="str">
            <v>c</v>
          </cell>
          <cell r="AJ31"/>
          <cell r="AK31" t="str">
            <v>g</v>
          </cell>
          <cell r="AL31">
            <v>0</v>
          </cell>
          <cell r="AO31">
            <v>39508</v>
          </cell>
          <cell r="AP31">
            <v>0.75</v>
          </cell>
          <cell r="AQ31">
            <v>0</v>
          </cell>
          <cell r="AR31">
            <v>-0.75</v>
          </cell>
          <cell r="AS31">
            <v>-1</v>
          </cell>
          <cell r="AT31">
            <v>1.0598360655737702</v>
          </cell>
          <cell r="AU31"/>
          <cell r="AV31">
            <v>39508</v>
          </cell>
          <cell r="AW31">
            <v>0.79999999999999982</v>
          </cell>
          <cell r="AX31">
            <v>0.15000000000000013</v>
          </cell>
          <cell r="AY31">
            <v>-0.64999999999999969</v>
          </cell>
          <cell r="AZ31">
            <v>-0.81249999999999978</v>
          </cell>
          <cell r="BA31">
            <v>0.74034482758620679</v>
          </cell>
          <cell r="BB31">
            <v>0.15000000000000013</v>
          </cell>
          <cell r="BC31">
            <v>39508</v>
          </cell>
          <cell r="BD31">
            <v>0.34999999999999964</v>
          </cell>
          <cell r="BE31">
            <v>6.5573770491803289E-4</v>
          </cell>
          <cell r="BF31">
            <v>-0.34934426229508159</v>
          </cell>
          <cell r="BG31">
            <v>-0.99812646370023417</v>
          </cell>
          <cell r="BH31">
            <v>1.898326508643378</v>
          </cell>
          <cell r="BI31"/>
          <cell r="BJ31">
            <v>39508</v>
          </cell>
          <cell r="BK31">
            <v>0.4933333333333334</v>
          </cell>
          <cell r="BL31">
            <v>-9.9999999999999867E-2</v>
          </cell>
          <cell r="BM31">
            <v>-0.59333333333333327</v>
          </cell>
          <cell r="BN31">
            <v>-1.2027027027027024</v>
          </cell>
          <cell r="BO31">
            <v>2.4746628457267414</v>
          </cell>
          <cell r="BP31">
            <v>-9.9999999999999867E-2</v>
          </cell>
        </row>
        <row r="32">
          <cell r="D32">
            <v>39539</v>
          </cell>
          <cell r="E32">
            <v>3.05</v>
          </cell>
          <cell r="F32">
            <v>3.05</v>
          </cell>
          <cell r="G32">
            <v>0</v>
          </cell>
          <cell r="H32">
            <v>0</v>
          </cell>
          <cell r="I32" t="str">
            <v>g</v>
          </cell>
          <cell r="J32"/>
          <cell r="K32" t="str">
            <v>c</v>
          </cell>
          <cell r="L32">
            <v>0</v>
          </cell>
          <cell r="M32">
            <v>1.5</v>
          </cell>
          <cell r="N32">
            <v>1.85</v>
          </cell>
          <cell r="O32">
            <v>0</v>
          </cell>
          <cell r="P32">
            <v>-0.35000000000000009</v>
          </cell>
          <cell r="Q32" t="str">
            <v>c</v>
          </cell>
          <cell r="R32"/>
          <cell r="S32" t="str">
            <v>g</v>
          </cell>
          <cell r="T32">
            <v>0</v>
          </cell>
          <cell r="V32">
            <v>39539</v>
          </cell>
          <cell r="W32">
            <v>3.05</v>
          </cell>
          <cell r="X32">
            <v>3.05</v>
          </cell>
          <cell r="Y32">
            <v>1.8749999999999999E-3</v>
          </cell>
          <cell r="Z32">
            <v>6.1475409836065579E-4</v>
          </cell>
          <cell r="AA32" t="str">
            <v>g</v>
          </cell>
          <cell r="AB32"/>
          <cell r="AC32" t="str">
            <v>c</v>
          </cell>
          <cell r="AD32">
            <v>0</v>
          </cell>
          <cell r="AE32">
            <v>1.6875</v>
          </cell>
          <cell r="AF32">
            <v>1.85</v>
          </cell>
          <cell r="AG32">
            <v>0</v>
          </cell>
          <cell r="AH32">
            <v>-0.16250000000000009</v>
          </cell>
          <cell r="AI32" t="str">
            <v>c</v>
          </cell>
          <cell r="AJ32"/>
          <cell r="AK32" t="str">
            <v>g</v>
          </cell>
          <cell r="AL32">
            <v>0</v>
          </cell>
          <cell r="AO32">
            <v>39539</v>
          </cell>
          <cell r="AP32">
            <v>0.45983606557377066</v>
          </cell>
          <cell r="AQ32">
            <v>0</v>
          </cell>
          <cell r="AR32">
            <v>-0.45983606557377066</v>
          </cell>
          <cell r="AS32">
            <v>-1</v>
          </cell>
          <cell r="AT32">
            <v>1.0598360655737702</v>
          </cell>
          <cell r="AU32"/>
          <cell r="AV32">
            <v>39539</v>
          </cell>
          <cell r="AW32">
            <v>0.12034482758620677</v>
          </cell>
          <cell r="AX32">
            <v>-0.35000000000000009</v>
          </cell>
          <cell r="AY32">
            <v>-0.47034482758620688</v>
          </cell>
          <cell r="AZ32">
            <v>-3.9083094555873963</v>
          </cell>
          <cell r="BA32">
            <v>0.74034482758620679</v>
          </cell>
          <cell r="BB32">
            <v>-0.35000000000000009</v>
          </cell>
          <cell r="BC32">
            <v>39539</v>
          </cell>
          <cell r="BD32">
            <v>0.37820855614973264</v>
          </cell>
          <cell r="BE32">
            <v>6.1475409836065579E-4</v>
          </cell>
          <cell r="BF32">
            <v>-0.377593802051372</v>
          </cell>
          <cell r="BG32">
            <v>-0.99837456321819096</v>
          </cell>
          <cell r="BH32">
            <v>1.898326508643378</v>
          </cell>
          <cell r="BI32"/>
          <cell r="BJ32">
            <v>39539</v>
          </cell>
          <cell r="BK32">
            <v>0.40129746835443036</v>
          </cell>
          <cell r="BL32">
            <v>-0.16250000000000009</v>
          </cell>
          <cell r="BM32">
            <v>-0.56379746835443045</v>
          </cell>
          <cell r="BN32">
            <v>-1.4049365192019558</v>
          </cell>
          <cell r="BO32">
            <v>2.4746628457267414</v>
          </cell>
          <cell r="BP32">
            <v>-0.16250000000000009</v>
          </cell>
        </row>
        <row r="33">
          <cell r="D33">
            <v>39569</v>
          </cell>
          <cell r="E33">
            <v>3.05</v>
          </cell>
          <cell r="F33">
            <v>3.05</v>
          </cell>
          <cell r="G33">
            <v>0</v>
          </cell>
          <cell r="H33">
            <v>0</v>
          </cell>
          <cell r="I33" t="str">
            <v>g</v>
          </cell>
          <cell r="J33"/>
          <cell r="K33" t="str">
            <v>c</v>
          </cell>
          <cell r="L33">
            <v>0</v>
          </cell>
          <cell r="M33">
            <v>1.8</v>
          </cell>
          <cell r="N33">
            <v>1.5</v>
          </cell>
          <cell r="O33">
            <v>0</v>
          </cell>
          <cell r="P33">
            <v>0.30000000000000004</v>
          </cell>
          <cell r="Q33" t="str">
            <v>g</v>
          </cell>
          <cell r="R33"/>
          <cell r="S33" t="str">
            <v>c</v>
          </cell>
          <cell r="T33">
            <v>0</v>
          </cell>
          <cell r="V33">
            <v>39569</v>
          </cell>
          <cell r="W33">
            <v>3.05</v>
          </cell>
          <cell r="X33">
            <v>3.05</v>
          </cell>
          <cell r="Y33">
            <v>1.764705882352941E-3</v>
          </cell>
          <cell r="Z33">
            <v>5.7859209257473483E-4</v>
          </cell>
          <cell r="AA33" t="str">
            <v>g</v>
          </cell>
          <cell r="AB33"/>
          <cell r="AC33" t="str">
            <v>c</v>
          </cell>
          <cell r="AD33">
            <v>0</v>
          </cell>
          <cell r="AE33">
            <v>1.7100000000000002</v>
          </cell>
          <cell r="AF33">
            <v>1.78</v>
          </cell>
          <cell r="AG33">
            <v>0</v>
          </cell>
          <cell r="AH33">
            <v>-6.999999999999984E-2</v>
          </cell>
          <cell r="AI33" t="str">
            <v>c</v>
          </cell>
          <cell r="AJ33"/>
          <cell r="AK33" t="str">
            <v>g</v>
          </cell>
          <cell r="AL33">
            <v>0</v>
          </cell>
          <cell r="AO33">
            <v>39569</v>
          </cell>
          <cell r="AP33">
            <v>-0.60000000000000009</v>
          </cell>
          <cell r="AQ33">
            <v>0</v>
          </cell>
          <cell r="AR33">
            <v>0.60000000000000009</v>
          </cell>
          <cell r="AS33">
            <v>-1</v>
          </cell>
          <cell r="AT33">
            <v>1.0598360655737702</v>
          </cell>
          <cell r="AU33"/>
          <cell r="AV33">
            <v>39569</v>
          </cell>
          <cell r="AW33">
            <v>-0.20999999999999996</v>
          </cell>
          <cell r="AX33">
            <v>0.30000000000000004</v>
          </cell>
          <cell r="AY33">
            <v>0.51</v>
          </cell>
          <cell r="AZ33">
            <v>-2.4285714285714288</v>
          </cell>
          <cell r="BA33">
            <v>0.74034482758620679</v>
          </cell>
          <cell r="BB33">
            <v>0.30000000000000004</v>
          </cell>
          <cell r="BC33">
            <v>39569</v>
          </cell>
          <cell r="BD33">
            <v>0.1823346303501947</v>
          </cell>
          <cell r="BE33">
            <v>5.7859209257473483E-4</v>
          </cell>
          <cell r="BF33">
            <v>-0.18175603825761996</v>
          </cell>
          <cell r="BG33">
            <v>-0.99682675698267809</v>
          </cell>
          <cell r="BH33">
            <v>1.898326508643378</v>
          </cell>
          <cell r="BI33"/>
          <cell r="BJ33">
            <v>39569</v>
          </cell>
          <cell r="BK33">
            <v>0.27874977085242875</v>
          </cell>
          <cell r="BL33">
            <v>-6.999999999999984E-2</v>
          </cell>
          <cell r="BM33">
            <v>-0.34874977085242859</v>
          </cell>
          <cell r="BN33">
            <v>-1.251121282668455</v>
          </cell>
          <cell r="BO33">
            <v>2.4746628457267414</v>
          </cell>
          <cell r="BP33">
            <v>-6.999999999999984E-2</v>
          </cell>
        </row>
        <row r="34">
          <cell r="D34">
            <v>39600</v>
          </cell>
          <cell r="E34">
            <v>3.05</v>
          </cell>
          <cell r="F34">
            <v>3.05</v>
          </cell>
          <cell r="G34">
            <v>0</v>
          </cell>
          <cell r="H34">
            <v>0</v>
          </cell>
          <cell r="I34" t="str">
            <v>g</v>
          </cell>
          <cell r="J34"/>
          <cell r="K34" t="str">
            <v>c</v>
          </cell>
          <cell r="L34">
            <v>0</v>
          </cell>
          <cell r="M34">
            <v>2</v>
          </cell>
          <cell r="N34">
            <v>1.8</v>
          </cell>
          <cell r="O34">
            <v>0</v>
          </cell>
          <cell r="P34">
            <v>0.19999999999999996</v>
          </cell>
          <cell r="Q34" t="str">
            <v>g</v>
          </cell>
          <cell r="R34"/>
          <cell r="S34" t="str">
            <v>c</v>
          </cell>
          <cell r="T34">
            <v>0</v>
          </cell>
          <cell r="V34">
            <v>39600</v>
          </cell>
          <cell r="W34">
            <v>3.0500000000000003</v>
          </cell>
          <cell r="X34">
            <v>3.0500000000000003</v>
          </cell>
          <cell r="Y34">
            <v>1.6666666666666666E-3</v>
          </cell>
          <cell r="Z34">
            <v>5.4644808743169388E-4</v>
          </cell>
          <cell r="AA34" t="str">
            <v>g</v>
          </cell>
          <cell r="AB34"/>
          <cell r="AC34" t="str">
            <v>c</v>
          </cell>
          <cell r="AD34">
            <v>0</v>
          </cell>
          <cell r="AE34">
            <v>1.7583333333333335</v>
          </cell>
          <cell r="AF34">
            <v>1.7833333333333334</v>
          </cell>
          <cell r="AG34">
            <v>0</v>
          </cell>
          <cell r="AH34">
            <v>-2.4999999999999911E-2</v>
          </cell>
          <cell r="AI34" t="str">
            <v>c</v>
          </cell>
          <cell r="AJ34"/>
          <cell r="AK34" t="str">
            <v>g</v>
          </cell>
          <cell r="AL34">
            <v>0</v>
          </cell>
          <cell r="AO34">
            <v>39600</v>
          </cell>
          <cell r="AP34">
            <v>0</v>
          </cell>
          <cell r="AQ34">
            <v>0</v>
          </cell>
          <cell r="AR34">
            <v>0</v>
          </cell>
          <cell r="AS34" t="e">
            <v>#DIV/0!</v>
          </cell>
          <cell r="AT34">
            <v>1.0598360655737702</v>
          </cell>
          <cell r="AU34"/>
          <cell r="AV34">
            <v>39600</v>
          </cell>
          <cell r="AW34">
            <v>0</v>
          </cell>
          <cell r="AX34">
            <v>0.19999999999999996</v>
          </cell>
          <cell r="AY34">
            <v>0.19999999999999996</v>
          </cell>
          <cell r="AZ34" t="e">
            <v>#DIV/0!</v>
          </cell>
          <cell r="BA34">
            <v>0.74034482758620679</v>
          </cell>
          <cell r="BB34">
            <v>0.19999999999999996</v>
          </cell>
          <cell r="BC34">
            <v>39600</v>
          </cell>
          <cell r="BD34">
            <v>0.15190476190476182</v>
          </cell>
          <cell r="BE34">
            <v>5.4644808743169388E-4</v>
          </cell>
          <cell r="BF34">
            <v>-0.15135831381733011</v>
          </cell>
          <cell r="BG34">
            <v>-0.99640269284135874</v>
          </cell>
          <cell r="BH34">
            <v>1.898326508643378</v>
          </cell>
          <cell r="BI34"/>
          <cell r="BJ34">
            <v>39600</v>
          </cell>
          <cell r="BK34">
            <v>0.2321881838074398</v>
          </cell>
          <cell r="BL34">
            <v>-2.4999999999999911E-2</v>
          </cell>
          <cell r="BM34">
            <v>-0.25718818380743969</v>
          </cell>
          <cell r="BN34">
            <v>-1.1076712845160679</v>
          </cell>
          <cell r="BO34">
            <v>2.4746628457267414</v>
          </cell>
          <cell r="BP34">
            <v>-2.4999999999999911E-2</v>
          </cell>
        </row>
        <row r="35">
          <cell r="D35">
            <v>39630</v>
          </cell>
          <cell r="E35">
            <v>3.05</v>
          </cell>
          <cell r="F35">
            <v>3.05</v>
          </cell>
          <cell r="G35">
            <v>0</v>
          </cell>
          <cell r="H35">
            <v>0</v>
          </cell>
          <cell r="I35" t="str">
            <v>g</v>
          </cell>
          <cell r="J35"/>
          <cell r="K35" t="str">
            <v>c</v>
          </cell>
          <cell r="L35">
            <v>0</v>
          </cell>
          <cell r="M35">
            <v>1.99</v>
          </cell>
          <cell r="N35">
            <v>2</v>
          </cell>
          <cell r="O35">
            <v>0</v>
          </cell>
          <cell r="P35">
            <v>-1.0000000000000009E-2</v>
          </cell>
          <cell r="Q35" t="str">
            <v>c</v>
          </cell>
          <cell r="R35"/>
          <cell r="S35" t="str">
            <v>g</v>
          </cell>
          <cell r="T35">
            <v>0</v>
          </cell>
          <cell r="V35">
            <v>39630</v>
          </cell>
          <cell r="W35">
            <v>3.0500000000000003</v>
          </cell>
          <cell r="X35">
            <v>3.0500000000000003</v>
          </cell>
          <cell r="Y35">
            <v>1.5789473684210526E-3</v>
          </cell>
          <cell r="Z35">
            <v>5.1768766177739424E-4</v>
          </cell>
          <cell r="AA35" t="str">
            <v>g</v>
          </cell>
          <cell r="AB35"/>
          <cell r="AC35" t="str">
            <v>c</v>
          </cell>
          <cell r="AD35">
            <v>0</v>
          </cell>
          <cell r="AE35">
            <v>1.7914285714285716</v>
          </cell>
          <cell r="AF35">
            <v>1.8142857142857145</v>
          </cell>
          <cell r="AG35">
            <v>0</v>
          </cell>
          <cell r="AH35">
            <v>-2.2857142857142909E-2</v>
          </cell>
          <cell r="AI35" t="str">
            <v>c</v>
          </cell>
          <cell r="AJ35"/>
          <cell r="AK35" t="str">
            <v>g</v>
          </cell>
          <cell r="AL35">
            <v>0</v>
          </cell>
          <cell r="AO35">
            <v>39630</v>
          </cell>
          <cell r="AP35">
            <v>0.10000000000000009</v>
          </cell>
          <cell r="AQ35">
            <v>0</v>
          </cell>
          <cell r="AR35">
            <v>-0.10000000000000009</v>
          </cell>
          <cell r="AS35">
            <v>-1</v>
          </cell>
          <cell r="AT35">
            <v>1.0598360655737702</v>
          </cell>
          <cell r="AU35"/>
          <cell r="AV35">
            <v>39630</v>
          </cell>
          <cell r="AW35">
            <v>-9.9999999999999645E-2</v>
          </cell>
          <cell r="AX35">
            <v>-1.0000000000000009E-2</v>
          </cell>
          <cell r="AY35">
            <v>8.9999999999999636E-2</v>
          </cell>
          <cell r="AZ35">
            <v>-0.89999999999999958</v>
          </cell>
          <cell r="BA35">
            <v>0.74034482758620679</v>
          </cell>
          <cell r="BB35">
            <v>-1.0000000000000009E-2</v>
          </cell>
          <cell r="BC35">
            <v>39630</v>
          </cell>
          <cell r="BD35">
            <v>0.14446572194561463</v>
          </cell>
          <cell r="BE35">
            <v>5.1768766177739424E-4</v>
          </cell>
          <cell r="BF35">
            <v>-0.14394803428383723</v>
          </cell>
          <cell r="BG35">
            <v>-0.99641653636028427</v>
          </cell>
          <cell r="BH35">
            <v>1.898326508643378</v>
          </cell>
          <cell r="BI35"/>
          <cell r="BJ35">
            <v>39630</v>
          </cell>
          <cell r="BK35">
            <v>0.18467422341438042</v>
          </cell>
          <cell r="BL35">
            <v>-2.2857142857142909E-2</v>
          </cell>
          <cell r="BM35">
            <v>-0.20753136627152333</v>
          </cell>
          <cell r="BN35">
            <v>-1.1237700770283192</v>
          </cell>
          <cell r="BO35">
            <v>2.4746628457267414</v>
          </cell>
          <cell r="BP35">
            <v>-2.2857142857142909E-2</v>
          </cell>
        </row>
        <row r="36">
          <cell r="D36">
            <v>39661</v>
          </cell>
          <cell r="E36">
            <v>3.05</v>
          </cell>
          <cell r="F36">
            <v>3.05</v>
          </cell>
          <cell r="G36">
            <v>0</v>
          </cell>
          <cell r="H36">
            <v>0</v>
          </cell>
          <cell r="I36" t="str">
            <v>g</v>
          </cell>
          <cell r="J36"/>
          <cell r="K36" t="str">
            <v>c</v>
          </cell>
          <cell r="L36">
            <v>0</v>
          </cell>
          <cell r="M36">
            <v>1.69</v>
          </cell>
          <cell r="N36">
            <v>1.99</v>
          </cell>
          <cell r="O36">
            <v>0</v>
          </cell>
          <cell r="P36">
            <v>-0.30000000000000004</v>
          </cell>
          <cell r="Q36" t="str">
            <v>c</v>
          </cell>
          <cell r="R36"/>
          <cell r="S36" t="str">
            <v>g</v>
          </cell>
          <cell r="T36">
            <v>0</v>
          </cell>
          <cell r="V36">
            <v>39661</v>
          </cell>
          <cell r="W36">
            <v>3.0500000000000003</v>
          </cell>
          <cell r="X36">
            <v>3.0500000000000003</v>
          </cell>
          <cell r="Y36">
            <v>1.5E-3</v>
          </cell>
          <cell r="Z36">
            <v>4.9180327868852459E-4</v>
          </cell>
          <cell r="AA36" t="str">
            <v>g</v>
          </cell>
          <cell r="AB36"/>
          <cell r="AC36" t="str">
            <v>c</v>
          </cell>
          <cell r="AD36">
            <v>0</v>
          </cell>
          <cell r="AE36">
            <v>1.7787500000000001</v>
          </cell>
          <cell r="AF36">
            <v>1.8362500000000002</v>
          </cell>
          <cell r="AG36">
            <v>0</v>
          </cell>
          <cell r="AH36">
            <v>-5.7500000000000107E-2</v>
          </cell>
          <cell r="AI36" t="str">
            <v>c</v>
          </cell>
          <cell r="AJ36"/>
          <cell r="AK36" t="str">
            <v>g</v>
          </cell>
          <cell r="AL36">
            <v>0</v>
          </cell>
          <cell r="AO36">
            <v>39661</v>
          </cell>
          <cell r="AP36">
            <v>4.9999999999999822E-2</v>
          </cell>
          <cell r="AQ36">
            <v>0</v>
          </cell>
          <cell r="AR36">
            <v>-4.9999999999999822E-2</v>
          </cell>
          <cell r="AS36">
            <v>-1</v>
          </cell>
          <cell r="AT36">
            <v>1.0598360655737702</v>
          </cell>
          <cell r="AU36"/>
          <cell r="AV36">
            <v>39661</v>
          </cell>
          <cell r="AW36">
            <v>0</v>
          </cell>
          <cell r="AX36">
            <v>-0.30000000000000004</v>
          </cell>
          <cell r="AY36">
            <v>-0.30000000000000004</v>
          </cell>
          <cell r="AZ36" t="e">
            <v>#DIV/0!</v>
          </cell>
          <cell r="BA36">
            <v>0.74034482758620679</v>
          </cell>
          <cell r="BB36">
            <v>-0.30000000000000004</v>
          </cell>
          <cell r="BC36">
            <v>39661</v>
          </cell>
          <cell r="BD36">
            <v>0.13263568129330264</v>
          </cell>
          <cell r="BE36">
            <v>4.9180327868852459E-4</v>
          </cell>
          <cell r="BF36">
            <v>-0.13214387801461411</v>
          </cell>
          <cell r="BG36">
            <v>-0.9962920740942931</v>
          </cell>
          <cell r="BH36">
            <v>1.898326508643378</v>
          </cell>
          <cell r="BI36"/>
          <cell r="BJ36">
            <v>39661</v>
          </cell>
          <cell r="BK36">
            <v>0.16156168662155096</v>
          </cell>
          <cell r="BL36">
            <v>-5.7500000000000107E-2</v>
          </cell>
          <cell r="BM36">
            <v>-0.21906168662155107</v>
          </cell>
          <cell r="BN36">
            <v>-1.3559012114963283</v>
          </cell>
          <cell r="BO36">
            <v>2.4746628457267414</v>
          </cell>
          <cell r="BP36">
            <v>-5.7500000000000107E-2</v>
          </cell>
        </row>
        <row r="37">
          <cell r="D37">
            <v>39692</v>
          </cell>
          <cell r="E37">
            <v>2.02</v>
          </cell>
          <cell r="F37">
            <v>3.05</v>
          </cell>
          <cell r="G37">
            <v>0</v>
          </cell>
          <cell r="H37">
            <v>-1.0299999999999998</v>
          </cell>
          <cell r="I37" t="str">
            <v>c</v>
          </cell>
          <cell r="J37"/>
          <cell r="K37" t="str">
            <v>g</v>
          </cell>
          <cell r="L37">
            <v>0</v>
          </cell>
          <cell r="M37">
            <v>1.7</v>
          </cell>
          <cell r="N37">
            <v>1.69</v>
          </cell>
          <cell r="O37">
            <v>0</v>
          </cell>
          <cell r="P37">
            <v>1.0000000000000009E-2</v>
          </cell>
          <cell r="Q37" t="str">
            <v>g</v>
          </cell>
          <cell r="R37"/>
          <cell r="S37" t="str">
            <v>c</v>
          </cell>
          <cell r="T37">
            <v>0</v>
          </cell>
          <cell r="V37">
            <v>39692</v>
          </cell>
          <cell r="W37">
            <v>2.9355555555555557</v>
          </cell>
          <cell r="X37">
            <v>3.0500000000000003</v>
          </cell>
          <cell r="Y37">
            <v>1.4285714285714286E-3</v>
          </cell>
          <cell r="Z37">
            <v>-0.11397606036950311</v>
          </cell>
          <cell r="AA37" t="str">
            <v>c</v>
          </cell>
          <cell r="AB37"/>
          <cell r="AC37" t="str">
            <v>g</v>
          </cell>
          <cell r="AD37">
            <v>0</v>
          </cell>
          <cell r="AE37">
            <v>1.77</v>
          </cell>
          <cell r="AF37">
            <v>1.8200000000000003</v>
          </cell>
          <cell r="AG37">
            <v>0</v>
          </cell>
          <cell r="AH37">
            <v>-5.0000000000000266E-2</v>
          </cell>
          <cell r="AI37" t="str">
            <v>c</v>
          </cell>
          <cell r="AJ37"/>
          <cell r="AK37" t="str">
            <v>g</v>
          </cell>
          <cell r="AL37">
            <v>0</v>
          </cell>
          <cell r="AO37">
            <v>39692</v>
          </cell>
          <cell r="AP37">
            <v>0</v>
          </cell>
          <cell r="AQ37"/>
          <cell r="AR37"/>
          <cell r="AS37"/>
          <cell r="AT37">
            <v>1.0598360655737702</v>
          </cell>
          <cell r="AU37"/>
          <cell r="AV37">
            <v>39692</v>
          </cell>
          <cell r="AW37">
            <v>-0.35000000000000009</v>
          </cell>
          <cell r="AX37"/>
          <cell r="AY37"/>
          <cell r="AZ37"/>
          <cell r="BA37">
            <v>0.74034482758620679</v>
          </cell>
          <cell r="BB37"/>
          <cell r="BC37">
            <v>39692</v>
          </cell>
          <cell r="BD37">
            <v>0.11788124156545213</v>
          </cell>
          <cell r="BE37"/>
          <cell r="BF37"/>
          <cell r="BG37"/>
          <cell r="BH37">
            <v>1.898326508643378</v>
          </cell>
          <cell r="BI37"/>
          <cell r="BJ37">
            <v>39692</v>
          </cell>
          <cell r="BK37">
            <v>0.10470257112429653</v>
          </cell>
          <cell r="BL37"/>
          <cell r="BM37"/>
          <cell r="BN37"/>
          <cell r="BO37">
            <v>2.4746628457267414</v>
          </cell>
          <cell r="BP37"/>
        </row>
        <row r="38">
          <cell r="D38">
            <v>39722</v>
          </cell>
          <cell r="E38">
            <v>2.02</v>
          </cell>
          <cell r="F38">
            <v>2.02</v>
          </cell>
          <cell r="G38">
            <v>0</v>
          </cell>
          <cell r="H38">
            <v>0</v>
          </cell>
          <cell r="I38" t="str">
            <v>g</v>
          </cell>
          <cell r="J38"/>
          <cell r="K38" t="str">
            <v>c</v>
          </cell>
          <cell r="L38">
            <v>0</v>
          </cell>
          <cell r="M38">
            <v>0.96</v>
          </cell>
          <cell r="N38">
            <v>1.7</v>
          </cell>
          <cell r="O38">
            <v>0</v>
          </cell>
          <cell r="P38">
            <v>-0.74</v>
          </cell>
          <cell r="Q38" t="str">
            <v>c</v>
          </cell>
          <cell r="R38"/>
          <cell r="S38" t="str">
            <v>g</v>
          </cell>
          <cell r="T38">
            <v>0</v>
          </cell>
          <cell r="V38">
            <v>39722</v>
          </cell>
          <cell r="W38">
            <v>2.8440000000000003</v>
          </cell>
          <cell r="X38">
            <v>2.9470000000000001</v>
          </cell>
          <cell r="Y38">
            <v>1.3636363636363635E-3</v>
          </cell>
          <cell r="Z38">
            <v>-0.10253727982231521</v>
          </cell>
          <cell r="AA38" t="str">
            <v>c</v>
          </cell>
          <cell r="AB38"/>
          <cell r="AC38" t="str">
            <v>g</v>
          </cell>
          <cell r="AD38">
            <v>0</v>
          </cell>
          <cell r="AE38">
            <v>1.6890000000000001</v>
          </cell>
          <cell r="AF38">
            <v>1.8080000000000003</v>
          </cell>
          <cell r="AG38">
            <v>0</v>
          </cell>
          <cell r="AH38">
            <v>-0.11900000000000022</v>
          </cell>
          <cell r="AI38" t="str">
            <v>c</v>
          </cell>
          <cell r="AJ38"/>
          <cell r="AK38" t="str">
            <v>g</v>
          </cell>
          <cell r="AL38">
            <v>0</v>
          </cell>
          <cell r="AO38">
            <v>39722</v>
          </cell>
          <cell r="AP38">
            <v>0</v>
          </cell>
          <cell r="AQ38"/>
          <cell r="AR38"/>
          <cell r="AS38"/>
          <cell r="AT38">
            <v>1.0598360655737702</v>
          </cell>
          <cell r="AU38"/>
          <cell r="AV38">
            <v>39722</v>
          </cell>
          <cell r="AW38">
            <v>-0.10000000000000009</v>
          </cell>
          <cell r="AX38"/>
          <cell r="AY38"/>
          <cell r="AZ38"/>
          <cell r="BA38">
            <v>0.74034482758620679</v>
          </cell>
          <cell r="BB38"/>
          <cell r="BC38">
            <v>39722</v>
          </cell>
          <cell r="BD38">
            <v>0.10608108108108107</v>
          </cell>
          <cell r="BE38"/>
          <cell r="BF38"/>
          <cell r="BG38"/>
          <cell r="BH38">
            <v>1.898326508643378</v>
          </cell>
          <cell r="BI38"/>
          <cell r="BJ38">
            <v>39722</v>
          </cell>
          <cell r="BK38">
            <v>8.4236603462489429E-2</v>
          </cell>
          <cell r="BL38"/>
          <cell r="BM38"/>
          <cell r="BN38"/>
          <cell r="BO38">
            <v>2.4746628457267414</v>
          </cell>
          <cell r="BP38"/>
        </row>
        <row r="39">
          <cell r="D39">
            <v>39753</v>
          </cell>
          <cell r="E39">
            <v>1.02</v>
          </cell>
          <cell r="F39">
            <v>2.02</v>
          </cell>
          <cell r="G39">
            <v>0</v>
          </cell>
          <cell r="H39">
            <v>-1</v>
          </cell>
          <cell r="I39" t="str">
            <v>c</v>
          </cell>
          <cell r="J39"/>
          <cell r="K39" t="str">
            <v>g</v>
          </cell>
          <cell r="L39">
            <v>0</v>
          </cell>
          <cell r="M39">
            <v>0.95</v>
          </cell>
          <cell r="N39">
            <v>0.96</v>
          </cell>
          <cell r="O39">
            <v>0</v>
          </cell>
          <cell r="P39">
            <v>-1.0000000000000009E-2</v>
          </cell>
          <cell r="Q39" t="str">
            <v>c</v>
          </cell>
          <cell r="R39"/>
          <cell r="S39" t="str">
            <v>g</v>
          </cell>
          <cell r="T39">
            <v>0</v>
          </cell>
          <cell r="V39">
            <v>39753</v>
          </cell>
          <cell r="W39">
            <v>2.6781818181818182</v>
          </cell>
          <cell r="X39">
            <v>2.8627272727272728</v>
          </cell>
          <cell r="Y39">
            <v>1.3043478260869564E-3</v>
          </cell>
          <cell r="Z39">
            <v>-0.18408982335819016</v>
          </cell>
          <cell r="AA39" t="str">
            <v>c</v>
          </cell>
          <cell r="AB39"/>
          <cell r="AC39" t="str">
            <v>g</v>
          </cell>
          <cell r="AD39">
            <v>0</v>
          </cell>
          <cell r="AE39">
            <v>1.6218181818181818</v>
          </cell>
          <cell r="AF39">
            <v>1.7309090909090912</v>
          </cell>
          <cell r="AG39">
            <v>0</v>
          </cell>
          <cell r="AH39">
            <v>-0.10909090909090935</v>
          </cell>
          <cell r="AI39" t="str">
            <v>c</v>
          </cell>
          <cell r="AJ39"/>
          <cell r="AK39" t="str">
            <v>g</v>
          </cell>
          <cell r="AL39">
            <v>0</v>
          </cell>
          <cell r="AO39">
            <v>39753</v>
          </cell>
          <cell r="AP39">
            <v>0</v>
          </cell>
          <cell r="AQ39"/>
          <cell r="AR39"/>
          <cell r="AS39"/>
          <cell r="AT39">
            <v>1.0598360655737702</v>
          </cell>
          <cell r="AU39"/>
          <cell r="AV39">
            <v>39753</v>
          </cell>
          <cell r="AW39">
            <v>-4.9999999999999822E-2</v>
          </cell>
          <cell r="AX39"/>
          <cell r="AY39"/>
          <cell r="AZ39"/>
          <cell r="BA39">
            <v>0.74034482758620679</v>
          </cell>
          <cell r="BB39"/>
          <cell r="BC39">
            <v>39753</v>
          </cell>
          <cell r="BD39">
            <v>9.6428571428571211E-2</v>
          </cell>
          <cell r="BE39"/>
          <cell r="BF39"/>
          <cell r="BG39"/>
          <cell r="BH39">
            <v>1.898326508643378</v>
          </cell>
          <cell r="BI39"/>
          <cell r="BJ39">
            <v>39753</v>
          </cell>
          <cell r="BK39">
            <v>7.2040739343643814E-2</v>
          </cell>
          <cell r="BL39"/>
          <cell r="BM39"/>
          <cell r="BN39"/>
          <cell r="BO39">
            <v>2.4746628457267414</v>
          </cell>
          <cell r="BP39"/>
        </row>
        <row r="40">
          <cell r="D40">
            <v>39783</v>
          </cell>
          <cell r="E40">
            <v>1.02</v>
          </cell>
          <cell r="F40">
            <v>1.02</v>
          </cell>
          <cell r="G40">
            <v>0</v>
          </cell>
          <cell r="H40">
            <v>0</v>
          </cell>
          <cell r="I40" t="str">
            <v>g</v>
          </cell>
          <cell r="J40"/>
          <cell r="K40" t="str">
            <v>c</v>
          </cell>
          <cell r="L40">
            <v>0</v>
          </cell>
          <cell r="M40">
            <v>0.9</v>
          </cell>
          <cell r="N40">
            <v>0.95</v>
          </cell>
          <cell r="O40">
            <v>0</v>
          </cell>
          <cell r="P40">
            <v>-4.9999999999999933E-2</v>
          </cell>
          <cell r="Q40" t="str">
            <v>c</v>
          </cell>
          <cell r="R40"/>
          <cell r="S40" t="str">
            <v>g</v>
          </cell>
          <cell r="T40">
            <v>0</v>
          </cell>
          <cell r="V40">
            <v>39783</v>
          </cell>
          <cell r="W40">
            <v>2.54</v>
          </cell>
          <cell r="X40">
            <v>2.7091666666666669</v>
          </cell>
          <cell r="Y40">
            <v>1.25E-3</v>
          </cell>
          <cell r="Z40">
            <v>-0.16870527017328027</v>
          </cell>
          <cell r="AA40" t="str">
            <v>c</v>
          </cell>
          <cell r="AB40"/>
          <cell r="AC40" t="str">
            <v>g</v>
          </cell>
          <cell r="AD40">
            <v>0</v>
          </cell>
          <cell r="AE40">
            <v>1.5616666666666665</v>
          </cell>
          <cell r="AF40">
            <v>1.6658333333333335</v>
          </cell>
          <cell r="AG40">
            <v>0</v>
          </cell>
          <cell r="AH40">
            <v>-0.10416666666666696</v>
          </cell>
          <cell r="AI40" t="str">
            <v>c</v>
          </cell>
          <cell r="AJ40"/>
          <cell r="AK40" t="str">
            <v>g</v>
          </cell>
          <cell r="AL40">
            <v>0</v>
          </cell>
          <cell r="AO40">
            <v>39783</v>
          </cell>
          <cell r="AP40">
            <v>0</v>
          </cell>
          <cell r="AQ40"/>
          <cell r="AR40"/>
          <cell r="AS40"/>
          <cell r="AT40">
            <v>1.0598360655737702</v>
          </cell>
          <cell r="AU40"/>
          <cell r="AV40">
            <v>39783</v>
          </cell>
          <cell r="AW40">
            <v>-5.0000000000000266E-2</v>
          </cell>
          <cell r="AX40"/>
          <cell r="AY40"/>
          <cell r="AZ40"/>
          <cell r="BA40">
            <v>0.74034482758620679</v>
          </cell>
          <cell r="BB40"/>
          <cell r="BC40">
            <v>39783</v>
          </cell>
          <cell r="BD40">
            <v>8.8386262924667558E-2</v>
          </cell>
          <cell r="BE40"/>
          <cell r="BF40"/>
          <cell r="BG40"/>
          <cell r="BH40">
            <v>1.898326508643378</v>
          </cell>
          <cell r="BI40"/>
          <cell r="BJ40">
            <v>39783</v>
          </cell>
          <cell r="BK40">
            <v>6.1878265412747914E-2</v>
          </cell>
          <cell r="BL40"/>
          <cell r="BM40"/>
          <cell r="BN40"/>
          <cell r="BO40">
            <v>2.4746628457267414</v>
          </cell>
          <cell r="BP40"/>
        </row>
        <row r="41">
          <cell r="D41">
            <v>39814</v>
          </cell>
          <cell r="E41"/>
          <cell r="F41"/>
          <cell r="G41"/>
          <cell r="H41" t="str">
            <v/>
          </cell>
          <cell r="I41" t="str">
            <v/>
          </cell>
          <cell r="J41"/>
          <cell r="K41" t="str">
            <v/>
          </cell>
          <cell r="L41">
            <v>0</v>
          </cell>
          <cell r="M41"/>
          <cell r="N41"/>
          <cell r="O41"/>
          <cell r="P41" t="str">
            <v/>
          </cell>
          <cell r="Q41" t="str">
            <v/>
          </cell>
          <cell r="R41"/>
          <cell r="S41" t="str">
            <v/>
          </cell>
          <cell r="T41">
            <v>0</v>
          </cell>
          <cell r="V41"/>
          <cell r="W41" t="str">
            <v/>
          </cell>
          <cell r="X41" t="str">
            <v/>
          </cell>
          <cell r="Y41" t="str">
            <v/>
          </cell>
          <cell r="Z41" t="str">
            <v/>
          </cell>
          <cell r="AA41" t="str">
            <v/>
          </cell>
          <cell r="AB41"/>
          <cell r="AC41" t="str">
            <v/>
          </cell>
          <cell r="AD41">
            <v>0</v>
          </cell>
          <cell r="AE41" t="str">
            <v/>
          </cell>
          <cell r="AF41" t="str">
            <v/>
          </cell>
          <cell r="AG41" t="str">
            <v/>
          </cell>
          <cell r="AH41" t="str">
            <v/>
          </cell>
          <cell r="AI41" t="str">
            <v/>
          </cell>
          <cell r="AJ41"/>
          <cell r="AK41" t="str">
            <v/>
          </cell>
          <cell r="AL41">
            <v>0</v>
          </cell>
          <cell r="AO41">
            <v>39814</v>
          </cell>
          <cell r="AP41">
            <v>0</v>
          </cell>
          <cell r="AQ41"/>
          <cell r="AR41"/>
          <cell r="AS41"/>
          <cell r="AT41"/>
          <cell r="AU41"/>
          <cell r="AV41">
            <v>39814</v>
          </cell>
          <cell r="AW41">
            <v>-0.44999999999999996</v>
          </cell>
          <cell r="AX41"/>
          <cell r="AY41"/>
          <cell r="AZ41"/>
          <cell r="BA41"/>
          <cell r="BB41"/>
          <cell r="BC41">
            <v>39814</v>
          </cell>
          <cell r="BD41">
            <v>7.5662042875157629E-4</v>
          </cell>
          <cell r="BE41"/>
          <cell r="BF41"/>
          <cell r="BG41"/>
          <cell r="BH41"/>
          <cell r="BI41"/>
          <cell r="BJ41">
            <v>39814</v>
          </cell>
          <cell r="BK41">
            <v>-0.44999999999999996</v>
          </cell>
          <cell r="BL41"/>
          <cell r="BM41"/>
          <cell r="BN41"/>
          <cell r="BO41"/>
          <cell r="BP41"/>
        </row>
        <row r="42">
          <cell r="D42">
            <v>39845</v>
          </cell>
          <cell r="E42"/>
          <cell r="F42"/>
          <cell r="G42"/>
          <cell r="H42" t="str">
            <v/>
          </cell>
          <cell r="I42" t="str">
            <v/>
          </cell>
          <cell r="J42"/>
          <cell r="K42" t="str">
            <v/>
          </cell>
          <cell r="L42">
            <v>0</v>
          </cell>
          <cell r="M42"/>
          <cell r="N42"/>
          <cell r="O42"/>
          <cell r="P42" t="str">
            <v/>
          </cell>
          <cell r="Q42" t="str">
            <v/>
          </cell>
          <cell r="R42"/>
          <cell r="S42" t="str">
            <v/>
          </cell>
          <cell r="T42">
            <v>0</v>
          </cell>
          <cell r="V42"/>
          <cell r="W42" t="str">
            <v/>
          </cell>
          <cell r="X42" t="str">
            <v/>
          </cell>
          <cell r="Y42" t="str">
            <v/>
          </cell>
          <cell r="Z42" t="str">
            <v/>
          </cell>
          <cell r="AA42" t="str">
            <v/>
          </cell>
          <cell r="AB42"/>
          <cell r="AC42" t="str">
            <v/>
          </cell>
          <cell r="AD42">
            <v>0</v>
          </cell>
          <cell r="AE42" t="str">
            <v/>
          </cell>
          <cell r="AF42" t="str">
            <v/>
          </cell>
          <cell r="AG42" t="str">
            <v/>
          </cell>
          <cell r="AH42" t="str">
            <v/>
          </cell>
          <cell r="AI42" t="str">
            <v/>
          </cell>
          <cell r="AJ42"/>
          <cell r="AK42" t="str">
            <v/>
          </cell>
          <cell r="AL42">
            <v>0</v>
          </cell>
          <cell r="AO42">
            <v>39845</v>
          </cell>
          <cell r="AP42">
            <v>0</v>
          </cell>
          <cell r="AQ42"/>
          <cell r="AR42"/>
          <cell r="AS42"/>
          <cell r="AT42"/>
          <cell r="AU42"/>
          <cell r="AV42">
            <v>39845</v>
          </cell>
          <cell r="AW42">
            <v>0</v>
          </cell>
          <cell r="AX42"/>
          <cell r="AY42"/>
          <cell r="AZ42"/>
          <cell r="BA42"/>
          <cell r="BB42"/>
          <cell r="BC42">
            <v>39845</v>
          </cell>
          <cell r="BD42">
            <v>7.0257611241217809E-4</v>
          </cell>
          <cell r="BE42"/>
          <cell r="BF42"/>
          <cell r="BG42"/>
          <cell r="BH42"/>
          <cell r="BI42"/>
          <cell r="BJ42">
            <v>39845</v>
          </cell>
          <cell r="BK42">
            <v>-0.22499999999999987</v>
          </cell>
          <cell r="BL42"/>
          <cell r="BM42"/>
          <cell r="BN42"/>
          <cell r="BO42"/>
          <cell r="BP42"/>
        </row>
        <row r="43">
          <cell r="D43">
            <v>39873</v>
          </cell>
          <cell r="E43"/>
          <cell r="F43"/>
          <cell r="G43"/>
          <cell r="H43" t="str">
            <v/>
          </cell>
          <cell r="I43" t="str">
            <v/>
          </cell>
          <cell r="J43"/>
          <cell r="K43" t="str">
            <v/>
          </cell>
          <cell r="L43">
            <v>0</v>
          </cell>
          <cell r="M43"/>
          <cell r="N43"/>
          <cell r="O43"/>
          <cell r="P43" t="str">
            <v/>
          </cell>
          <cell r="Q43" t="str">
            <v/>
          </cell>
          <cell r="R43"/>
          <cell r="S43" t="str">
            <v/>
          </cell>
          <cell r="T43">
            <v>0</v>
          </cell>
          <cell r="V43"/>
          <cell r="W43" t="str">
            <v/>
          </cell>
          <cell r="X43" t="str">
            <v/>
          </cell>
          <cell r="Y43" t="str">
            <v/>
          </cell>
          <cell r="Z43" t="str">
            <v/>
          </cell>
          <cell r="AA43" t="str">
            <v/>
          </cell>
          <cell r="AB43"/>
          <cell r="AC43" t="str">
            <v/>
          </cell>
          <cell r="AD43">
            <v>0</v>
          </cell>
          <cell r="AE43" t="str">
            <v/>
          </cell>
          <cell r="AF43" t="str">
            <v/>
          </cell>
          <cell r="AG43" t="str">
            <v/>
          </cell>
          <cell r="AH43" t="str">
            <v/>
          </cell>
          <cell r="AI43" t="str">
            <v/>
          </cell>
          <cell r="AJ43"/>
          <cell r="AK43" t="str">
            <v/>
          </cell>
          <cell r="AL43">
            <v>0</v>
          </cell>
          <cell r="AO43">
            <v>39873</v>
          </cell>
          <cell r="AP43">
            <v>0</v>
          </cell>
          <cell r="AQ43"/>
          <cell r="AR43"/>
          <cell r="AS43"/>
          <cell r="AT43"/>
          <cell r="AU43"/>
          <cell r="AV43">
            <v>39873</v>
          </cell>
          <cell r="AW43">
            <v>0.15000000000000013</v>
          </cell>
          <cell r="AX43"/>
          <cell r="AY43"/>
          <cell r="AZ43"/>
          <cell r="BA43"/>
          <cell r="BB43"/>
          <cell r="BC43">
            <v>39873</v>
          </cell>
          <cell r="BD43">
            <v>6.5573770491803289E-4</v>
          </cell>
          <cell r="BE43"/>
          <cell r="BF43"/>
          <cell r="BG43"/>
          <cell r="BH43"/>
          <cell r="BI43"/>
          <cell r="BJ43">
            <v>39873</v>
          </cell>
          <cell r="BK43">
            <v>-9.9999999999999867E-2</v>
          </cell>
          <cell r="BL43"/>
          <cell r="BM43"/>
          <cell r="BN43"/>
          <cell r="BO43"/>
          <cell r="BP43"/>
        </row>
        <row r="44">
          <cell r="D44">
            <v>39904</v>
          </cell>
          <cell r="E44"/>
          <cell r="F44"/>
          <cell r="G44"/>
          <cell r="H44" t="str">
            <v/>
          </cell>
          <cell r="I44" t="str">
            <v/>
          </cell>
          <cell r="J44"/>
          <cell r="K44" t="str">
            <v/>
          </cell>
          <cell r="L44">
            <v>0</v>
          </cell>
          <cell r="M44"/>
          <cell r="N44"/>
          <cell r="O44"/>
          <cell r="P44" t="str">
            <v/>
          </cell>
          <cell r="Q44" t="str">
            <v/>
          </cell>
          <cell r="R44"/>
          <cell r="S44" t="str">
            <v/>
          </cell>
          <cell r="T44">
            <v>0</v>
          </cell>
          <cell r="V44"/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  <cell r="AA44" t="str">
            <v/>
          </cell>
          <cell r="AB44"/>
          <cell r="AC44" t="str">
            <v/>
          </cell>
          <cell r="AD44">
            <v>0</v>
          </cell>
          <cell r="AE44" t="str">
            <v/>
          </cell>
          <cell r="AF44" t="str">
            <v/>
          </cell>
          <cell r="AG44" t="str">
            <v/>
          </cell>
          <cell r="AH44" t="str">
            <v/>
          </cell>
          <cell r="AI44" t="str">
            <v/>
          </cell>
          <cell r="AJ44"/>
          <cell r="AK44" t="str">
            <v/>
          </cell>
          <cell r="AL44">
            <v>0</v>
          </cell>
        </row>
        <row r="45">
          <cell r="D45">
            <v>39934</v>
          </cell>
          <cell r="E45"/>
          <cell r="F45"/>
          <cell r="G45"/>
          <cell r="H45" t="str">
            <v/>
          </cell>
          <cell r="I45" t="str">
            <v/>
          </cell>
          <cell r="J45"/>
          <cell r="K45" t="str">
            <v/>
          </cell>
          <cell r="L45">
            <v>0</v>
          </cell>
          <cell r="M45"/>
          <cell r="N45"/>
          <cell r="O45"/>
          <cell r="P45" t="str">
            <v/>
          </cell>
          <cell r="Q45" t="str">
            <v/>
          </cell>
          <cell r="R45"/>
          <cell r="S45" t="str">
            <v/>
          </cell>
          <cell r="T45">
            <v>0</v>
          </cell>
          <cell r="V45"/>
          <cell r="W45" t="str">
            <v/>
          </cell>
          <cell r="X45" t="str">
            <v/>
          </cell>
          <cell r="Y45" t="str">
            <v/>
          </cell>
          <cell r="Z45" t="str">
            <v/>
          </cell>
          <cell r="AA45" t="str">
            <v/>
          </cell>
          <cell r="AB45"/>
          <cell r="AC45" t="str">
            <v/>
          </cell>
          <cell r="AD45">
            <v>0</v>
          </cell>
          <cell r="AE45" t="str">
            <v/>
          </cell>
          <cell r="AF45" t="str">
            <v/>
          </cell>
          <cell r="AG45" t="str">
            <v/>
          </cell>
          <cell r="AH45" t="str">
            <v/>
          </cell>
          <cell r="AI45" t="str">
            <v/>
          </cell>
          <cell r="AJ45"/>
          <cell r="AK45" t="str">
            <v/>
          </cell>
          <cell r="AL45">
            <v>0</v>
          </cell>
        </row>
        <row r="46">
          <cell r="D46">
            <v>39965</v>
          </cell>
          <cell r="E46"/>
          <cell r="F46"/>
          <cell r="G46"/>
          <cell r="H46" t="str">
            <v/>
          </cell>
          <cell r="I46" t="str">
            <v/>
          </cell>
          <cell r="J46"/>
          <cell r="K46" t="str">
            <v/>
          </cell>
          <cell r="L46">
            <v>0</v>
          </cell>
          <cell r="M46"/>
          <cell r="N46"/>
          <cell r="O46"/>
          <cell r="P46" t="str">
            <v/>
          </cell>
          <cell r="Q46" t="str">
            <v/>
          </cell>
          <cell r="R46"/>
          <cell r="S46" t="str">
            <v/>
          </cell>
          <cell r="T46">
            <v>0</v>
          </cell>
          <cell r="V46"/>
          <cell r="W46" t="str">
            <v/>
          </cell>
          <cell r="X46" t="str">
            <v/>
          </cell>
          <cell r="Y46" t="str">
            <v/>
          </cell>
          <cell r="Z46" t="str">
            <v/>
          </cell>
          <cell r="AA46" t="str">
            <v/>
          </cell>
          <cell r="AB46"/>
          <cell r="AC46" t="str">
            <v/>
          </cell>
          <cell r="AD46">
            <v>0</v>
          </cell>
          <cell r="AE46" t="str">
            <v/>
          </cell>
          <cell r="AF46" t="str">
            <v/>
          </cell>
          <cell r="AG46" t="str">
            <v/>
          </cell>
          <cell r="AH46" t="str">
            <v/>
          </cell>
          <cell r="AI46" t="str">
            <v/>
          </cell>
          <cell r="AJ46"/>
          <cell r="AK46" t="str">
            <v/>
          </cell>
          <cell r="AL46">
            <v>0</v>
          </cell>
        </row>
      </sheetData>
      <sheetData sheetId="61">
        <row r="14">
          <cell r="B14"/>
          <cell r="C14"/>
          <cell r="D14"/>
          <cell r="E14"/>
          <cell r="F14"/>
          <cell r="G14"/>
          <cell r="H14"/>
          <cell r="I14"/>
          <cell r="J14"/>
          <cell r="K14"/>
        </row>
        <row r="15">
          <cell r="B15" t="str">
            <v>Mes-Año</v>
          </cell>
          <cell r="C15"/>
          <cell r="D15" t="str">
            <v>NOPAT</v>
          </cell>
          <cell r="E15" t="str">
            <v>CPPC</v>
          </cell>
          <cell r="F15" t="str">
            <v>Capital Invertido</v>
          </cell>
          <cell r="G15" t="str">
            <v xml:space="preserve"> EVA</v>
          </cell>
          <cell r="H15"/>
          <cell r="I15"/>
          <cell r="J15"/>
          <cell r="K15"/>
        </row>
        <row r="16">
          <cell r="B16"/>
          <cell r="C16"/>
          <cell r="D16"/>
          <cell r="E16"/>
          <cell r="F16"/>
          <cell r="G16"/>
          <cell r="H16" t="str">
            <v>Performance</v>
          </cell>
          <cell r="I16"/>
          <cell r="J16"/>
          <cell r="K16" t="str">
            <v>Sup</v>
          </cell>
        </row>
        <row r="17">
          <cell r="B17">
            <v>39417</v>
          </cell>
          <cell r="C17"/>
          <cell r="D17">
            <v>34168608.326619998</v>
          </cell>
          <cell r="E17">
            <v>9.1740103945963866E-2</v>
          </cell>
          <cell r="F17">
            <v>104261701.17324549</v>
          </cell>
          <cell r="G17">
            <v>24603629.023403436</v>
          </cell>
          <cell r="H17" t="str">
            <v>g</v>
          </cell>
          <cell r="I17" t="str">
            <v>c</v>
          </cell>
          <cell r="J17" t="str">
            <v>c</v>
          </cell>
          <cell r="K17">
            <v>0</v>
          </cell>
        </row>
        <row r="18">
          <cell r="B18">
            <v>39448</v>
          </cell>
          <cell r="C18"/>
          <cell r="D18">
            <v>1875308.4</v>
          </cell>
          <cell r="E18">
            <v>3.5411307868818707E-2</v>
          </cell>
          <cell r="F18">
            <v>106754898.97938842</v>
          </cell>
          <cell r="G18">
            <v>-1905022.1942637633</v>
          </cell>
          <cell r="H18" t="str">
            <v>c</v>
          </cell>
          <cell r="I18" t="str">
            <v>c</v>
          </cell>
          <cell r="J18" t="str">
            <v>g</v>
          </cell>
          <cell r="K18">
            <v>0</v>
          </cell>
        </row>
        <row r="19">
          <cell r="B19">
            <v>39479</v>
          </cell>
          <cell r="C19"/>
          <cell r="D19">
            <v>3826190.2</v>
          </cell>
          <cell r="E19">
            <v>3.9787553510186729E-2</v>
          </cell>
          <cell r="F19">
            <v>135672634.87213838</v>
          </cell>
          <cell r="G19">
            <v>-1571892.0198432319</v>
          </cell>
          <cell r="H19" t="str">
            <v>c</v>
          </cell>
          <cell r="I19" t="str">
            <v>c</v>
          </cell>
          <cell r="J19" t="str">
            <v>g</v>
          </cell>
          <cell r="K19">
            <v>0</v>
          </cell>
        </row>
        <row r="20">
          <cell r="B20">
            <v>39508</v>
          </cell>
          <cell r="C20"/>
          <cell r="D20">
            <v>5787335.3999999994</v>
          </cell>
          <cell r="E20">
            <v>4.8380937333868487E-2</v>
          </cell>
          <cell r="F20">
            <v>136666247.79470664</v>
          </cell>
          <cell r="G20">
            <v>-824705.77021064516</v>
          </cell>
          <cell r="H20" t="str">
            <v>c</v>
          </cell>
          <cell r="I20" t="str">
            <v>c</v>
          </cell>
          <cell r="J20" t="str">
            <v>g</v>
          </cell>
          <cell r="K20">
            <v>0</v>
          </cell>
        </row>
        <row r="21">
          <cell r="B21">
            <v>39539</v>
          </cell>
          <cell r="C21"/>
          <cell r="D21">
            <v>8146060.8180000037</v>
          </cell>
          <cell r="E21">
            <v>5.058724882972386E-2</v>
          </cell>
          <cell r="F21">
            <v>138040965.01090604</v>
          </cell>
          <cell r="G21">
            <v>1162948.1722980952</v>
          </cell>
          <cell r="H21" t="str">
            <v>g</v>
          </cell>
          <cell r="I21" t="str">
            <v>c</v>
          </cell>
          <cell r="J21" t="str">
            <v>c</v>
          </cell>
          <cell r="K21">
            <v>0</v>
          </cell>
        </row>
        <row r="22">
          <cell r="B22">
            <v>39569</v>
          </cell>
          <cell r="C22"/>
          <cell r="D22">
            <v>10862853.918000001</v>
          </cell>
          <cell r="E22">
            <v>5.764995207706651E-2</v>
          </cell>
          <cell r="F22">
            <v>139711498.86950552</v>
          </cell>
          <cell r="G22">
            <v>2808492.7035578759</v>
          </cell>
          <cell r="H22" t="str">
            <v>g</v>
          </cell>
          <cell r="I22" t="str">
            <v>c</v>
          </cell>
          <cell r="J22" t="str">
            <v>c</v>
          </cell>
          <cell r="K22">
            <v>0</v>
          </cell>
        </row>
        <row r="23">
          <cell r="B23">
            <v>39600</v>
          </cell>
          <cell r="C23"/>
          <cell r="D23">
            <v>14004223.680999992</v>
          </cell>
          <cell r="E23">
            <v>5.9538637075678288E-2</v>
          </cell>
          <cell r="F23">
            <v>141743301.13002372</v>
          </cell>
          <cell r="G23">
            <v>5565020.71711093</v>
          </cell>
          <cell r="H23" t="str">
            <v>g</v>
          </cell>
          <cell r="I23" t="str">
            <v>c</v>
          </cell>
          <cell r="J23" t="str">
            <v>c</v>
          </cell>
          <cell r="K23">
            <v>0</v>
          </cell>
        </row>
        <row r="24">
          <cell r="B24">
            <v>39630</v>
          </cell>
          <cell r="C24"/>
          <cell r="D24">
            <v>18118624.860000003</v>
          </cell>
          <cell r="E24">
            <v>8.137413968578644E-2</v>
          </cell>
          <cell r="F24">
            <v>146306742.52274182</v>
          </cell>
          <cell r="G24">
            <v>6213039.5569820199</v>
          </cell>
          <cell r="H24" t="str">
            <v>g</v>
          </cell>
          <cell r="I24" t="str">
            <v>c</v>
          </cell>
          <cell r="J24" t="str">
            <v>c</v>
          </cell>
          <cell r="K24">
            <v>0</v>
          </cell>
        </row>
        <row r="25">
          <cell r="B25">
            <v>39661</v>
          </cell>
          <cell r="C25"/>
          <cell r="D25">
            <v>21998085.522000011</v>
          </cell>
          <cell r="E25">
            <v>9.1979532531378722E-2</v>
          </cell>
          <cell r="F25">
            <v>149813550.1103518</v>
          </cell>
          <cell r="G25">
            <v>8218305.2159835715</v>
          </cell>
          <cell r="H25" t="str">
            <v>g</v>
          </cell>
          <cell r="I25" t="str">
            <v>c</v>
          </cell>
          <cell r="J25" t="str">
            <v>c</v>
          </cell>
          <cell r="K25">
            <v>0</v>
          </cell>
        </row>
        <row r="26">
          <cell r="B26">
            <v>39692</v>
          </cell>
          <cell r="C26"/>
          <cell r="D26">
            <v>27098172.563000012</v>
          </cell>
          <cell r="E26">
            <v>0.11636780986482961</v>
          </cell>
          <cell r="F26">
            <v>153247520.57719785</v>
          </cell>
          <cell r="G26">
            <v>9265094.226216089</v>
          </cell>
          <cell r="H26" t="str">
            <v>g</v>
          </cell>
          <cell r="I26" t="str">
            <v>c</v>
          </cell>
          <cell r="J26" t="str">
            <v>c</v>
          </cell>
          <cell r="K26">
            <v>0</v>
          </cell>
        </row>
        <row r="27">
          <cell r="B27">
            <v>39722</v>
          </cell>
          <cell r="C27"/>
          <cell r="D27">
            <v>31349385.17550002</v>
          </cell>
          <cell r="E27">
            <v>0.11562360053896088</v>
          </cell>
          <cell r="F27">
            <v>154735714.02351776</v>
          </cell>
          <cell r="G27">
            <v>13458284.788133916</v>
          </cell>
          <cell r="H27" t="str">
            <v>g</v>
          </cell>
          <cell r="I27" t="str">
            <v>c</v>
          </cell>
          <cell r="J27" t="str">
            <v>c</v>
          </cell>
          <cell r="K27">
            <v>0</v>
          </cell>
        </row>
        <row r="28">
          <cell r="B28">
            <v>39753</v>
          </cell>
          <cell r="C28"/>
          <cell r="D28">
            <v>33300531.701500006</v>
          </cell>
          <cell r="E28">
            <v>0.11004051235328492</v>
          </cell>
          <cell r="F28">
            <v>153124942.69259781</v>
          </cell>
          <cell r="G28">
            <v>16450584.553539149</v>
          </cell>
          <cell r="H28" t="str">
            <v>g</v>
          </cell>
          <cell r="I28" t="str">
            <v>c</v>
          </cell>
          <cell r="J28" t="str">
            <v>c</v>
          </cell>
          <cell r="K28">
            <v>0</v>
          </cell>
        </row>
        <row r="29">
          <cell r="B29">
            <v>39783</v>
          </cell>
          <cell r="C29"/>
          <cell r="D29">
            <v>38731113.578500018</v>
          </cell>
          <cell r="E29">
            <v>9.2336441893105609E-2</v>
          </cell>
          <cell r="F29">
            <v>148033344.3589347</v>
          </cell>
          <cell r="G29">
            <v>25062241.278859153</v>
          </cell>
          <cell r="H29" t="str">
            <v>g</v>
          </cell>
          <cell r="I29" t="str">
            <v>c</v>
          </cell>
          <cell r="J29" t="str">
            <v>c</v>
          </cell>
          <cell r="K29">
            <v>0</v>
          </cell>
        </row>
        <row r="30">
          <cell r="B30">
            <v>39814</v>
          </cell>
          <cell r="C30"/>
          <cell r="D30"/>
          <cell r="E30"/>
          <cell r="F30"/>
          <cell r="G30" t="str">
            <v/>
          </cell>
          <cell r="H30" t="str">
            <v/>
          </cell>
          <cell r="I30" t="str">
            <v/>
          </cell>
          <cell r="J30" t="str">
            <v/>
          </cell>
          <cell r="K30">
            <v>0</v>
          </cell>
        </row>
        <row r="31">
          <cell r="B31">
            <v>39845</v>
          </cell>
          <cell r="C31"/>
          <cell r="D31"/>
          <cell r="E31"/>
          <cell r="F31"/>
          <cell r="G31" t="str">
            <v/>
          </cell>
          <cell r="H31" t="str">
            <v/>
          </cell>
          <cell r="I31" t="str">
            <v/>
          </cell>
          <cell r="J31" t="str">
            <v/>
          </cell>
          <cell r="K31">
            <v>0</v>
          </cell>
        </row>
        <row r="32">
          <cell r="B32">
            <v>39873</v>
          </cell>
          <cell r="C32"/>
          <cell r="D32"/>
          <cell r="E32"/>
          <cell r="F32"/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>
            <v>0</v>
          </cell>
        </row>
        <row r="33">
          <cell r="B33">
            <v>39904</v>
          </cell>
          <cell r="C33"/>
          <cell r="D33"/>
          <cell r="E33"/>
          <cell r="F33"/>
          <cell r="G33" t="str">
            <v/>
          </cell>
          <cell r="H33" t="str">
            <v/>
          </cell>
          <cell r="I33" t="str">
            <v/>
          </cell>
          <cell r="J33" t="str">
            <v/>
          </cell>
          <cell r="K33">
            <v>0</v>
          </cell>
        </row>
        <row r="34">
          <cell r="B34">
            <v>39934</v>
          </cell>
          <cell r="C34"/>
          <cell r="D34"/>
          <cell r="E34"/>
          <cell r="F34"/>
          <cell r="G34" t="str">
            <v/>
          </cell>
          <cell r="H34" t="str">
            <v/>
          </cell>
          <cell r="I34" t="str">
            <v/>
          </cell>
          <cell r="J34" t="str">
            <v/>
          </cell>
          <cell r="K34">
            <v>0</v>
          </cell>
        </row>
        <row r="35">
          <cell r="B35">
            <v>39965</v>
          </cell>
          <cell r="C35"/>
          <cell r="D35"/>
          <cell r="E35"/>
          <cell r="F35"/>
          <cell r="G35" t="str">
            <v/>
          </cell>
          <cell r="H35" t="str">
            <v/>
          </cell>
          <cell r="I35" t="str">
            <v/>
          </cell>
          <cell r="J35" t="str">
            <v/>
          </cell>
          <cell r="K35">
            <v>0</v>
          </cell>
        </row>
        <row r="36">
          <cell r="B36">
            <v>39995</v>
          </cell>
          <cell r="C36"/>
          <cell r="D36"/>
          <cell r="E36"/>
          <cell r="F36"/>
          <cell r="G36" t="str">
            <v/>
          </cell>
          <cell r="H36" t="str">
            <v/>
          </cell>
          <cell r="I36" t="str">
            <v/>
          </cell>
          <cell r="J36" t="str">
            <v/>
          </cell>
          <cell r="K36">
            <v>0</v>
          </cell>
        </row>
        <row r="37">
          <cell r="B37">
            <v>40026</v>
          </cell>
          <cell r="C37"/>
          <cell r="D37"/>
          <cell r="E37"/>
          <cell r="F37"/>
          <cell r="G37" t="str">
            <v/>
          </cell>
          <cell r="H37" t="str">
            <v/>
          </cell>
          <cell r="I37" t="str">
            <v/>
          </cell>
          <cell r="J37" t="str">
            <v/>
          </cell>
          <cell r="K37">
            <v>0</v>
          </cell>
        </row>
        <row r="38">
          <cell r="B38">
            <v>40057</v>
          </cell>
          <cell r="C38"/>
          <cell r="D38"/>
          <cell r="E38"/>
          <cell r="F38"/>
          <cell r="G38" t="str">
            <v/>
          </cell>
          <cell r="H38" t="str">
            <v/>
          </cell>
          <cell r="I38" t="str">
            <v/>
          </cell>
          <cell r="J38" t="str">
            <v/>
          </cell>
          <cell r="K38">
            <v>0</v>
          </cell>
        </row>
      </sheetData>
      <sheetData sheetId="62">
        <row r="15">
          <cell r="B15">
            <v>39083</v>
          </cell>
          <cell r="C15">
            <v>2.7199378340083298</v>
          </cell>
          <cell r="D15" t="str">
            <v>g</v>
          </cell>
          <cell r="E15"/>
          <cell r="F15" t="str">
            <v>c</v>
          </cell>
          <cell r="G15">
            <v>3</v>
          </cell>
          <cell r="H15">
            <v>2</v>
          </cell>
          <cell r="I15">
            <v>2.7199378340083298</v>
          </cell>
          <cell r="J15" t="str">
            <v>g</v>
          </cell>
          <cell r="K15"/>
          <cell r="L15" t="str">
            <v>c</v>
          </cell>
          <cell r="M15">
            <v>3</v>
          </cell>
          <cell r="N15">
            <v>2</v>
          </cell>
          <cell r="R15"/>
          <cell r="U15">
            <v>39083</v>
          </cell>
          <cell r="V15"/>
          <cell r="W15">
            <v>2.7199378340083298</v>
          </cell>
          <cell r="X15">
            <v>2.7199378340083298</v>
          </cell>
          <cell r="Y15"/>
          <cell r="Z15"/>
          <cell r="AA15"/>
          <cell r="AB15">
            <v>39083</v>
          </cell>
          <cell r="AC15"/>
          <cell r="AD15">
            <v>2.7199378340083298</v>
          </cell>
          <cell r="AE15">
            <v>2.7199378340083298</v>
          </cell>
          <cell r="AF15"/>
          <cell r="AG15"/>
          <cell r="AH15"/>
        </row>
        <row r="16">
          <cell r="B16">
            <v>39114</v>
          </cell>
          <cell r="C16">
            <v>2.7759981109731902</v>
          </cell>
          <cell r="D16" t="str">
            <v>g</v>
          </cell>
          <cell r="E16"/>
          <cell r="F16" t="str">
            <v>c</v>
          </cell>
          <cell r="G16">
            <v>3</v>
          </cell>
          <cell r="H16">
            <v>2</v>
          </cell>
          <cell r="I16">
            <v>2.7759981109731902</v>
          </cell>
          <cell r="J16" t="str">
            <v>g</v>
          </cell>
          <cell r="K16"/>
          <cell r="L16" t="str">
            <v>c</v>
          </cell>
          <cell r="M16">
            <v>3</v>
          </cell>
          <cell r="N16">
            <v>2</v>
          </cell>
          <cell r="U16">
            <v>39114</v>
          </cell>
          <cell r="V16"/>
          <cell r="W16">
            <v>2.7759981109731902</v>
          </cell>
          <cell r="X16">
            <v>2.7759981109731902</v>
          </cell>
          <cell r="Y16"/>
          <cell r="Z16"/>
          <cell r="AA16"/>
          <cell r="AB16">
            <v>39114</v>
          </cell>
          <cell r="AC16"/>
          <cell r="AD16">
            <v>2.7759981109731902</v>
          </cell>
          <cell r="AE16">
            <v>2.7759981109731902</v>
          </cell>
          <cell r="AF16"/>
          <cell r="AG16"/>
          <cell r="AH16"/>
        </row>
        <row r="17">
          <cell r="B17">
            <v>39142</v>
          </cell>
          <cell r="C17">
            <v>2.4135991710046736</v>
          </cell>
          <cell r="D17" t="str">
            <v>g</v>
          </cell>
          <cell r="E17"/>
          <cell r="F17" t="str">
            <v>c</v>
          </cell>
          <cell r="G17">
            <v>3</v>
          </cell>
          <cell r="H17">
            <v>2</v>
          </cell>
          <cell r="I17">
            <v>2.4135991710046736</v>
          </cell>
          <cell r="J17" t="str">
            <v>g</v>
          </cell>
          <cell r="K17"/>
          <cell r="L17" t="str">
            <v>c</v>
          </cell>
          <cell r="M17">
            <v>3</v>
          </cell>
          <cell r="N17">
            <v>2</v>
          </cell>
          <cell r="U17">
            <v>39142</v>
          </cell>
          <cell r="V17"/>
          <cell r="W17">
            <v>2.4135991710046736</v>
          </cell>
          <cell r="X17">
            <v>2.4135991710046736</v>
          </cell>
          <cell r="Y17"/>
          <cell r="Z17"/>
          <cell r="AA17"/>
          <cell r="AB17">
            <v>39142</v>
          </cell>
          <cell r="AC17"/>
          <cell r="AD17">
            <v>2.4135991710046736</v>
          </cell>
          <cell r="AE17">
            <v>2.4135991710046736</v>
          </cell>
          <cell r="AF17"/>
          <cell r="AG17"/>
          <cell r="AH17"/>
        </row>
        <row r="18">
          <cell r="B18">
            <v>39173</v>
          </cell>
          <cell r="C18">
            <v>1.8827026707757943</v>
          </cell>
          <cell r="D18" t="str">
            <v>c</v>
          </cell>
          <cell r="E18"/>
          <cell r="F18" t="str">
            <v>g</v>
          </cell>
          <cell r="G18">
            <v>3</v>
          </cell>
          <cell r="H18">
            <v>2</v>
          </cell>
          <cell r="I18">
            <v>1.8827026707757943</v>
          </cell>
          <cell r="J18" t="str">
            <v>c</v>
          </cell>
          <cell r="K18"/>
          <cell r="L18" t="str">
            <v>g</v>
          </cell>
          <cell r="M18">
            <v>3</v>
          </cell>
          <cell r="N18">
            <v>2</v>
          </cell>
          <cell r="U18">
            <v>39173</v>
          </cell>
          <cell r="V18"/>
          <cell r="W18">
            <v>1.8827026707757943</v>
          </cell>
          <cell r="X18">
            <v>1.8827026707757943</v>
          </cell>
          <cell r="Y18"/>
          <cell r="Z18"/>
          <cell r="AA18"/>
          <cell r="AB18">
            <v>39173</v>
          </cell>
          <cell r="AC18"/>
          <cell r="AD18">
            <v>1.8827026707757943</v>
          </cell>
          <cell r="AE18">
            <v>1.8827026707757943</v>
          </cell>
          <cell r="AF18"/>
          <cell r="AG18"/>
          <cell r="AH18"/>
        </row>
        <row r="19">
          <cell r="B19">
            <v>39203</v>
          </cell>
          <cell r="C19">
            <v>2.5580123959117289</v>
          </cell>
          <cell r="D19" t="str">
            <v>g</v>
          </cell>
          <cell r="E19"/>
          <cell r="F19" t="str">
            <v>c</v>
          </cell>
          <cell r="G19">
            <v>3</v>
          </cell>
          <cell r="H19">
            <v>2</v>
          </cell>
          <cell r="I19">
            <v>2.5580123959117289</v>
          </cell>
          <cell r="J19" t="str">
            <v>g</v>
          </cell>
          <cell r="K19"/>
          <cell r="L19" t="str">
            <v>c</v>
          </cell>
          <cell r="M19">
            <v>3</v>
          </cell>
          <cell r="N19">
            <v>2</v>
          </cell>
          <cell r="U19">
            <v>39203</v>
          </cell>
          <cell r="V19"/>
          <cell r="W19">
            <v>2.5580123959117289</v>
          </cell>
          <cell r="X19">
            <v>2.5580123959117289</v>
          </cell>
          <cell r="Y19"/>
          <cell r="Z19"/>
          <cell r="AA19"/>
          <cell r="AB19">
            <v>39203</v>
          </cell>
          <cell r="AC19"/>
          <cell r="AD19">
            <v>2.5580123959117289</v>
          </cell>
          <cell r="AE19">
            <v>2.5580123959117289</v>
          </cell>
          <cell r="AF19"/>
          <cell r="AG19"/>
          <cell r="AH19"/>
        </row>
        <row r="20">
          <cell r="B20">
            <v>39234</v>
          </cell>
          <cell r="C20">
            <v>2.6197051716570279</v>
          </cell>
          <cell r="D20" t="str">
            <v>g</v>
          </cell>
          <cell r="E20"/>
          <cell r="F20" t="str">
            <v>c</v>
          </cell>
          <cell r="G20">
            <v>3</v>
          </cell>
          <cell r="H20">
            <v>2</v>
          </cell>
          <cell r="I20">
            <v>2.6197051716570279</v>
          </cell>
          <cell r="J20" t="str">
            <v>g</v>
          </cell>
          <cell r="K20"/>
          <cell r="L20" t="str">
            <v>c</v>
          </cell>
          <cell r="M20">
            <v>3</v>
          </cell>
          <cell r="N20">
            <v>2</v>
          </cell>
          <cell r="U20">
            <v>39234</v>
          </cell>
          <cell r="V20"/>
          <cell r="W20">
            <v>2.6197051716570279</v>
          </cell>
          <cell r="X20">
            <v>2.6197051716570279</v>
          </cell>
          <cell r="Y20"/>
          <cell r="Z20"/>
          <cell r="AA20"/>
          <cell r="AB20">
            <v>39234</v>
          </cell>
          <cell r="AC20"/>
          <cell r="AD20">
            <v>2.6197051716570279</v>
          </cell>
          <cell r="AE20">
            <v>2.6197051716570279</v>
          </cell>
          <cell r="AF20"/>
          <cell r="AG20"/>
          <cell r="AH20"/>
        </row>
        <row r="21">
          <cell r="B21">
            <v>39264</v>
          </cell>
          <cell r="C21">
            <v>2.6170406035293077</v>
          </cell>
          <cell r="D21" t="str">
            <v>g</v>
          </cell>
          <cell r="E21"/>
          <cell r="F21" t="str">
            <v>c</v>
          </cell>
          <cell r="G21">
            <v>3</v>
          </cell>
          <cell r="H21">
            <v>2</v>
          </cell>
          <cell r="I21">
            <v>2.6170406035293077</v>
          </cell>
          <cell r="J21" t="str">
            <v>g</v>
          </cell>
          <cell r="K21"/>
          <cell r="L21" t="str">
            <v>c</v>
          </cell>
          <cell r="M21">
            <v>3</v>
          </cell>
          <cell r="N21">
            <v>2</v>
          </cell>
          <cell r="U21">
            <v>39264</v>
          </cell>
          <cell r="V21"/>
          <cell r="W21">
            <v>2.6170406035293077</v>
          </cell>
          <cell r="X21">
            <v>2.6170406035293077</v>
          </cell>
          <cell r="Y21"/>
          <cell r="Z21"/>
          <cell r="AA21"/>
          <cell r="AB21">
            <v>39264</v>
          </cell>
          <cell r="AC21"/>
          <cell r="AD21">
            <v>2.6170406035293077</v>
          </cell>
          <cell r="AE21">
            <v>2.6170406035293077</v>
          </cell>
          <cell r="AF21"/>
          <cell r="AG21"/>
          <cell r="AH21"/>
        </row>
        <row r="22">
          <cell r="B22">
            <v>39295</v>
          </cell>
          <cell r="C22">
            <v>1.7070318960731898</v>
          </cell>
          <cell r="D22" t="str">
            <v>c</v>
          </cell>
          <cell r="E22"/>
          <cell r="F22" t="str">
            <v>g</v>
          </cell>
          <cell r="G22">
            <v>3</v>
          </cell>
          <cell r="H22">
            <v>2</v>
          </cell>
          <cell r="I22">
            <v>1.7070318960731898</v>
          </cell>
          <cell r="J22" t="str">
            <v>c</v>
          </cell>
          <cell r="K22"/>
          <cell r="L22" t="str">
            <v>g</v>
          </cell>
          <cell r="M22">
            <v>3</v>
          </cell>
          <cell r="N22">
            <v>2</v>
          </cell>
          <cell r="U22">
            <v>39295</v>
          </cell>
          <cell r="V22"/>
          <cell r="W22">
            <v>1.7070318960731898</v>
          </cell>
          <cell r="X22">
            <v>1.7070318960731898</v>
          </cell>
          <cell r="Y22"/>
          <cell r="Z22"/>
          <cell r="AA22"/>
          <cell r="AB22">
            <v>39295</v>
          </cell>
          <cell r="AC22"/>
          <cell r="AD22">
            <v>1.7070318960731898</v>
          </cell>
          <cell r="AE22">
            <v>1.7070318960731898</v>
          </cell>
          <cell r="AF22"/>
          <cell r="AG22"/>
          <cell r="AH22"/>
        </row>
        <row r="23">
          <cell r="B23">
            <v>39326</v>
          </cell>
          <cell r="C23">
            <v>1.7527298458321419</v>
          </cell>
          <cell r="D23" t="str">
            <v>c</v>
          </cell>
          <cell r="E23"/>
          <cell r="F23" t="str">
            <v>g</v>
          </cell>
          <cell r="G23">
            <v>3</v>
          </cell>
          <cell r="H23">
            <v>2</v>
          </cell>
          <cell r="I23">
            <v>1.7527298458321419</v>
          </cell>
          <cell r="J23" t="str">
            <v>c</v>
          </cell>
          <cell r="K23"/>
          <cell r="L23" t="str">
            <v>g</v>
          </cell>
          <cell r="M23">
            <v>3</v>
          </cell>
          <cell r="N23">
            <v>2</v>
          </cell>
          <cell r="U23">
            <v>39326</v>
          </cell>
          <cell r="V23"/>
          <cell r="W23">
            <v>1.7527298458321419</v>
          </cell>
          <cell r="X23">
            <v>1.7527298458321419</v>
          </cell>
          <cell r="Y23"/>
          <cell r="Z23"/>
          <cell r="AA23"/>
          <cell r="AB23">
            <v>39326</v>
          </cell>
          <cell r="AC23"/>
          <cell r="AD23">
            <v>1.7527298458321419</v>
          </cell>
          <cell r="AE23">
            <v>1.7527298458321419</v>
          </cell>
          <cell r="AF23"/>
          <cell r="AG23"/>
          <cell r="AH23"/>
        </row>
        <row r="24">
          <cell r="B24">
            <v>39356</v>
          </cell>
          <cell r="C24">
            <v>1.7645385438618391</v>
          </cell>
          <cell r="D24" t="str">
            <v>c</v>
          </cell>
          <cell r="E24"/>
          <cell r="F24" t="str">
            <v>g</v>
          </cell>
          <cell r="G24">
            <v>3</v>
          </cell>
          <cell r="H24">
            <v>2</v>
          </cell>
          <cell r="I24">
            <v>1.7645385438618391</v>
          </cell>
          <cell r="J24" t="str">
            <v>c</v>
          </cell>
          <cell r="K24"/>
          <cell r="L24" t="str">
            <v>g</v>
          </cell>
          <cell r="M24">
            <v>3</v>
          </cell>
          <cell r="N24">
            <v>2</v>
          </cell>
          <cell r="U24">
            <v>39356</v>
          </cell>
          <cell r="V24"/>
          <cell r="W24">
            <v>1.7645385438618391</v>
          </cell>
          <cell r="X24">
            <v>1.7645385438618391</v>
          </cell>
          <cell r="Y24"/>
          <cell r="Z24"/>
          <cell r="AA24"/>
          <cell r="AB24">
            <v>39356</v>
          </cell>
          <cell r="AC24"/>
          <cell r="AD24">
            <v>1.7645385438618391</v>
          </cell>
          <cell r="AE24">
            <v>1.7645385438618391</v>
          </cell>
          <cell r="AF24"/>
          <cell r="AG24"/>
          <cell r="AH24"/>
        </row>
        <row r="25">
          <cell r="B25">
            <v>39387</v>
          </cell>
          <cell r="C25">
            <v>1.77155261352245</v>
          </cell>
          <cell r="D25" t="str">
            <v>c</v>
          </cell>
          <cell r="E25"/>
          <cell r="F25" t="str">
            <v>g</v>
          </cell>
          <cell r="G25">
            <v>3</v>
          </cell>
          <cell r="H25">
            <v>2</v>
          </cell>
          <cell r="I25">
            <v>1.77155261352245</v>
          </cell>
          <cell r="J25" t="str">
            <v>c</v>
          </cell>
          <cell r="K25"/>
          <cell r="L25" t="str">
            <v>g</v>
          </cell>
          <cell r="M25">
            <v>3</v>
          </cell>
          <cell r="N25">
            <v>2</v>
          </cell>
          <cell r="U25">
            <v>39387</v>
          </cell>
          <cell r="V25"/>
          <cell r="W25">
            <v>1.77155261352245</v>
          </cell>
          <cell r="X25">
            <v>1.77155261352245</v>
          </cell>
          <cell r="Y25"/>
          <cell r="Z25"/>
          <cell r="AA25"/>
          <cell r="AB25">
            <v>39387</v>
          </cell>
          <cell r="AC25"/>
          <cell r="AD25">
            <v>1.77155261352245</v>
          </cell>
          <cell r="AE25">
            <v>1.77155261352245</v>
          </cell>
          <cell r="AF25"/>
          <cell r="AG25"/>
          <cell r="AH25"/>
        </row>
        <row r="26">
          <cell r="B26">
            <v>39417</v>
          </cell>
          <cell r="C26">
            <v>1.9543958795857539</v>
          </cell>
          <cell r="D26" t="str">
            <v>c</v>
          </cell>
          <cell r="E26"/>
          <cell r="F26" t="str">
            <v>g</v>
          </cell>
          <cell r="G26">
            <v>3</v>
          </cell>
          <cell r="H26">
            <v>2</v>
          </cell>
          <cell r="I26">
            <v>1.9543958795857539</v>
          </cell>
          <cell r="J26" t="str">
            <v>c</v>
          </cell>
          <cell r="K26"/>
          <cell r="L26" t="str">
            <v>g</v>
          </cell>
          <cell r="M26">
            <v>3</v>
          </cell>
          <cell r="N26">
            <v>2</v>
          </cell>
          <cell r="U26">
            <v>39417</v>
          </cell>
          <cell r="V26"/>
          <cell r="W26">
            <v>1.9543958795857539</v>
          </cell>
          <cell r="X26">
            <v>1.9543958795857539</v>
          </cell>
          <cell r="Y26"/>
          <cell r="Z26"/>
          <cell r="AA26"/>
          <cell r="AB26">
            <v>39417</v>
          </cell>
          <cell r="AC26"/>
          <cell r="AD26">
            <v>1.9543958795857539</v>
          </cell>
          <cell r="AE26">
            <v>1.9543958795857539</v>
          </cell>
          <cell r="AF26"/>
          <cell r="AG26"/>
          <cell r="AH26"/>
        </row>
        <row r="27">
          <cell r="B27">
            <v>39448</v>
          </cell>
          <cell r="C27">
            <v>2.1362801520055696</v>
          </cell>
          <cell r="D27" t="str">
            <v>g</v>
          </cell>
          <cell r="E27"/>
          <cell r="F27" t="str">
            <v>c</v>
          </cell>
          <cell r="G27">
            <v>3</v>
          </cell>
          <cell r="H27">
            <v>2</v>
          </cell>
          <cell r="I27">
            <v>2.1362801520055696</v>
          </cell>
          <cell r="J27" t="str">
            <v>g</v>
          </cell>
          <cell r="K27"/>
          <cell r="L27" t="str">
            <v>c</v>
          </cell>
          <cell r="M27">
            <v>3</v>
          </cell>
          <cell r="N27">
            <v>2</v>
          </cell>
          <cell r="U27">
            <v>39448</v>
          </cell>
          <cell r="V27">
            <v>2.7199378340083298</v>
          </cell>
          <cell r="W27">
            <v>2.1362801520055696</v>
          </cell>
          <cell r="X27">
            <v>-0.58365768200276014</v>
          </cell>
          <cell r="Y27">
            <v>-0.21458493451765148</v>
          </cell>
          <cell r="Z27">
            <v>26.537244736735424</v>
          </cell>
          <cell r="AA27">
            <v>2.1362801520055696</v>
          </cell>
          <cell r="AB27">
            <v>39448</v>
          </cell>
          <cell r="AC27">
            <v>2.7199378340083298</v>
          </cell>
          <cell r="AD27">
            <v>2.1362801520055696</v>
          </cell>
          <cell r="AE27">
            <v>-0.58365768200276014</v>
          </cell>
          <cell r="AF27">
            <v>-0.21458493451765148</v>
          </cell>
          <cell r="AG27">
            <v>26.537244736735424</v>
          </cell>
          <cell r="AH27">
            <v>2.1362801520055696</v>
          </cell>
        </row>
        <row r="28">
          <cell r="B28">
            <v>39479</v>
          </cell>
          <cell r="C28">
            <v>3.0016495568869361</v>
          </cell>
          <cell r="D28" t="str">
            <v>c</v>
          </cell>
          <cell r="E28"/>
          <cell r="F28" t="str">
            <v>g</v>
          </cell>
          <cell r="G28">
            <v>3</v>
          </cell>
          <cell r="H28">
            <v>2</v>
          </cell>
          <cell r="I28">
            <v>3.0016495568869361</v>
          </cell>
          <cell r="J28" t="str">
            <v>c</v>
          </cell>
          <cell r="K28"/>
          <cell r="L28" t="str">
            <v>g</v>
          </cell>
          <cell r="M28">
            <v>3</v>
          </cell>
          <cell r="N28">
            <v>2</v>
          </cell>
          <cell r="U28">
            <v>39479</v>
          </cell>
          <cell r="V28">
            <v>2.7759981109731902</v>
          </cell>
          <cell r="W28">
            <v>3.0016495568869361</v>
          </cell>
          <cell r="X28">
            <v>0.22565144591374597</v>
          </cell>
          <cell r="Y28">
            <v>8.1286599231380041E-2</v>
          </cell>
          <cell r="Z28">
            <v>26.537244736735424</v>
          </cell>
          <cell r="AA28">
            <v>5.1379297088925053</v>
          </cell>
          <cell r="AB28">
            <v>39479</v>
          </cell>
          <cell r="AC28">
            <v>2.7759981109731902</v>
          </cell>
          <cell r="AD28">
            <v>3.0016495568869361</v>
          </cell>
          <cell r="AE28">
            <v>0.22565144591374597</v>
          </cell>
          <cell r="AF28">
            <v>8.1286599231380041E-2</v>
          </cell>
          <cell r="AG28">
            <v>26.537244736735424</v>
          </cell>
          <cell r="AH28">
            <v>5.1379297088925053</v>
          </cell>
        </row>
        <row r="29">
          <cell r="B29">
            <v>39508</v>
          </cell>
          <cell r="C29">
            <v>2.9692761622474286</v>
          </cell>
          <cell r="D29" t="str">
            <v>g</v>
          </cell>
          <cell r="E29"/>
          <cell r="F29" t="str">
            <v>c</v>
          </cell>
          <cell r="G29">
            <v>3</v>
          </cell>
          <cell r="H29">
            <v>2</v>
          </cell>
          <cell r="I29">
            <v>2.9692761622474286</v>
          </cell>
          <cell r="J29" t="str">
            <v>g</v>
          </cell>
          <cell r="K29"/>
          <cell r="L29" t="str">
            <v>c</v>
          </cell>
          <cell r="M29">
            <v>3</v>
          </cell>
          <cell r="N29">
            <v>2</v>
          </cell>
          <cell r="U29">
            <v>39508</v>
          </cell>
          <cell r="V29">
            <v>2.4135991710046736</v>
          </cell>
          <cell r="W29">
            <v>2.9692761622474286</v>
          </cell>
          <cell r="X29">
            <v>0.55567699124275505</v>
          </cell>
          <cell r="Y29">
            <v>0.23022753650161865</v>
          </cell>
          <cell r="Z29">
            <v>26.537244736735424</v>
          </cell>
          <cell r="AA29">
            <v>5.1055563142529987</v>
          </cell>
          <cell r="AB29">
            <v>39508</v>
          </cell>
          <cell r="AC29">
            <v>2.4135991710046736</v>
          </cell>
          <cell r="AD29">
            <v>2.9692761622474286</v>
          </cell>
          <cell r="AE29">
            <v>0.55567699124275505</v>
          </cell>
          <cell r="AF29">
            <v>0.23022753650161865</v>
          </cell>
          <cell r="AG29">
            <v>26.537244736735424</v>
          </cell>
          <cell r="AH29">
            <v>5.1055563142529987</v>
          </cell>
        </row>
        <row r="30">
          <cell r="B30">
            <v>39539</v>
          </cell>
          <cell r="C30">
            <v>2.9220335378706026</v>
          </cell>
          <cell r="D30" t="str">
            <v>g</v>
          </cell>
          <cell r="E30"/>
          <cell r="F30" t="str">
            <v>c</v>
          </cell>
          <cell r="G30">
            <v>3</v>
          </cell>
          <cell r="H30">
            <v>2</v>
          </cell>
          <cell r="I30">
            <v>2.9220335378706026</v>
          </cell>
          <cell r="J30" t="str">
            <v>g</v>
          </cell>
          <cell r="K30"/>
          <cell r="L30" t="str">
            <v>c</v>
          </cell>
          <cell r="M30">
            <v>3</v>
          </cell>
          <cell r="N30">
            <v>2</v>
          </cell>
          <cell r="U30">
            <v>39539</v>
          </cell>
          <cell r="V30">
            <v>1.8827026707757943</v>
          </cell>
          <cell r="W30">
            <v>2.9220335378706026</v>
          </cell>
          <cell r="X30">
            <v>1.0393308670948083</v>
          </cell>
          <cell r="Y30">
            <v>0.55204195714373605</v>
          </cell>
          <cell r="Z30">
            <v>26.537244736735424</v>
          </cell>
          <cell r="AA30">
            <v>5.0583136898761722</v>
          </cell>
          <cell r="AB30">
            <v>39539</v>
          </cell>
          <cell r="AC30">
            <v>1.8827026707757943</v>
          </cell>
          <cell r="AD30">
            <v>2.9220335378706026</v>
          </cell>
          <cell r="AE30">
            <v>1.0393308670948083</v>
          </cell>
          <cell r="AF30">
            <v>0.55204195714373605</v>
          </cell>
          <cell r="AG30">
            <v>26.537244736735424</v>
          </cell>
          <cell r="AH30">
            <v>5.0583136898761722</v>
          </cell>
        </row>
        <row r="31">
          <cell r="B31">
            <v>39569</v>
          </cell>
          <cell r="C31">
            <v>2.8776061082108342</v>
          </cell>
          <cell r="D31" t="str">
            <v>g</v>
          </cell>
          <cell r="E31"/>
          <cell r="F31" t="str">
            <v>c</v>
          </cell>
          <cell r="G31">
            <v>3</v>
          </cell>
          <cell r="H31">
            <v>2</v>
          </cell>
          <cell r="I31">
            <v>2.8776061082108342</v>
          </cell>
          <cell r="J31" t="str">
            <v>g</v>
          </cell>
          <cell r="K31"/>
          <cell r="L31" t="str">
            <v>c</v>
          </cell>
          <cell r="M31">
            <v>3</v>
          </cell>
          <cell r="N31">
            <v>2</v>
          </cell>
          <cell r="U31">
            <v>39569</v>
          </cell>
          <cell r="V31">
            <v>2.5580123959117289</v>
          </cell>
          <cell r="W31">
            <v>2.8776061082108342</v>
          </cell>
          <cell r="X31">
            <v>0.31959371229910527</v>
          </cell>
          <cell r="Y31">
            <v>0.12493829694097136</v>
          </cell>
          <cell r="Z31">
            <v>26.537244736735424</v>
          </cell>
          <cell r="AA31">
            <v>5.0138862602164043</v>
          </cell>
          <cell r="AB31">
            <v>39569</v>
          </cell>
          <cell r="AC31">
            <v>2.5580123959117289</v>
          </cell>
          <cell r="AD31">
            <v>2.8776061082108342</v>
          </cell>
          <cell r="AE31">
            <v>0.31959371229910527</v>
          </cell>
          <cell r="AF31">
            <v>0.12493829694097136</v>
          </cell>
          <cell r="AG31">
            <v>26.537244736735424</v>
          </cell>
          <cell r="AH31">
            <v>5.0138862602164043</v>
          </cell>
        </row>
        <row r="32">
          <cell r="B32">
            <v>39600</v>
          </cell>
          <cell r="C32">
            <v>2.8322774420215255</v>
          </cell>
          <cell r="D32" t="str">
            <v>g</v>
          </cell>
          <cell r="E32"/>
          <cell r="F32" t="str">
            <v>c</v>
          </cell>
          <cell r="G32">
            <v>3</v>
          </cell>
          <cell r="H32">
            <v>2</v>
          </cell>
          <cell r="I32">
            <v>2.8322774420215255</v>
          </cell>
          <cell r="J32" t="str">
            <v>g</v>
          </cell>
          <cell r="K32"/>
          <cell r="L32" t="str">
            <v>c</v>
          </cell>
          <cell r="M32">
            <v>3</v>
          </cell>
          <cell r="N32">
            <v>2</v>
          </cell>
          <cell r="U32">
            <v>39600</v>
          </cell>
          <cell r="V32">
            <v>2.6197051716570279</v>
          </cell>
          <cell r="W32">
            <v>2.8322774420215255</v>
          </cell>
          <cell r="X32">
            <v>0.21257227036449766</v>
          </cell>
          <cell r="Y32">
            <v>8.1143585417301267E-2</v>
          </cell>
          <cell r="Z32">
            <v>26.537244736735424</v>
          </cell>
          <cell r="AA32">
            <v>4.9685575940270947</v>
          </cell>
          <cell r="AB32">
            <v>39600</v>
          </cell>
          <cell r="AC32">
            <v>2.6197051716570279</v>
          </cell>
          <cell r="AD32">
            <v>2.8322774420215255</v>
          </cell>
          <cell r="AE32">
            <v>0.21257227036449766</v>
          </cell>
          <cell r="AF32">
            <v>8.1143585417301267E-2</v>
          </cell>
          <cell r="AG32">
            <v>26.537244736735424</v>
          </cell>
          <cell r="AH32">
            <v>4.9685575940270947</v>
          </cell>
        </row>
        <row r="33">
          <cell r="B33">
            <v>39630</v>
          </cell>
          <cell r="C33">
            <v>2.8849485227064151</v>
          </cell>
          <cell r="D33" t="str">
            <v>g</v>
          </cell>
          <cell r="E33"/>
          <cell r="F33" t="str">
            <v>c</v>
          </cell>
          <cell r="G33">
            <v>3</v>
          </cell>
          <cell r="H33">
            <v>2</v>
          </cell>
          <cell r="I33">
            <v>2.8849485227064151</v>
          </cell>
          <cell r="J33" t="str">
            <v>g</v>
          </cell>
          <cell r="K33"/>
          <cell r="L33" t="str">
            <v>c</v>
          </cell>
          <cell r="M33">
            <v>3</v>
          </cell>
          <cell r="N33">
            <v>2</v>
          </cell>
          <cell r="U33">
            <v>39630</v>
          </cell>
          <cell r="V33">
            <v>2.6170406035293077</v>
          </cell>
          <cell r="W33">
            <v>2.8849485227064151</v>
          </cell>
          <cell r="X33">
            <v>0.26790791917710743</v>
          </cell>
          <cell r="Y33">
            <v>0.10237056269429301</v>
          </cell>
          <cell r="Z33">
            <v>26.537244736735424</v>
          </cell>
          <cell r="AA33">
            <v>5.0212286747119848</v>
          </cell>
          <cell r="AB33">
            <v>39630</v>
          </cell>
          <cell r="AC33">
            <v>2.6170406035293077</v>
          </cell>
          <cell r="AD33">
            <v>2.8849485227064151</v>
          </cell>
          <cell r="AE33">
            <v>0.26790791917710743</v>
          </cell>
          <cell r="AF33">
            <v>0.10237056269429301</v>
          </cell>
          <cell r="AG33">
            <v>26.537244736735424</v>
          </cell>
          <cell r="AH33">
            <v>5.0212286747119848</v>
          </cell>
        </row>
        <row r="34">
          <cell r="B34">
            <v>39661</v>
          </cell>
          <cell r="C34">
            <v>2.880616303313893</v>
          </cell>
          <cell r="D34" t="str">
            <v>g</v>
          </cell>
          <cell r="E34"/>
          <cell r="F34" t="str">
            <v>c</v>
          </cell>
          <cell r="G34">
            <v>3</v>
          </cell>
          <cell r="H34">
            <v>2</v>
          </cell>
          <cell r="I34">
            <v>2.880616303313893</v>
          </cell>
          <cell r="J34" t="str">
            <v>g</v>
          </cell>
          <cell r="K34"/>
          <cell r="L34" t="str">
            <v>c</v>
          </cell>
          <cell r="M34">
            <v>3</v>
          </cell>
          <cell r="N34">
            <v>2</v>
          </cell>
          <cell r="U34">
            <v>39661</v>
          </cell>
          <cell r="V34">
            <v>1.7070318960731898</v>
          </cell>
          <cell r="W34">
            <v>2.880616303313893</v>
          </cell>
          <cell r="X34">
            <v>1.1735844072407031</v>
          </cell>
          <cell r="Y34">
            <v>0.68749998751656904</v>
          </cell>
          <cell r="Z34">
            <v>26.537244736735424</v>
          </cell>
          <cell r="AA34">
            <v>5.016896455319463</v>
          </cell>
          <cell r="AB34">
            <v>39661</v>
          </cell>
          <cell r="AC34">
            <v>1.7070318960731898</v>
          </cell>
          <cell r="AD34">
            <v>2.880616303313893</v>
          </cell>
          <cell r="AE34">
            <v>1.1735844072407031</v>
          </cell>
          <cell r="AF34">
            <v>0.68749998751656904</v>
          </cell>
          <cell r="AG34">
            <v>26.537244736735424</v>
          </cell>
          <cell r="AH34">
            <v>5.016896455319463</v>
          </cell>
        </row>
        <row r="35">
          <cell r="B35">
            <v>39692</v>
          </cell>
          <cell r="C35">
            <v>2.6257442777386784</v>
          </cell>
          <cell r="D35" t="str">
            <v>g</v>
          </cell>
          <cell r="E35"/>
          <cell r="F35" t="str">
            <v>c</v>
          </cell>
          <cell r="G35">
            <v>3</v>
          </cell>
          <cell r="H35">
            <v>2</v>
          </cell>
          <cell r="I35">
            <v>2.6257442777386784</v>
          </cell>
          <cell r="J35" t="str">
            <v>g</v>
          </cell>
          <cell r="K35"/>
          <cell r="L35" t="str">
            <v>c</v>
          </cell>
          <cell r="M35">
            <v>3</v>
          </cell>
          <cell r="N35">
            <v>2</v>
          </cell>
          <cell r="U35">
            <v>39692</v>
          </cell>
          <cell r="V35">
            <v>1.7527298458321419</v>
          </cell>
          <cell r="W35">
            <v>2.6257442777386784</v>
          </cell>
          <cell r="X35">
            <v>0.87301443190653649</v>
          </cell>
          <cell r="Y35">
            <v>0.49808841561207973</v>
          </cell>
          <cell r="Z35">
            <v>26.537244736735424</v>
          </cell>
          <cell r="AA35">
            <v>4.7620244297442476</v>
          </cell>
          <cell r="AB35">
            <v>39692</v>
          </cell>
          <cell r="AC35">
            <v>1.7527298458321419</v>
          </cell>
          <cell r="AD35">
            <v>2.6257442777386784</v>
          </cell>
          <cell r="AE35">
            <v>0.87301443190653649</v>
          </cell>
          <cell r="AF35">
            <v>0.49808841561207973</v>
          </cell>
          <cell r="AG35">
            <v>26.537244736735424</v>
          </cell>
          <cell r="AH35">
            <v>4.7620244297442476</v>
          </cell>
        </row>
        <row r="36">
          <cell r="B36">
            <v>39722</v>
          </cell>
          <cell r="C36">
            <v>2.5714980525740501</v>
          </cell>
          <cell r="D36" t="str">
            <v>g</v>
          </cell>
          <cell r="E36"/>
          <cell r="F36" t="str">
            <v>c</v>
          </cell>
          <cell r="G36">
            <v>3</v>
          </cell>
          <cell r="H36">
            <v>2</v>
          </cell>
          <cell r="I36">
            <v>2.5714980525740501</v>
          </cell>
          <cell r="J36" t="str">
            <v>g</v>
          </cell>
          <cell r="K36"/>
          <cell r="L36" t="str">
            <v>c</v>
          </cell>
          <cell r="M36">
            <v>3</v>
          </cell>
          <cell r="N36">
            <v>2</v>
          </cell>
          <cell r="U36">
            <v>39722</v>
          </cell>
          <cell r="V36">
            <v>1.7645385438618391</v>
          </cell>
          <cell r="W36">
            <v>2.5714980525740501</v>
          </cell>
          <cell r="X36">
            <v>0.806959508712211</v>
          </cell>
          <cell r="Y36">
            <v>0.45732042041207732</v>
          </cell>
          <cell r="Z36">
            <v>26.537244736735424</v>
          </cell>
          <cell r="AA36">
            <v>4.7077782045796202</v>
          </cell>
          <cell r="AB36">
            <v>39722</v>
          </cell>
          <cell r="AC36">
            <v>1.7645385438618391</v>
          </cell>
          <cell r="AD36">
            <v>2.5714980525740501</v>
          </cell>
          <cell r="AE36">
            <v>0.806959508712211</v>
          </cell>
          <cell r="AF36">
            <v>0.45732042041207732</v>
          </cell>
          <cell r="AG36">
            <v>26.537244736735424</v>
          </cell>
          <cell r="AH36">
            <v>4.7077782045796202</v>
          </cell>
        </row>
        <row r="37">
          <cell r="B37">
            <v>39753</v>
          </cell>
          <cell r="C37">
            <v>2.4761869896399644</v>
          </cell>
          <cell r="D37" t="str">
            <v>g</v>
          </cell>
          <cell r="E37"/>
          <cell r="F37" t="str">
            <v>c</v>
          </cell>
          <cell r="G37">
            <v>3</v>
          </cell>
          <cell r="H37">
            <v>2</v>
          </cell>
          <cell r="I37">
            <v>2.4761869896399644</v>
          </cell>
          <cell r="J37" t="str">
            <v>g</v>
          </cell>
          <cell r="K37"/>
          <cell r="L37" t="str">
            <v>c</v>
          </cell>
          <cell r="M37">
            <v>3</v>
          </cell>
          <cell r="N37">
            <v>2</v>
          </cell>
          <cell r="U37">
            <v>39753</v>
          </cell>
          <cell r="V37">
            <v>1.77155261352245</v>
          </cell>
          <cell r="W37">
            <v>2.4761869896399644</v>
          </cell>
          <cell r="X37">
            <v>0.70463437611751445</v>
          </cell>
          <cell r="Y37">
            <v>0.39774961846403278</v>
          </cell>
          <cell r="Z37">
            <v>26.537244736735424</v>
          </cell>
          <cell r="AA37">
            <v>4.6124671416455341</v>
          </cell>
          <cell r="AB37">
            <v>39753</v>
          </cell>
          <cell r="AC37">
            <v>1.77155261352245</v>
          </cell>
          <cell r="AD37">
            <v>2.4761869896399644</v>
          </cell>
          <cell r="AE37">
            <v>0.70463437611751445</v>
          </cell>
          <cell r="AF37">
            <v>0.39774961846403278</v>
          </cell>
          <cell r="AG37">
            <v>26.537244736735424</v>
          </cell>
          <cell r="AH37">
            <v>4.6124671416455341</v>
          </cell>
        </row>
        <row r="38">
          <cell r="B38">
            <v>39783</v>
          </cell>
          <cell r="C38">
            <v>2.1421687482556426</v>
          </cell>
          <cell r="D38" t="str">
            <v>g</v>
          </cell>
          <cell r="E38"/>
          <cell r="F38" t="str">
            <v>c</v>
          </cell>
          <cell r="G38">
            <v>3</v>
          </cell>
          <cell r="H38">
            <v>2</v>
          </cell>
          <cell r="I38">
            <v>2.1421687482556426</v>
          </cell>
          <cell r="J38" t="str">
            <v>g</v>
          </cell>
          <cell r="K38"/>
          <cell r="L38" t="str">
            <v>c</v>
          </cell>
          <cell r="M38">
            <v>3</v>
          </cell>
          <cell r="N38">
            <v>2</v>
          </cell>
          <cell r="U38">
            <v>39783</v>
          </cell>
          <cell r="V38">
            <v>1.9543958795857539</v>
          </cell>
          <cell r="W38">
            <v>2.1421687482556426</v>
          </cell>
          <cell r="X38">
            <v>0.18777286866988874</v>
          </cell>
          <cell r="Y38">
            <v>9.607719225732736E-2</v>
          </cell>
          <cell r="Z38">
            <v>26.537244736735424</v>
          </cell>
          <cell r="AA38">
            <v>4.2784489002612123</v>
          </cell>
          <cell r="AB38">
            <v>39783</v>
          </cell>
          <cell r="AC38">
            <v>1.9543958795857539</v>
          </cell>
          <cell r="AD38">
            <v>2.1421687482556426</v>
          </cell>
          <cell r="AE38">
            <v>0.18777286866988874</v>
          </cell>
          <cell r="AF38">
            <v>9.607719225732736E-2</v>
          </cell>
          <cell r="AG38">
            <v>26.537244736735424</v>
          </cell>
          <cell r="AH38">
            <v>4.2784489002612123</v>
          </cell>
        </row>
        <row r="39">
          <cell r="B39">
            <v>39814</v>
          </cell>
          <cell r="C39" t="str">
            <v/>
          </cell>
          <cell r="D39" t="str">
            <v/>
          </cell>
          <cell r="E39"/>
          <cell r="F39" t="str">
            <v/>
          </cell>
          <cell r="G39">
            <v>3</v>
          </cell>
          <cell r="H39">
            <v>2</v>
          </cell>
          <cell r="I39" t="str">
            <v/>
          </cell>
          <cell r="J39" t="str">
            <v/>
          </cell>
          <cell r="K39"/>
          <cell r="L39" t="str">
            <v/>
          </cell>
          <cell r="M39">
            <v>3</v>
          </cell>
          <cell r="N39">
            <v>2</v>
          </cell>
          <cell r="U39">
            <v>39814</v>
          </cell>
          <cell r="V39">
            <v>2.1362801520055696</v>
          </cell>
          <cell r="W39" t="str">
            <v/>
          </cell>
          <cell r="X39" t="str">
            <v/>
          </cell>
          <cell r="Y39" t="str">
            <v/>
          </cell>
          <cell r="Z39"/>
          <cell r="AA39" t="e">
            <v>#VALUE!</v>
          </cell>
          <cell r="AB39">
            <v>39814</v>
          </cell>
          <cell r="AC39">
            <v>2.1362801520055696</v>
          </cell>
          <cell r="AD39" t="str">
            <v/>
          </cell>
          <cell r="AE39" t="str">
            <v/>
          </cell>
          <cell r="AF39" t="str">
            <v/>
          </cell>
          <cell r="AG39"/>
          <cell r="AH39" t="e">
            <v>#VALUE!</v>
          </cell>
        </row>
        <row r="40">
          <cell r="B40">
            <v>39845</v>
          </cell>
          <cell r="C40" t="str">
            <v/>
          </cell>
          <cell r="D40" t="str">
            <v/>
          </cell>
          <cell r="E40"/>
          <cell r="F40" t="str">
            <v/>
          </cell>
          <cell r="G40">
            <v>3</v>
          </cell>
          <cell r="H40">
            <v>2</v>
          </cell>
          <cell r="I40" t="str">
            <v/>
          </cell>
          <cell r="J40" t="str">
            <v/>
          </cell>
          <cell r="K40"/>
          <cell r="L40" t="str">
            <v/>
          </cell>
          <cell r="M40">
            <v>3</v>
          </cell>
          <cell r="N40">
            <v>2</v>
          </cell>
          <cell r="U40"/>
          <cell r="V40"/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/>
          <cell r="AH40"/>
        </row>
        <row r="41">
          <cell r="B41">
            <v>39873</v>
          </cell>
          <cell r="C41" t="str">
            <v/>
          </cell>
          <cell r="D41" t="str">
            <v/>
          </cell>
          <cell r="E41"/>
          <cell r="F41" t="str">
            <v/>
          </cell>
          <cell r="G41">
            <v>3</v>
          </cell>
          <cell r="H41">
            <v>2</v>
          </cell>
          <cell r="I41" t="str">
            <v/>
          </cell>
          <cell r="J41" t="str">
            <v/>
          </cell>
          <cell r="K41"/>
          <cell r="L41" t="str">
            <v/>
          </cell>
          <cell r="M41">
            <v>3</v>
          </cell>
          <cell r="N41">
            <v>2</v>
          </cell>
          <cell r="U41"/>
          <cell r="V41"/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  <cell r="AH41"/>
        </row>
        <row r="42">
          <cell r="B42">
            <v>39904</v>
          </cell>
          <cell r="C42" t="str">
            <v/>
          </cell>
          <cell r="D42" t="str">
            <v/>
          </cell>
          <cell r="E42"/>
          <cell r="F42" t="str">
            <v/>
          </cell>
          <cell r="G42">
            <v>3</v>
          </cell>
          <cell r="H42">
            <v>2</v>
          </cell>
          <cell r="I42" t="str">
            <v/>
          </cell>
          <cell r="J42" t="str">
            <v/>
          </cell>
          <cell r="K42"/>
          <cell r="L42" t="str">
            <v/>
          </cell>
          <cell r="M42">
            <v>3</v>
          </cell>
          <cell r="N42">
            <v>2</v>
          </cell>
          <cell r="U42"/>
          <cell r="V42"/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  <cell r="AH42"/>
        </row>
        <row r="43">
          <cell r="B43">
            <v>39934</v>
          </cell>
          <cell r="C43" t="str">
            <v/>
          </cell>
          <cell r="D43" t="str">
            <v/>
          </cell>
          <cell r="E43"/>
          <cell r="F43" t="str">
            <v/>
          </cell>
          <cell r="G43">
            <v>3</v>
          </cell>
          <cell r="H43">
            <v>2</v>
          </cell>
          <cell r="I43" t="str">
            <v/>
          </cell>
          <cell r="J43" t="str">
            <v/>
          </cell>
          <cell r="K43"/>
          <cell r="L43" t="str">
            <v/>
          </cell>
          <cell r="M43">
            <v>3</v>
          </cell>
          <cell r="N43">
            <v>2</v>
          </cell>
          <cell r="U43"/>
          <cell r="V43"/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  <cell r="AH43"/>
        </row>
        <row r="44">
          <cell r="B44">
            <v>39965</v>
          </cell>
          <cell r="C44" t="str">
            <v/>
          </cell>
          <cell r="D44" t="str">
            <v/>
          </cell>
          <cell r="E44"/>
          <cell r="F44" t="str">
            <v/>
          </cell>
          <cell r="G44">
            <v>3</v>
          </cell>
          <cell r="H44">
            <v>2</v>
          </cell>
          <cell r="I44" t="str">
            <v/>
          </cell>
          <cell r="J44" t="str">
            <v/>
          </cell>
          <cell r="K44"/>
          <cell r="L44" t="str">
            <v/>
          </cell>
          <cell r="M44">
            <v>3</v>
          </cell>
          <cell r="N44">
            <v>2</v>
          </cell>
          <cell r="U44"/>
          <cell r="V44"/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</row>
        <row r="45">
          <cell r="B45">
            <v>39995</v>
          </cell>
          <cell r="C45" t="str">
            <v/>
          </cell>
          <cell r="D45" t="str">
            <v/>
          </cell>
          <cell r="E45"/>
          <cell r="F45" t="str">
            <v/>
          </cell>
          <cell r="G45">
            <v>3</v>
          </cell>
          <cell r="H45">
            <v>2</v>
          </cell>
          <cell r="I45" t="str">
            <v/>
          </cell>
          <cell r="J45" t="str">
            <v/>
          </cell>
          <cell r="K45"/>
          <cell r="L45" t="str">
            <v/>
          </cell>
          <cell r="M45">
            <v>3</v>
          </cell>
          <cell r="N45">
            <v>2</v>
          </cell>
          <cell r="U45"/>
          <cell r="V45"/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</row>
        <row r="46">
          <cell r="B46">
            <v>40026</v>
          </cell>
          <cell r="C46" t="str">
            <v/>
          </cell>
          <cell r="D46" t="str">
            <v/>
          </cell>
          <cell r="E46"/>
          <cell r="F46" t="str">
            <v/>
          </cell>
          <cell r="G46">
            <v>3</v>
          </cell>
          <cell r="H46">
            <v>2</v>
          </cell>
          <cell r="I46" t="str">
            <v/>
          </cell>
          <cell r="J46" t="str">
            <v/>
          </cell>
          <cell r="K46"/>
          <cell r="L46" t="str">
            <v/>
          </cell>
          <cell r="M46">
            <v>3</v>
          </cell>
          <cell r="N46">
            <v>2</v>
          </cell>
          <cell r="U46"/>
          <cell r="V46"/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/>
        </row>
        <row r="47">
          <cell r="B47">
            <v>40057</v>
          </cell>
          <cell r="C47" t="str">
            <v/>
          </cell>
          <cell r="D47" t="str">
            <v/>
          </cell>
          <cell r="E47"/>
          <cell r="F47" t="str">
            <v/>
          </cell>
          <cell r="G47">
            <v>3</v>
          </cell>
          <cell r="H47">
            <v>2</v>
          </cell>
          <cell r="I47" t="str">
            <v/>
          </cell>
          <cell r="J47" t="str">
            <v/>
          </cell>
          <cell r="K47"/>
          <cell r="L47" t="str">
            <v/>
          </cell>
          <cell r="M47">
            <v>3</v>
          </cell>
          <cell r="N47">
            <v>2</v>
          </cell>
          <cell r="U47"/>
          <cell r="V47"/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  <cell r="AH47"/>
        </row>
        <row r="48">
          <cell r="B48">
            <v>40087</v>
          </cell>
          <cell r="C48" t="str">
            <v/>
          </cell>
          <cell r="D48" t="str">
            <v/>
          </cell>
          <cell r="E48"/>
          <cell r="F48" t="str">
            <v/>
          </cell>
          <cell r="G48">
            <v>3</v>
          </cell>
          <cell r="H48">
            <v>2</v>
          </cell>
          <cell r="I48" t="str">
            <v/>
          </cell>
          <cell r="J48" t="str">
            <v/>
          </cell>
          <cell r="K48"/>
          <cell r="L48" t="str">
            <v/>
          </cell>
          <cell r="M48">
            <v>3</v>
          </cell>
          <cell r="N48">
            <v>2</v>
          </cell>
          <cell r="U48"/>
          <cell r="V48"/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</row>
        <row r="49">
          <cell r="B49">
            <v>40118</v>
          </cell>
          <cell r="C49" t="str">
            <v/>
          </cell>
          <cell r="D49" t="str">
            <v/>
          </cell>
          <cell r="E49"/>
          <cell r="F49" t="str">
            <v/>
          </cell>
          <cell r="G49">
            <v>3</v>
          </cell>
          <cell r="H49">
            <v>2</v>
          </cell>
          <cell r="I49" t="str">
            <v/>
          </cell>
          <cell r="J49" t="str">
            <v/>
          </cell>
          <cell r="K49"/>
          <cell r="L49" t="str">
            <v/>
          </cell>
          <cell r="M49">
            <v>3</v>
          </cell>
          <cell r="N49">
            <v>2</v>
          </cell>
          <cell r="U49"/>
          <cell r="V49"/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</row>
        <row r="50">
          <cell r="B50">
            <v>40148</v>
          </cell>
          <cell r="C50" t="str">
            <v/>
          </cell>
          <cell r="D50" t="str">
            <v/>
          </cell>
          <cell r="E50"/>
          <cell r="F50" t="str">
            <v/>
          </cell>
          <cell r="G50">
            <v>3</v>
          </cell>
          <cell r="H50">
            <v>2</v>
          </cell>
          <cell r="I50" t="str">
            <v/>
          </cell>
          <cell r="J50" t="str">
            <v/>
          </cell>
          <cell r="K50"/>
          <cell r="L50" t="str">
            <v/>
          </cell>
          <cell r="M50">
            <v>3</v>
          </cell>
          <cell r="N50">
            <v>2</v>
          </cell>
          <cell r="U50"/>
          <cell r="V50"/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</row>
        <row r="51">
          <cell r="B51">
            <v>39904</v>
          </cell>
          <cell r="C51" t="str">
            <v/>
          </cell>
          <cell r="D51" t="str">
            <v/>
          </cell>
          <cell r="E51"/>
          <cell r="F51" t="str">
            <v/>
          </cell>
          <cell r="G51">
            <v>3</v>
          </cell>
          <cell r="H51">
            <v>2</v>
          </cell>
          <cell r="I51" t="str">
            <v/>
          </cell>
          <cell r="J51" t="str">
            <v/>
          </cell>
          <cell r="K51"/>
          <cell r="L51" t="str">
            <v/>
          </cell>
          <cell r="M51">
            <v>3</v>
          </cell>
          <cell r="N51">
            <v>2</v>
          </cell>
          <cell r="U51"/>
          <cell r="V51"/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</row>
      </sheetData>
      <sheetData sheetId="63">
        <row r="13">
          <cell r="R13"/>
          <cell r="S13"/>
          <cell r="U13"/>
          <cell r="V13"/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</row>
        <row r="14">
          <cell r="R14"/>
          <cell r="S14"/>
          <cell r="T14" t="str">
            <v>Avance Margen Operativo</v>
          </cell>
          <cell r="U14"/>
          <cell r="V14"/>
          <cell r="W14" t="str">
            <v>Var 1.</v>
          </cell>
          <cell r="X14"/>
          <cell r="Y14" t="str">
            <v>Var. 2</v>
          </cell>
          <cell r="Z14"/>
          <cell r="AA14"/>
          <cell r="AB14" t="str">
            <v>Cumplimiento Proyectado  TM</v>
          </cell>
          <cell r="AC14"/>
          <cell r="AD14"/>
          <cell r="AE14" t="str">
            <v>Var 1.</v>
          </cell>
          <cell r="AF14"/>
          <cell r="AG14" t="str">
            <v>Var. 2</v>
          </cell>
          <cell r="AH14"/>
          <cell r="AI14"/>
          <cell r="AJ14" t="str">
            <v>Acum. Margen Operativo</v>
          </cell>
          <cell r="AK14"/>
          <cell r="AL14"/>
          <cell r="AM14" t="str">
            <v>Var 1.</v>
          </cell>
          <cell r="AN14"/>
          <cell r="AO14" t="str">
            <v>Var. 2</v>
          </cell>
          <cell r="AP14"/>
          <cell r="AQ14" t="str">
            <v>Acumula</v>
          </cell>
          <cell r="AR14"/>
        </row>
        <row r="15">
          <cell r="R15" t="str">
            <v>Fecha</v>
          </cell>
          <cell r="S15" t="str">
            <v>TIPO</v>
          </cell>
          <cell r="T15" t="str">
            <v>Anteriores</v>
          </cell>
          <cell r="U15" t="str">
            <v>Real</v>
          </cell>
          <cell r="V15" t="str">
            <v>Programado</v>
          </cell>
          <cell r="W15" t="str">
            <v>Unidades</v>
          </cell>
          <cell r="X15" t="str">
            <v>%</v>
          </cell>
          <cell r="Y15" t="str">
            <v>Unidades</v>
          </cell>
          <cell r="Z15" t="str">
            <v>%</v>
          </cell>
          <cell r="AA15"/>
          <cell r="AB15" t="str">
            <v>Anteriores</v>
          </cell>
          <cell r="AC15" t="str">
            <v>Real</v>
          </cell>
          <cell r="AD15" t="str">
            <v>Inicial</v>
          </cell>
          <cell r="AE15" t="str">
            <v>Unidades</v>
          </cell>
          <cell r="AF15" t="str">
            <v>%</v>
          </cell>
          <cell r="AG15" t="str">
            <v>Unidades</v>
          </cell>
          <cell r="AH15" t="str">
            <v>%</v>
          </cell>
          <cell r="AI15"/>
          <cell r="AJ15" t="str">
            <v>Anterior</v>
          </cell>
          <cell r="AK15" t="str">
            <v>Real</v>
          </cell>
          <cell r="AL15" t="str">
            <v>Programado</v>
          </cell>
          <cell r="AM15" t="str">
            <v>Unidades</v>
          </cell>
          <cell r="AN15" t="str">
            <v>%</v>
          </cell>
          <cell r="AO15" t="str">
            <v>Unidades</v>
          </cell>
          <cell r="AP15" t="str">
            <v>%</v>
          </cell>
          <cell r="AQ15" t="str">
            <v>PPTO</v>
          </cell>
          <cell r="AR15" t="str">
            <v>Avance</v>
          </cell>
        </row>
        <row r="16">
          <cell r="B16">
            <v>39083</v>
          </cell>
          <cell r="C16">
            <v>39083</v>
          </cell>
          <cell r="D16" t="str">
            <v>GLOBAL</v>
          </cell>
          <cell r="E16">
            <v>0.11718118674759408</v>
          </cell>
          <cell r="F16" t="str">
            <v>c</v>
          </cell>
          <cell r="G16" t="str">
            <v>c</v>
          </cell>
          <cell r="H16" t="str">
            <v>g</v>
          </cell>
          <cell r="I16">
            <v>0.22</v>
          </cell>
          <cell r="J16">
            <v>0.19</v>
          </cell>
          <cell r="K16">
            <v>0.11718118674759408</v>
          </cell>
          <cell r="L16" t="str">
            <v>c</v>
          </cell>
          <cell r="M16" t="str">
            <v>c</v>
          </cell>
          <cell r="N16" t="str">
            <v>g</v>
          </cell>
          <cell r="O16">
            <v>0.22</v>
          </cell>
          <cell r="P16">
            <v>0.19</v>
          </cell>
          <cell r="R16">
            <v>39083</v>
          </cell>
          <cell r="S16" t="str">
            <v>GLOBAL</v>
          </cell>
          <cell r="T16"/>
          <cell r="U16">
            <v>0.11718118674759408</v>
          </cell>
          <cell r="V16">
            <v>0</v>
          </cell>
          <cell r="W16">
            <v>0.11718118674759408</v>
          </cell>
          <cell r="X16"/>
          <cell r="Y16">
            <v>0.11718118674759408</v>
          </cell>
          <cell r="Z16" t="e">
            <v>#DIV/0!</v>
          </cell>
          <cell r="AA16"/>
          <cell r="AB16"/>
          <cell r="AC16">
            <v>1611173.2343381064</v>
          </cell>
          <cell r="AD16">
            <v>0</v>
          </cell>
          <cell r="AE16">
            <v>1611173.2343381064</v>
          </cell>
          <cell r="AF16">
            <v>-1</v>
          </cell>
          <cell r="AG16">
            <v>1611173.2343381064</v>
          </cell>
          <cell r="AH16">
            <v>-1</v>
          </cell>
          <cell r="AI16"/>
          <cell r="AJ16"/>
          <cell r="AK16">
            <v>0.11718118674759408</v>
          </cell>
          <cell r="AL16">
            <v>0</v>
          </cell>
          <cell r="AM16">
            <v>0.11718118674759408</v>
          </cell>
          <cell r="AN16"/>
          <cell r="AO16">
            <v>0.11718118674759408</v>
          </cell>
          <cell r="AP16" t="e">
            <v>#DIV/0!</v>
          </cell>
          <cell r="AQ16">
            <v>0</v>
          </cell>
          <cell r="AR16" t="e">
            <v>#DIV/0!</v>
          </cell>
        </row>
        <row r="17">
          <cell r="B17">
            <v>39114</v>
          </cell>
          <cell r="C17">
            <v>39114</v>
          </cell>
          <cell r="D17" t="str">
            <v>GLOBAL</v>
          </cell>
          <cell r="E17">
            <v>0.12248726219722468</v>
          </cell>
          <cell r="F17" t="str">
            <v>c</v>
          </cell>
          <cell r="G17" t="str">
            <v>c</v>
          </cell>
          <cell r="H17" t="str">
            <v>g</v>
          </cell>
          <cell r="I17">
            <v>0.22</v>
          </cell>
          <cell r="J17">
            <v>0.19</v>
          </cell>
          <cell r="K17">
            <v>0.11968125338814717</v>
          </cell>
          <cell r="L17" t="str">
            <v>c</v>
          </cell>
          <cell r="M17" t="str">
            <v>c</v>
          </cell>
          <cell r="N17" t="str">
            <v>g</v>
          </cell>
          <cell r="O17">
            <v>0.22</v>
          </cell>
          <cell r="P17">
            <v>0.19</v>
          </cell>
          <cell r="R17">
            <v>39114</v>
          </cell>
          <cell r="S17" t="str">
            <v>GLOBAL</v>
          </cell>
          <cell r="T17"/>
          <cell r="U17">
            <v>0.12248726219722468</v>
          </cell>
          <cell r="V17">
            <v>0</v>
          </cell>
          <cell r="W17">
            <v>0.12248726219722468</v>
          </cell>
          <cell r="X17"/>
          <cell r="Y17">
            <v>0.12248726219722468</v>
          </cell>
          <cell r="Z17" t="e">
            <v>#DIV/0!</v>
          </cell>
          <cell r="AA17"/>
          <cell r="AB17"/>
          <cell r="AC17">
            <v>1500506.3205309727</v>
          </cell>
          <cell r="AD17">
            <v>0</v>
          </cell>
          <cell r="AE17">
            <v>1500506.3205309727</v>
          </cell>
          <cell r="AF17">
            <v>-1</v>
          </cell>
          <cell r="AG17">
            <v>1500506.3205309727</v>
          </cell>
          <cell r="AH17">
            <v>-1</v>
          </cell>
          <cell r="AI17"/>
          <cell r="AJ17"/>
          <cell r="AK17">
            <v>0.11968125338814717</v>
          </cell>
          <cell r="AL17">
            <v>0</v>
          </cell>
          <cell r="AM17">
            <v>0.11968125338814717</v>
          </cell>
          <cell r="AN17"/>
          <cell r="AO17">
            <v>0.11968125338814717</v>
          </cell>
          <cell r="AP17" t="e">
            <v>#DIV/0!</v>
          </cell>
          <cell r="AQ17">
            <v>0</v>
          </cell>
          <cell r="AR17" t="e">
            <v>#DIV/0!</v>
          </cell>
        </row>
        <row r="18">
          <cell r="B18">
            <v>39142</v>
          </cell>
          <cell r="C18">
            <v>39142</v>
          </cell>
          <cell r="D18" t="str">
            <v>GLOBAL</v>
          </cell>
          <cell r="E18">
            <v>0.15980628968729577</v>
          </cell>
          <cell r="F18" t="str">
            <v>c</v>
          </cell>
          <cell r="G18" t="str">
            <v>c</v>
          </cell>
          <cell r="H18" t="str">
            <v>g</v>
          </cell>
          <cell r="I18">
            <v>0.22000000000000003</v>
          </cell>
          <cell r="J18">
            <v>0.19000000000000006</v>
          </cell>
          <cell r="K18">
            <v>0.13472499838642918</v>
          </cell>
          <cell r="L18" t="str">
            <v>c</v>
          </cell>
          <cell r="M18" t="str">
            <v>c</v>
          </cell>
          <cell r="N18" t="str">
            <v>g</v>
          </cell>
          <cell r="O18">
            <v>0.22000000000000003</v>
          </cell>
          <cell r="P18">
            <v>0.19000000000000006</v>
          </cell>
          <cell r="R18">
            <v>39142</v>
          </cell>
          <cell r="S18" t="str">
            <v>GLOBAL</v>
          </cell>
          <cell r="T18"/>
          <cell r="U18">
            <v>0.15980628968729577</v>
          </cell>
          <cell r="V18">
            <v>0</v>
          </cell>
          <cell r="W18">
            <v>0.15980628968729577</v>
          </cell>
          <cell r="X18"/>
          <cell r="Y18">
            <v>0.15980628968729577</v>
          </cell>
          <cell r="Z18" t="e">
            <v>#DIV/0!</v>
          </cell>
          <cell r="AA18"/>
          <cell r="AB18"/>
          <cell r="AC18">
            <v>2492118.4300000006</v>
          </cell>
          <cell r="AD18">
            <v>0</v>
          </cell>
          <cell r="AE18">
            <v>2492118.4300000006</v>
          </cell>
          <cell r="AF18">
            <v>-1</v>
          </cell>
          <cell r="AG18">
            <v>2492118.4300000006</v>
          </cell>
          <cell r="AH18">
            <v>-1</v>
          </cell>
          <cell r="AI18"/>
          <cell r="AJ18"/>
          <cell r="AK18">
            <v>0.13472499838642918</v>
          </cell>
          <cell r="AL18">
            <v>0</v>
          </cell>
          <cell r="AM18">
            <v>0.13472499838642918</v>
          </cell>
          <cell r="AN18"/>
          <cell r="AO18">
            <v>0.13472499838642918</v>
          </cell>
          <cell r="AP18" t="e">
            <v>#DIV/0!</v>
          </cell>
          <cell r="AQ18">
            <v>0</v>
          </cell>
          <cell r="AR18" t="e">
            <v>#DIV/0!</v>
          </cell>
        </row>
        <row r="19">
          <cell r="B19">
            <v>39173</v>
          </cell>
          <cell r="C19">
            <v>39173</v>
          </cell>
          <cell r="D19" t="str">
            <v>GLOBAL</v>
          </cell>
          <cell r="E19">
            <v>0.11247831127825389</v>
          </cell>
          <cell r="F19" t="str">
            <v>c</v>
          </cell>
          <cell r="G19" t="str">
            <v>c</v>
          </cell>
          <cell r="H19" t="str">
            <v>g</v>
          </cell>
          <cell r="I19">
            <v>0.21999999999999997</v>
          </cell>
          <cell r="J19">
            <v>0.18999999999999995</v>
          </cell>
          <cell r="K19">
            <v>0.12927587553882813</v>
          </cell>
          <cell r="L19" t="str">
            <v>c</v>
          </cell>
          <cell r="M19" t="str">
            <v>c</v>
          </cell>
          <cell r="N19" t="str">
            <v>g</v>
          </cell>
          <cell r="O19">
            <v>0.21999999999999997</v>
          </cell>
          <cell r="P19">
            <v>0.18999999999999995</v>
          </cell>
          <cell r="R19">
            <v>39173</v>
          </cell>
          <cell r="S19" t="str">
            <v>GLOBAL</v>
          </cell>
          <cell r="T19"/>
          <cell r="U19">
            <v>0.11247831127825389</v>
          </cell>
          <cell r="V19">
            <v>0</v>
          </cell>
          <cell r="W19">
            <v>0.11247831127825389</v>
          </cell>
          <cell r="X19"/>
          <cell r="Y19">
            <v>0.11247831127825389</v>
          </cell>
          <cell r="Z19" t="e">
            <v>#DIV/0!</v>
          </cell>
          <cell r="AA19"/>
          <cell r="AB19"/>
          <cell r="AC19">
            <v>1517691</v>
          </cell>
          <cell r="AD19">
            <v>0</v>
          </cell>
          <cell r="AE19">
            <v>1517691</v>
          </cell>
          <cell r="AF19">
            <v>-1</v>
          </cell>
          <cell r="AG19">
            <v>1517691</v>
          </cell>
          <cell r="AH19">
            <v>-1</v>
          </cell>
          <cell r="AI19"/>
          <cell r="AJ19"/>
          <cell r="AK19">
            <v>0.12927587553882813</v>
          </cell>
          <cell r="AL19">
            <v>0</v>
          </cell>
          <cell r="AM19">
            <v>0.12927587553882813</v>
          </cell>
          <cell r="AN19"/>
          <cell r="AO19">
            <v>0.12927587553882813</v>
          </cell>
          <cell r="AP19" t="e">
            <v>#DIV/0!</v>
          </cell>
          <cell r="AQ19">
            <v>0</v>
          </cell>
          <cell r="AR19" t="e">
            <v>#DIV/0!</v>
          </cell>
        </row>
        <row r="20">
          <cell r="B20">
            <v>39203</v>
          </cell>
          <cell r="C20">
            <v>39203</v>
          </cell>
          <cell r="D20" t="str">
            <v>GLOBAL</v>
          </cell>
          <cell r="E20">
            <v>0.15312528275826226</v>
          </cell>
          <cell r="F20" t="str">
            <v>c</v>
          </cell>
          <cell r="G20" t="str">
            <v>c</v>
          </cell>
          <cell r="H20" t="str">
            <v>g</v>
          </cell>
          <cell r="I20">
            <v>0.22000000000000008</v>
          </cell>
          <cell r="J20">
            <v>0.18999999999999995</v>
          </cell>
          <cell r="K20">
            <v>0.13407902705629215</v>
          </cell>
          <cell r="L20" t="str">
            <v>c</v>
          </cell>
          <cell r="M20" t="str">
            <v>c</v>
          </cell>
          <cell r="N20" t="str">
            <v>g</v>
          </cell>
          <cell r="O20">
            <v>0.22000000000000008</v>
          </cell>
          <cell r="P20">
            <v>0.18999999999999995</v>
          </cell>
          <cell r="R20">
            <v>39203</v>
          </cell>
          <cell r="S20" t="str">
            <v>GLOBAL</v>
          </cell>
          <cell r="T20"/>
          <cell r="U20">
            <v>0.15312528275826226</v>
          </cell>
          <cell r="V20">
            <v>0</v>
          </cell>
          <cell r="W20">
            <v>0.15312528275826226</v>
          </cell>
          <cell r="X20"/>
          <cell r="Y20">
            <v>0.15312528275826226</v>
          </cell>
          <cell r="Z20" t="e">
            <v>#DIV/0!</v>
          </cell>
          <cell r="AA20"/>
          <cell r="AB20"/>
          <cell r="AC20">
            <v>2127242</v>
          </cell>
          <cell r="AD20">
            <v>0</v>
          </cell>
          <cell r="AE20">
            <v>2127242</v>
          </cell>
          <cell r="AF20">
            <v>-1</v>
          </cell>
          <cell r="AG20">
            <v>2127242</v>
          </cell>
          <cell r="AH20">
            <v>-1</v>
          </cell>
          <cell r="AI20"/>
          <cell r="AJ20"/>
          <cell r="AK20">
            <v>0.13407902705629215</v>
          </cell>
          <cell r="AL20">
            <v>0</v>
          </cell>
          <cell r="AM20">
            <v>0.13407902705629215</v>
          </cell>
          <cell r="AN20"/>
          <cell r="AO20">
            <v>0.13407902705629215</v>
          </cell>
          <cell r="AP20" t="e">
            <v>#DIV/0!</v>
          </cell>
          <cell r="AQ20">
            <v>0</v>
          </cell>
          <cell r="AR20" t="e">
            <v>#DIV/0!</v>
          </cell>
        </row>
        <row r="21">
          <cell r="B21">
            <v>39234</v>
          </cell>
          <cell r="C21">
            <v>39234</v>
          </cell>
          <cell r="D21" t="str">
            <v>GLOBAL</v>
          </cell>
          <cell r="E21">
            <v>0.17362055576107946</v>
          </cell>
          <cell r="F21" t="str">
            <v>c</v>
          </cell>
          <cell r="G21" t="str">
            <v>c</v>
          </cell>
          <cell r="H21" t="str">
            <v>g</v>
          </cell>
          <cell r="I21">
            <v>0.21999999999999997</v>
          </cell>
          <cell r="J21">
            <v>0.18999999999999995</v>
          </cell>
          <cell r="K21">
            <v>0.14111541198050431</v>
          </cell>
          <cell r="L21" t="str">
            <v>c</v>
          </cell>
          <cell r="M21" t="str">
            <v>c</v>
          </cell>
          <cell r="N21" t="str">
            <v>g</v>
          </cell>
          <cell r="O21">
            <v>0.21999999999999997</v>
          </cell>
          <cell r="P21">
            <v>0.18999999999999995</v>
          </cell>
          <cell r="R21">
            <v>39234</v>
          </cell>
          <cell r="S21" t="str">
            <v>GLOBAL</v>
          </cell>
          <cell r="T21"/>
          <cell r="U21">
            <v>0.17362055576107946</v>
          </cell>
          <cell r="V21">
            <v>0</v>
          </cell>
          <cell r="W21">
            <v>0.17362055576107946</v>
          </cell>
          <cell r="X21"/>
          <cell r="Y21">
            <v>0.17362055576107946</v>
          </cell>
          <cell r="Z21" t="e">
            <v>#DIV/0!</v>
          </cell>
          <cell r="AA21"/>
          <cell r="AB21"/>
          <cell r="AC21">
            <v>2592507</v>
          </cell>
          <cell r="AD21">
            <v>0</v>
          </cell>
          <cell r="AE21">
            <v>2592507</v>
          </cell>
          <cell r="AF21">
            <v>-1</v>
          </cell>
          <cell r="AG21">
            <v>2592507</v>
          </cell>
          <cell r="AH21">
            <v>-1</v>
          </cell>
          <cell r="AI21"/>
          <cell r="AJ21"/>
          <cell r="AK21">
            <v>0.14111541198050431</v>
          </cell>
          <cell r="AL21">
            <v>0</v>
          </cell>
          <cell r="AM21">
            <v>0.14111541198050431</v>
          </cell>
          <cell r="AN21"/>
          <cell r="AO21">
            <v>0.14111541198050431</v>
          </cell>
          <cell r="AP21" t="e">
            <v>#DIV/0!</v>
          </cell>
          <cell r="AQ21">
            <v>0</v>
          </cell>
          <cell r="AR21" t="e">
            <v>#DIV/0!</v>
          </cell>
        </row>
        <row r="22">
          <cell r="B22">
            <v>39264</v>
          </cell>
          <cell r="C22">
            <v>39264</v>
          </cell>
          <cell r="D22" t="str">
            <v>GLOBAL</v>
          </cell>
          <cell r="E22">
            <v>0.1771656670029105</v>
          </cell>
          <cell r="F22" t="str">
            <v>c</v>
          </cell>
          <cell r="G22" t="str">
            <v>c</v>
          </cell>
          <cell r="H22" t="str">
            <v>g</v>
          </cell>
          <cell r="I22">
            <v>0.21999999999999997</v>
          </cell>
          <cell r="J22">
            <v>0.18999999999999995</v>
          </cell>
          <cell r="K22">
            <v>0.14730565608116575</v>
          </cell>
          <cell r="L22" t="str">
            <v>c</v>
          </cell>
          <cell r="M22" t="str">
            <v>c</v>
          </cell>
          <cell r="N22" t="str">
            <v>g</v>
          </cell>
          <cell r="O22">
            <v>0.21999999999999997</v>
          </cell>
          <cell r="P22">
            <v>0.18999999999999995</v>
          </cell>
          <cell r="R22">
            <v>39264</v>
          </cell>
          <cell r="S22" t="str">
            <v>GLOBAL</v>
          </cell>
          <cell r="T22"/>
          <cell r="U22">
            <v>0.1771656670029105</v>
          </cell>
          <cell r="V22">
            <v>0</v>
          </cell>
          <cell r="W22">
            <v>0.1771656670029105</v>
          </cell>
          <cell r="X22"/>
          <cell r="Y22">
            <v>0.1771656670029105</v>
          </cell>
          <cell r="Z22" t="e">
            <v>#DIV/0!</v>
          </cell>
          <cell r="AA22"/>
          <cell r="AB22"/>
          <cell r="AC22">
            <v>3081910.6099999901</v>
          </cell>
          <cell r="AD22">
            <v>0</v>
          </cell>
          <cell r="AE22">
            <v>3081910.6099999901</v>
          </cell>
          <cell r="AF22">
            <v>-1</v>
          </cell>
          <cell r="AG22">
            <v>3081910.6099999901</v>
          </cell>
          <cell r="AH22">
            <v>-1</v>
          </cell>
          <cell r="AI22"/>
          <cell r="AJ22"/>
          <cell r="AK22">
            <v>0.14730565608116575</v>
          </cell>
          <cell r="AL22">
            <v>0</v>
          </cell>
          <cell r="AM22">
            <v>0.14730565608116575</v>
          </cell>
          <cell r="AN22"/>
          <cell r="AO22">
            <v>0.14730565608116575</v>
          </cell>
          <cell r="AP22" t="e">
            <v>#DIV/0!</v>
          </cell>
          <cell r="AQ22">
            <v>0</v>
          </cell>
          <cell r="AR22" t="e">
            <v>#DIV/0!</v>
          </cell>
        </row>
        <row r="23">
          <cell r="B23">
            <v>39295</v>
          </cell>
          <cell r="C23">
            <v>39295</v>
          </cell>
          <cell r="D23" t="str">
            <v>GLOBAL</v>
          </cell>
          <cell r="E23">
            <v>0.16494168310976104</v>
          </cell>
          <cell r="F23" t="str">
            <v>c</v>
          </cell>
          <cell r="G23" t="str">
            <v>c</v>
          </cell>
          <cell r="H23" t="str">
            <v>g</v>
          </cell>
          <cell r="I23">
            <v>0.21999999999999997</v>
          </cell>
          <cell r="J23">
            <v>0.18999999999999995</v>
          </cell>
          <cell r="K23">
            <v>0.15034134264340412</v>
          </cell>
          <cell r="L23" t="str">
            <v>c</v>
          </cell>
          <cell r="M23" t="str">
            <v>c</v>
          </cell>
          <cell r="N23" t="str">
            <v>g</v>
          </cell>
          <cell r="O23">
            <v>0.21999999999999997</v>
          </cell>
          <cell r="P23">
            <v>0.18999999999999995</v>
          </cell>
          <cell r="R23">
            <v>39295</v>
          </cell>
          <cell r="S23" t="str">
            <v>GLOBAL</v>
          </cell>
          <cell r="T23"/>
          <cell r="U23">
            <v>0.16494168310976104</v>
          </cell>
          <cell r="V23">
            <v>0</v>
          </cell>
          <cell r="W23">
            <v>0.16494168310976104</v>
          </cell>
          <cell r="X23"/>
          <cell r="Y23">
            <v>0.16494168310976104</v>
          </cell>
          <cell r="Z23" t="e">
            <v>#DIV/0!</v>
          </cell>
          <cell r="AA23"/>
          <cell r="AB23"/>
          <cell r="AC23">
            <v>3474284.7300000004</v>
          </cell>
          <cell r="AD23">
            <v>0</v>
          </cell>
          <cell r="AE23">
            <v>3474284.7300000004</v>
          </cell>
          <cell r="AF23">
            <v>-1</v>
          </cell>
          <cell r="AG23">
            <v>3474284.7300000004</v>
          </cell>
          <cell r="AH23">
            <v>-1</v>
          </cell>
          <cell r="AI23"/>
          <cell r="AJ23"/>
          <cell r="AK23">
            <v>0.15034134264340412</v>
          </cell>
          <cell r="AL23">
            <v>0</v>
          </cell>
          <cell r="AM23">
            <v>0.15034134264340412</v>
          </cell>
          <cell r="AN23"/>
          <cell r="AO23">
            <v>0.15034134264340412</v>
          </cell>
          <cell r="AP23" t="e">
            <v>#DIV/0!</v>
          </cell>
          <cell r="AQ23">
            <v>0</v>
          </cell>
          <cell r="AR23" t="e">
            <v>#DIV/0!</v>
          </cell>
        </row>
        <row r="24">
          <cell r="B24">
            <v>39326</v>
          </cell>
          <cell r="C24">
            <v>39326</v>
          </cell>
          <cell r="D24" t="str">
            <v>GLOBAL</v>
          </cell>
          <cell r="E24">
            <v>0.19439603398911265</v>
          </cell>
          <cell r="F24" t="str">
            <v>c</v>
          </cell>
          <cell r="G24" t="str">
            <v>g</v>
          </cell>
          <cell r="H24" t="str">
            <v>c</v>
          </cell>
          <cell r="I24">
            <v>0.21999999999999997</v>
          </cell>
          <cell r="J24">
            <v>0.18999999999999995</v>
          </cell>
          <cell r="K24">
            <v>0.15612656883428211</v>
          </cell>
          <cell r="L24" t="str">
            <v>c</v>
          </cell>
          <cell r="M24" t="str">
            <v>c</v>
          </cell>
          <cell r="N24" t="str">
            <v>g</v>
          </cell>
          <cell r="O24">
            <v>0.21999999999999997</v>
          </cell>
          <cell r="P24">
            <v>0.18999999999999995</v>
          </cell>
          <cell r="R24">
            <v>39326</v>
          </cell>
          <cell r="S24" t="str">
            <v>GLOBAL</v>
          </cell>
          <cell r="T24"/>
          <cell r="U24">
            <v>0.19439603398911265</v>
          </cell>
          <cell r="V24">
            <v>0</v>
          </cell>
          <cell r="W24">
            <v>0.19439603398911265</v>
          </cell>
          <cell r="X24"/>
          <cell r="Y24">
            <v>0.19439603398911265</v>
          </cell>
          <cell r="Z24" t="e">
            <v>#DIV/0!</v>
          </cell>
          <cell r="AA24"/>
          <cell r="AB24"/>
          <cell r="AC24">
            <v>3596119.91</v>
          </cell>
          <cell r="AD24">
            <v>0</v>
          </cell>
          <cell r="AE24">
            <v>3596119.91</v>
          </cell>
          <cell r="AF24">
            <v>-1</v>
          </cell>
          <cell r="AG24">
            <v>3596119.91</v>
          </cell>
          <cell r="AH24">
            <v>-1</v>
          </cell>
          <cell r="AI24"/>
          <cell r="AJ24"/>
          <cell r="AK24">
            <v>0.15612656883428211</v>
          </cell>
          <cell r="AL24">
            <v>0</v>
          </cell>
          <cell r="AM24">
            <v>0.15612656883428211</v>
          </cell>
          <cell r="AN24"/>
          <cell r="AO24">
            <v>0.15612656883428211</v>
          </cell>
          <cell r="AP24" t="e">
            <v>#DIV/0!</v>
          </cell>
          <cell r="AQ24">
            <v>0</v>
          </cell>
          <cell r="AR24" t="e">
            <v>#DIV/0!</v>
          </cell>
        </row>
        <row r="25">
          <cell r="B25">
            <v>39356</v>
          </cell>
          <cell r="C25">
            <v>39356</v>
          </cell>
          <cell r="D25" t="str">
            <v>GLOBAL</v>
          </cell>
          <cell r="E25">
            <v>0.19828845045819796</v>
          </cell>
          <cell r="F25" t="str">
            <v>c</v>
          </cell>
          <cell r="G25" t="str">
            <v>g</v>
          </cell>
          <cell r="H25" t="str">
            <v>c</v>
          </cell>
          <cell r="I25">
            <v>0.2200000000000002</v>
          </cell>
          <cell r="J25">
            <v>0.18999999999999995</v>
          </cell>
          <cell r="K25">
            <v>0.16123525633544422</v>
          </cell>
          <cell r="L25" t="str">
            <v>c</v>
          </cell>
          <cell r="M25" t="str">
            <v>c</v>
          </cell>
          <cell r="N25" t="str">
            <v>g</v>
          </cell>
          <cell r="O25">
            <v>0.2200000000000002</v>
          </cell>
          <cell r="P25">
            <v>0.18999999999999995</v>
          </cell>
          <cell r="R25">
            <v>39356</v>
          </cell>
          <cell r="S25" t="str">
            <v>GLOBAL</v>
          </cell>
          <cell r="T25"/>
          <cell r="U25">
            <v>0.19828845045819796</v>
          </cell>
          <cell r="V25">
            <v>0</v>
          </cell>
          <cell r="W25">
            <v>0.19828845045819796</v>
          </cell>
          <cell r="X25"/>
          <cell r="Y25">
            <v>0.19828845045819796</v>
          </cell>
          <cell r="Z25" t="e">
            <v>#DIV/0!</v>
          </cell>
          <cell r="AA25"/>
          <cell r="AB25"/>
          <cell r="AC25">
            <v>3851232.0599999987</v>
          </cell>
          <cell r="AD25">
            <v>0</v>
          </cell>
          <cell r="AE25">
            <v>3851232.0599999987</v>
          </cell>
          <cell r="AF25">
            <v>-1</v>
          </cell>
          <cell r="AG25">
            <v>3851232.0599999987</v>
          </cell>
          <cell r="AH25">
            <v>-1</v>
          </cell>
          <cell r="AI25"/>
          <cell r="AJ25"/>
          <cell r="AK25">
            <v>0.16123525633544422</v>
          </cell>
          <cell r="AL25">
            <v>0</v>
          </cell>
          <cell r="AM25">
            <v>0.16123525633544422</v>
          </cell>
          <cell r="AN25"/>
          <cell r="AO25">
            <v>0.16123525633544422</v>
          </cell>
          <cell r="AP25" t="e">
            <v>#DIV/0!</v>
          </cell>
          <cell r="AQ25">
            <v>0</v>
          </cell>
          <cell r="AR25" t="e">
            <v>#DIV/0!</v>
          </cell>
        </row>
        <row r="26">
          <cell r="B26">
            <v>39387</v>
          </cell>
          <cell r="C26">
            <v>39387</v>
          </cell>
          <cell r="D26" t="str">
            <v>GLOBAL</v>
          </cell>
          <cell r="E26">
            <v>0.17501350894482692</v>
          </cell>
          <cell r="F26" t="str">
            <v>c</v>
          </cell>
          <cell r="G26" t="str">
            <v>c</v>
          </cell>
          <cell r="H26" t="str">
            <v>g</v>
          </cell>
          <cell r="I26">
            <v>0.2200000000000002</v>
          </cell>
          <cell r="J26">
            <v>0.19000000000000017</v>
          </cell>
          <cell r="K26">
            <v>0.16284659680971886</v>
          </cell>
          <cell r="L26" t="str">
            <v>c</v>
          </cell>
          <cell r="M26" t="str">
            <v>c</v>
          </cell>
          <cell r="N26" t="str">
            <v>g</v>
          </cell>
          <cell r="O26">
            <v>0.2200000000000002</v>
          </cell>
          <cell r="P26">
            <v>0.19000000000000017</v>
          </cell>
          <cell r="R26">
            <v>39387</v>
          </cell>
          <cell r="S26" t="str">
            <v>GLOBAL</v>
          </cell>
          <cell r="T26"/>
          <cell r="U26">
            <v>0.17501350894482692</v>
          </cell>
          <cell r="V26">
            <v>0</v>
          </cell>
          <cell r="W26">
            <v>0.17501350894482692</v>
          </cell>
          <cell r="X26"/>
          <cell r="Y26">
            <v>0.17501350894482692</v>
          </cell>
          <cell r="Z26" t="e">
            <v>#DIV/0!</v>
          </cell>
          <cell r="AA26"/>
          <cell r="AB26"/>
          <cell r="AC26">
            <v>3715279</v>
          </cell>
          <cell r="AD26">
            <v>0</v>
          </cell>
          <cell r="AE26">
            <v>3715279</v>
          </cell>
          <cell r="AF26">
            <v>-1</v>
          </cell>
          <cell r="AG26">
            <v>3715279</v>
          </cell>
          <cell r="AH26">
            <v>-1</v>
          </cell>
          <cell r="AI26"/>
          <cell r="AJ26"/>
          <cell r="AK26">
            <v>0.16284659680971886</v>
          </cell>
          <cell r="AL26">
            <v>0</v>
          </cell>
          <cell r="AM26">
            <v>0.16284659680971886</v>
          </cell>
          <cell r="AN26"/>
          <cell r="AO26">
            <v>0.16284659680971886</v>
          </cell>
          <cell r="AP26" t="e">
            <v>#DIV/0!</v>
          </cell>
          <cell r="AQ26">
            <v>0</v>
          </cell>
          <cell r="AR26" t="e">
            <v>#DIV/0!</v>
          </cell>
        </row>
        <row r="27">
          <cell r="B27">
            <v>39417</v>
          </cell>
          <cell r="C27">
            <v>39417</v>
          </cell>
          <cell r="D27" t="str">
            <v>GLOBAL</v>
          </cell>
          <cell r="E27">
            <v>0.18019216884631786</v>
          </cell>
          <cell r="F27" t="str">
            <v>c</v>
          </cell>
          <cell r="G27" t="str">
            <v>c</v>
          </cell>
          <cell r="H27" t="str">
            <v>g</v>
          </cell>
          <cell r="I27">
            <v>0.2200000000000002</v>
          </cell>
          <cell r="J27">
            <v>0.18999999999999995</v>
          </cell>
          <cell r="K27">
            <v>0.16461858597163237</v>
          </cell>
          <cell r="L27" t="str">
            <v>c</v>
          </cell>
          <cell r="M27" t="str">
            <v>c</v>
          </cell>
          <cell r="N27" t="str">
            <v>g</v>
          </cell>
          <cell r="O27">
            <v>0.2200000000000002</v>
          </cell>
          <cell r="P27">
            <v>0.18999999999999995</v>
          </cell>
          <cell r="R27">
            <v>39417</v>
          </cell>
          <cell r="S27" t="str">
            <v>GLOBAL</v>
          </cell>
          <cell r="T27"/>
          <cell r="U27">
            <v>0.18019216884631786</v>
          </cell>
          <cell r="V27">
            <v>0</v>
          </cell>
          <cell r="W27">
            <v>0.18019216884631786</v>
          </cell>
          <cell r="X27"/>
          <cell r="Y27">
            <v>0.18019216884631786</v>
          </cell>
          <cell r="Z27" t="e">
            <v>#DIV/0!</v>
          </cell>
          <cell r="AA27"/>
          <cell r="AB27"/>
          <cell r="AC27">
            <v>3721646.5300000012</v>
          </cell>
          <cell r="AD27">
            <v>0</v>
          </cell>
          <cell r="AE27">
            <v>3721646.5300000012</v>
          </cell>
          <cell r="AF27">
            <v>-1</v>
          </cell>
          <cell r="AG27">
            <v>3721646.5300000012</v>
          </cell>
          <cell r="AH27">
            <v>-1</v>
          </cell>
          <cell r="AI27"/>
          <cell r="AJ27"/>
          <cell r="AK27">
            <v>0.16461858597163237</v>
          </cell>
          <cell r="AL27">
            <v>0</v>
          </cell>
          <cell r="AM27">
            <v>0.16461858597163237</v>
          </cell>
          <cell r="AN27"/>
          <cell r="AO27">
            <v>0.16461858597163237</v>
          </cell>
          <cell r="AP27" t="e">
            <v>#DIV/0!</v>
          </cell>
          <cell r="AQ27">
            <v>0</v>
          </cell>
          <cell r="AR27" t="e">
            <v>#DIV/0!</v>
          </cell>
        </row>
        <row r="28">
          <cell r="B28">
            <v>39448</v>
          </cell>
          <cell r="C28">
            <v>39448</v>
          </cell>
          <cell r="D28" t="str">
            <v>GLOBAL</v>
          </cell>
          <cell r="E28">
            <v>0.13906082774623504</v>
          </cell>
          <cell r="F28" t="str">
            <v>c</v>
          </cell>
          <cell r="G28" t="str">
            <v>c</v>
          </cell>
          <cell r="H28" t="str">
            <v>g</v>
          </cell>
          <cell r="I28">
            <v>0.2200000000000002</v>
          </cell>
          <cell r="J28">
            <v>0.18999999999999995</v>
          </cell>
          <cell r="K28">
            <v>0.13906082774623504</v>
          </cell>
          <cell r="L28" t="str">
            <v>c</v>
          </cell>
          <cell r="M28" t="str">
            <v>c</v>
          </cell>
          <cell r="N28" t="str">
            <v>g</v>
          </cell>
          <cell r="O28">
            <v>0.2200000000000002</v>
          </cell>
          <cell r="P28">
            <v>0.18999999999999995</v>
          </cell>
          <cell r="R28">
            <v>39448</v>
          </cell>
          <cell r="S28" t="str">
            <v>GLOBAL</v>
          </cell>
          <cell r="T28">
            <v>0.11718118674759408</v>
          </cell>
          <cell r="U28">
            <v>0.13906082774623504</v>
          </cell>
          <cell r="V28">
            <v>0</v>
          </cell>
          <cell r="W28">
            <v>2.1879640998640967E-2</v>
          </cell>
          <cell r="X28">
            <v>0.18671632884013434</v>
          </cell>
          <cell r="Y28">
            <v>0.13906082774623504</v>
          </cell>
          <cell r="Z28" t="e">
            <v>#DIV/0!</v>
          </cell>
          <cell r="AA28"/>
          <cell r="AB28">
            <v>1611173.2343381064</v>
          </cell>
          <cell r="AC28">
            <v>2164049.9999999963</v>
          </cell>
          <cell r="AD28">
            <v>0</v>
          </cell>
          <cell r="AE28">
            <v>552876.76566188992</v>
          </cell>
          <cell r="AF28">
            <v>-0.25548243601667742</v>
          </cell>
          <cell r="AG28">
            <v>2164049.9999999963</v>
          </cell>
          <cell r="AH28">
            <v>-1</v>
          </cell>
          <cell r="AI28"/>
          <cell r="AJ28">
            <v>0.11718118674759408</v>
          </cell>
          <cell r="AK28">
            <v>0.13906082774623504</v>
          </cell>
          <cell r="AL28">
            <v>0</v>
          </cell>
          <cell r="AM28">
            <v>2.1879640998640967E-2</v>
          </cell>
          <cell r="AN28">
            <v>0.18671632884013434</v>
          </cell>
          <cell r="AO28">
            <v>0.13906082774623504</v>
          </cell>
          <cell r="AP28" t="e">
            <v>#DIV/0!</v>
          </cell>
          <cell r="AQ28">
            <v>0</v>
          </cell>
          <cell r="AR28" t="e">
            <v>#DIV/0!</v>
          </cell>
        </row>
        <row r="29">
          <cell r="B29">
            <v>39479</v>
          </cell>
          <cell r="C29">
            <v>39479</v>
          </cell>
          <cell r="D29" t="str">
            <v>GLOBAL</v>
          </cell>
          <cell r="E29">
            <v>0.12443794614387574</v>
          </cell>
          <cell r="F29" t="str">
            <v>c</v>
          </cell>
          <cell r="G29" t="str">
            <v>c</v>
          </cell>
          <cell r="H29" t="str">
            <v>g</v>
          </cell>
          <cell r="I29">
            <v>0.2200000000000002</v>
          </cell>
          <cell r="J29">
            <v>0.18999999999999995</v>
          </cell>
          <cell r="K29">
            <v>0.13127637513097776</v>
          </cell>
          <cell r="L29" t="str">
            <v>c</v>
          </cell>
          <cell r="M29" t="str">
            <v>c</v>
          </cell>
          <cell r="N29" t="str">
            <v>g</v>
          </cell>
          <cell r="O29">
            <v>0.2200000000000002</v>
          </cell>
          <cell r="P29">
            <v>0.18999999999999995</v>
          </cell>
          <cell r="R29">
            <v>39479</v>
          </cell>
          <cell r="S29" t="str">
            <v>GLOBAL</v>
          </cell>
          <cell r="T29">
            <v>0.12248726219722468</v>
          </cell>
          <cell r="U29">
            <v>0.12443794614387574</v>
          </cell>
          <cell r="V29">
            <v>0</v>
          </cell>
          <cell r="W29">
            <v>1.9506839466510578E-3</v>
          </cell>
          <cell r="X29">
            <v>1.592560656233899E-2</v>
          </cell>
          <cell r="Y29">
            <v>0.12443794614387574</v>
          </cell>
          <cell r="Z29" t="e">
            <v>#DIV/0!</v>
          </cell>
          <cell r="AA29"/>
          <cell r="AB29">
            <v>1500506.3205309727</v>
          </cell>
          <cell r="AC29">
            <v>2204383</v>
          </cell>
          <cell r="AD29">
            <v>0</v>
          </cell>
          <cell r="AE29">
            <v>703876.67946902732</v>
          </cell>
          <cell r="AF29">
            <v>-0.31930779699763034</v>
          </cell>
          <cell r="AG29">
            <v>2204383</v>
          </cell>
          <cell r="AH29">
            <v>-1</v>
          </cell>
          <cell r="AI29"/>
          <cell r="AJ29">
            <v>0.11968125338814717</v>
          </cell>
          <cell r="AK29">
            <v>0.13127637513097776</v>
          </cell>
          <cell r="AL29">
            <v>0</v>
          </cell>
          <cell r="AM29">
            <v>1.1595121742830589E-2</v>
          </cell>
          <cell r="AN29">
            <v>9.6883358208370352E-2</v>
          </cell>
          <cell r="AO29">
            <v>0.13127637513097776</v>
          </cell>
          <cell r="AP29" t="e">
            <v>#DIV/0!</v>
          </cell>
          <cell r="AQ29">
            <v>0</v>
          </cell>
          <cell r="AR29" t="e">
            <v>#DIV/0!</v>
          </cell>
        </row>
        <row r="30">
          <cell r="B30">
            <v>39508</v>
          </cell>
          <cell r="C30">
            <v>39508</v>
          </cell>
          <cell r="D30" t="str">
            <v>GLOBAL</v>
          </cell>
          <cell r="E30">
            <v>0.12269681878970791</v>
          </cell>
          <cell r="F30" t="str">
            <v>c</v>
          </cell>
          <cell r="G30" t="str">
            <v>c</v>
          </cell>
          <cell r="H30" t="str">
            <v>g</v>
          </cell>
          <cell r="I30">
            <v>0.2200000000000002</v>
          </cell>
          <cell r="J30">
            <v>0.18999999999999995</v>
          </cell>
          <cell r="K30">
            <v>0.12829323022136921</v>
          </cell>
          <cell r="L30" t="str">
            <v>c</v>
          </cell>
          <cell r="M30" t="str">
            <v>c</v>
          </cell>
          <cell r="N30" t="str">
            <v>g</v>
          </cell>
          <cell r="O30">
            <v>0.2200000000000002</v>
          </cell>
          <cell r="P30">
            <v>0.18999999999999995</v>
          </cell>
          <cell r="R30">
            <v>39508</v>
          </cell>
          <cell r="S30" t="str">
            <v>GLOBAL</v>
          </cell>
          <cell r="T30">
            <v>0.15980628968729577</v>
          </cell>
          <cell r="U30">
            <v>0.12269681878970791</v>
          </cell>
          <cell r="V30">
            <v>0</v>
          </cell>
          <cell r="W30">
            <v>-3.7109470897587857E-2</v>
          </cell>
          <cell r="X30">
            <v>-0.2322153337656645</v>
          </cell>
          <cell r="Y30">
            <v>0.12269681878970791</v>
          </cell>
          <cell r="Z30" t="e">
            <v>#DIV/0!</v>
          </cell>
          <cell r="AA30"/>
          <cell r="AB30">
            <v>2492118.4300000006</v>
          </cell>
          <cell r="AC30">
            <v>2176392</v>
          </cell>
          <cell r="AD30">
            <v>0</v>
          </cell>
          <cell r="AE30">
            <v>-315726.43000000063</v>
          </cell>
          <cell r="AF30">
            <v>0.14506873302236034</v>
          </cell>
          <cell r="AG30">
            <v>2176392</v>
          </cell>
          <cell r="AH30">
            <v>-1</v>
          </cell>
          <cell r="AI30"/>
          <cell r="AJ30">
            <v>0.13472499838642918</v>
          </cell>
          <cell r="AK30">
            <v>0.12829323022136921</v>
          </cell>
          <cell r="AL30">
            <v>0</v>
          </cell>
          <cell r="AM30">
            <v>-6.4317681650599701E-3</v>
          </cell>
          <cell r="AN30">
            <v>-4.7739975818087199E-2</v>
          </cell>
          <cell r="AO30">
            <v>0.12829323022136921</v>
          </cell>
          <cell r="AP30" t="e">
            <v>#DIV/0!</v>
          </cell>
          <cell r="AQ30">
            <v>0</v>
          </cell>
          <cell r="AR30" t="e">
            <v>#DIV/0!</v>
          </cell>
        </row>
        <row r="31">
          <cell r="B31">
            <v>39539</v>
          </cell>
          <cell r="C31">
            <v>39539</v>
          </cell>
          <cell r="D31" t="str">
            <v>GLOBAL</v>
          </cell>
          <cell r="E31">
            <v>0.14549654620404701</v>
          </cell>
          <cell r="F31" t="str">
            <v>c</v>
          </cell>
          <cell r="G31" t="str">
            <v>c</v>
          </cell>
          <cell r="H31" t="str">
            <v>g</v>
          </cell>
          <cell r="I31">
            <v>0.2200000000000002</v>
          </cell>
          <cell r="J31">
            <v>0.18999999999999995</v>
          </cell>
          <cell r="K31">
            <v>0.13284663319393783</v>
          </cell>
          <cell r="L31" t="str">
            <v>c</v>
          </cell>
          <cell r="M31" t="str">
            <v>c</v>
          </cell>
          <cell r="N31" t="str">
            <v>g</v>
          </cell>
          <cell r="O31">
            <v>0.2200000000000002</v>
          </cell>
          <cell r="P31">
            <v>0.18999999999999995</v>
          </cell>
          <cell r="R31">
            <v>39539</v>
          </cell>
          <cell r="S31" t="str">
            <v>GLOBAL</v>
          </cell>
          <cell r="T31">
            <v>0.11247831127825389</v>
          </cell>
          <cell r="U31">
            <v>0.14549654620404701</v>
          </cell>
          <cell r="V31">
            <v>0</v>
          </cell>
          <cell r="W31">
            <v>3.3018234925793116E-2</v>
          </cell>
          <cell r="X31">
            <v>0.29355201505569495</v>
          </cell>
          <cell r="Y31">
            <v>0.14549654620404701</v>
          </cell>
          <cell r="Z31" t="e">
            <v>#DIV/0!</v>
          </cell>
          <cell r="AA31"/>
          <cell r="AB31">
            <v>1517691</v>
          </cell>
          <cell r="AC31">
            <v>2671748.2299999967</v>
          </cell>
          <cell r="AD31">
            <v>0</v>
          </cell>
          <cell r="AE31">
            <v>1154057.2299999967</v>
          </cell>
          <cell r="AF31">
            <v>-0.4319483464203504</v>
          </cell>
          <cell r="AG31">
            <v>2671748.2299999967</v>
          </cell>
          <cell r="AH31">
            <v>-1</v>
          </cell>
          <cell r="AI31"/>
          <cell r="AJ31">
            <v>0.12927587553882813</v>
          </cell>
          <cell r="AK31">
            <v>0.13284663319393783</v>
          </cell>
          <cell r="AL31">
            <v>0</v>
          </cell>
          <cell r="AM31">
            <v>3.5707576551096964E-3</v>
          </cell>
          <cell r="AN31">
            <v>2.7621221981491972E-2</v>
          </cell>
          <cell r="AO31">
            <v>0.13284663319393783</v>
          </cell>
          <cell r="AP31" t="e">
            <v>#DIV/0!</v>
          </cell>
          <cell r="AQ31">
            <v>0</v>
          </cell>
          <cell r="AR31" t="e">
            <v>#DIV/0!</v>
          </cell>
        </row>
        <row r="32">
          <cell r="B32">
            <v>39569</v>
          </cell>
          <cell r="C32">
            <v>39569</v>
          </cell>
          <cell r="D32" t="str">
            <v>GLOBAL</v>
          </cell>
          <cell r="E32">
            <v>0.1656678517894225</v>
          </cell>
          <cell r="F32" t="str">
            <v>c</v>
          </cell>
          <cell r="G32" t="str">
            <v>c</v>
          </cell>
          <cell r="H32" t="str">
            <v>g</v>
          </cell>
          <cell r="I32">
            <v>0.2200000000000002</v>
          </cell>
          <cell r="J32">
            <v>0.18999999999999995</v>
          </cell>
          <cell r="K32">
            <v>0.14007963791465705</v>
          </cell>
          <cell r="L32" t="str">
            <v>c</v>
          </cell>
          <cell r="M32" t="str">
            <v>c</v>
          </cell>
          <cell r="N32" t="str">
            <v>g</v>
          </cell>
          <cell r="O32">
            <v>0.2200000000000002</v>
          </cell>
          <cell r="P32">
            <v>0.18999999999999995</v>
          </cell>
          <cell r="R32">
            <v>39569</v>
          </cell>
          <cell r="S32" t="str">
            <v>GLOBAL</v>
          </cell>
          <cell r="T32">
            <v>0.15312528275826226</v>
          </cell>
          <cell r="U32">
            <v>0.1656678517894225</v>
          </cell>
          <cell r="V32">
            <v>0</v>
          </cell>
          <cell r="W32">
            <v>1.2542569031160244E-2</v>
          </cell>
          <cell r="X32">
            <v>8.1910503642700805E-2</v>
          </cell>
          <cell r="Y32">
            <v>0.1656678517894225</v>
          </cell>
          <cell r="Z32" t="e">
            <v>#DIV/0!</v>
          </cell>
          <cell r="AA32"/>
          <cell r="AB32">
            <v>2127242</v>
          </cell>
          <cell r="AC32">
            <v>3248897</v>
          </cell>
          <cell r="AD32">
            <v>0</v>
          </cell>
          <cell r="AE32">
            <v>1121655</v>
          </cell>
          <cell r="AF32">
            <v>-0.34524178513507819</v>
          </cell>
          <cell r="AG32">
            <v>3248897</v>
          </cell>
          <cell r="AH32">
            <v>-1</v>
          </cell>
          <cell r="AI32"/>
          <cell r="AJ32">
            <v>0.13407902705629215</v>
          </cell>
          <cell r="AK32">
            <v>0.14007963791465705</v>
          </cell>
          <cell r="AL32">
            <v>0</v>
          </cell>
          <cell r="AM32">
            <v>6.0006108583648965E-3</v>
          </cell>
          <cell r="AN32">
            <v>4.4754284022702429E-2</v>
          </cell>
          <cell r="AO32">
            <v>0.14007963791465705</v>
          </cell>
          <cell r="AP32" t="e">
            <v>#DIV/0!</v>
          </cell>
          <cell r="AQ32">
            <v>0</v>
          </cell>
          <cell r="AR32" t="e">
            <v>#DIV/0!</v>
          </cell>
        </row>
        <row r="33">
          <cell r="B33">
            <v>39600</v>
          </cell>
          <cell r="C33">
            <v>39600</v>
          </cell>
          <cell r="D33" t="str">
            <v>GLOBAL</v>
          </cell>
          <cell r="E33">
            <v>0.17874660789266431</v>
          </cell>
          <cell r="F33" t="str">
            <v>c</v>
          </cell>
          <cell r="G33" t="str">
            <v>c</v>
          </cell>
          <cell r="H33" t="str">
            <v>g</v>
          </cell>
          <cell r="I33">
            <v>0.2200000000000002</v>
          </cell>
          <cell r="J33">
            <v>0.18999999999999995</v>
          </cell>
          <cell r="K33">
            <v>0.14752918446026633</v>
          </cell>
          <cell r="L33" t="str">
            <v>c</v>
          </cell>
          <cell r="M33" t="str">
            <v>c</v>
          </cell>
          <cell r="N33" t="str">
            <v>g</v>
          </cell>
          <cell r="O33">
            <v>0.2200000000000002</v>
          </cell>
          <cell r="P33">
            <v>0.18999999999999995</v>
          </cell>
          <cell r="R33">
            <v>39600</v>
          </cell>
          <cell r="S33" t="str">
            <v>GLOBAL</v>
          </cell>
          <cell r="T33">
            <v>0.17362055576107946</v>
          </cell>
          <cell r="U33">
            <v>0.17874660789266431</v>
          </cell>
          <cell r="V33">
            <v>0</v>
          </cell>
          <cell r="W33">
            <v>5.1260521315848462E-3</v>
          </cell>
          <cell r="X33">
            <v>2.9524454112673348E-2</v>
          </cell>
          <cell r="Y33">
            <v>0.17874660789266431</v>
          </cell>
          <cell r="Z33" t="e">
            <v>#DIV/0!</v>
          </cell>
          <cell r="AA33"/>
          <cell r="AB33">
            <v>2592507</v>
          </cell>
          <cell r="AC33">
            <v>3795808.0899999961</v>
          </cell>
          <cell r="AD33">
            <v>0</v>
          </cell>
          <cell r="AE33">
            <v>1203301.0899999961</v>
          </cell>
          <cell r="AF33">
            <v>-0.31700788382059575</v>
          </cell>
          <cell r="AG33">
            <v>3795808.0899999961</v>
          </cell>
          <cell r="AH33">
            <v>-1</v>
          </cell>
          <cell r="AI33"/>
          <cell r="AJ33">
            <v>0.14111541198050431</v>
          </cell>
          <cell r="AK33">
            <v>0.14752918446026633</v>
          </cell>
          <cell r="AL33">
            <v>0</v>
          </cell>
          <cell r="AM33">
            <v>6.4137724797620199E-3</v>
          </cell>
          <cell r="AN33">
            <v>4.545054568985063E-2</v>
          </cell>
          <cell r="AO33">
            <v>0.14752918446026633</v>
          </cell>
          <cell r="AP33" t="e">
            <v>#DIV/0!</v>
          </cell>
          <cell r="AQ33">
            <v>0</v>
          </cell>
          <cell r="AR33" t="e">
            <v>#DIV/0!</v>
          </cell>
        </row>
        <row r="34">
          <cell r="B34">
            <v>39630</v>
          </cell>
          <cell r="C34">
            <v>39630</v>
          </cell>
          <cell r="D34" t="str">
            <v>GLOBAL</v>
          </cell>
          <cell r="E34">
            <v>0.17538900372587873</v>
          </cell>
          <cell r="F34" t="str">
            <v>c</v>
          </cell>
          <cell r="G34" t="str">
            <v>c</v>
          </cell>
          <cell r="H34" t="str">
            <v>g</v>
          </cell>
          <cell r="I34">
            <v>0.21999999999999975</v>
          </cell>
          <cell r="J34">
            <v>0.18999999999999995</v>
          </cell>
          <cell r="K34">
            <v>0.15211619354169917</v>
          </cell>
          <cell r="L34" t="str">
            <v>c</v>
          </cell>
          <cell r="M34" t="str">
            <v>c</v>
          </cell>
          <cell r="N34" t="str">
            <v>g</v>
          </cell>
          <cell r="O34">
            <v>0.21999999999999975</v>
          </cell>
          <cell r="P34">
            <v>0.18999999999999995</v>
          </cell>
          <cell r="R34">
            <v>39630</v>
          </cell>
          <cell r="S34" t="str">
            <v>GLOBAL</v>
          </cell>
          <cell r="T34">
            <v>0.1771656670029105</v>
          </cell>
          <cell r="U34">
            <v>0.17538900372587873</v>
          </cell>
          <cell r="V34">
            <v>0</v>
          </cell>
          <cell r="W34">
            <v>-1.7766632770317703E-3</v>
          </cell>
          <cell r="X34">
            <v>-1.002825946520769E-2</v>
          </cell>
          <cell r="Y34">
            <v>0.17538900372587873</v>
          </cell>
          <cell r="Z34" t="e">
            <v>#DIV/0!</v>
          </cell>
          <cell r="AA34"/>
          <cell r="AB34">
            <v>3081910.6099999901</v>
          </cell>
          <cell r="AC34">
            <v>3810306.1799999997</v>
          </cell>
          <cell r="AD34">
            <v>0</v>
          </cell>
          <cell r="AE34">
            <v>728395.57000000961</v>
          </cell>
          <cell r="AF34">
            <v>-0.19116457722565738</v>
          </cell>
          <cell r="AG34">
            <v>3810306.1799999997</v>
          </cell>
          <cell r="AH34">
            <v>-1</v>
          </cell>
          <cell r="AI34"/>
          <cell r="AJ34">
            <v>0.14730565608116575</v>
          </cell>
          <cell r="AK34">
            <v>0.15211619354169917</v>
          </cell>
          <cell r="AL34">
            <v>0</v>
          </cell>
          <cell r="AM34">
            <v>4.8105374605334206E-3</v>
          </cell>
          <cell r="AN34">
            <v>3.2656841485318111E-2</v>
          </cell>
          <cell r="AO34">
            <v>0.15211619354169917</v>
          </cell>
          <cell r="AP34" t="e">
            <v>#DIV/0!</v>
          </cell>
          <cell r="AQ34">
            <v>0</v>
          </cell>
          <cell r="AR34" t="e">
            <v>#DIV/0!</v>
          </cell>
        </row>
        <row r="35">
          <cell r="B35">
            <v>39661</v>
          </cell>
          <cell r="C35">
            <v>39661</v>
          </cell>
          <cell r="D35" t="str">
            <v>GLOBAL</v>
          </cell>
          <cell r="E35">
            <v>0.19683880456199188</v>
          </cell>
          <cell r="F35" t="str">
            <v>c</v>
          </cell>
          <cell r="G35" t="str">
            <v>g</v>
          </cell>
          <cell r="H35" t="str">
            <v>c</v>
          </cell>
          <cell r="I35">
            <v>0.21999999999999975</v>
          </cell>
          <cell r="J35">
            <v>0.18999999999999995</v>
          </cell>
          <cell r="K35">
            <v>0.15905197133006321</v>
          </cell>
          <cell r="L35" t="str">
            <v>c</v>
          </cell>
          <cell r="M35" t="str">
            <v>c</v>
          </cell>
          <cell r="N35" t="str">
            <v>g</v>
          </cell>
          <cell r="O35">
            <v>0.21999999999999975</v>
          </cell>
          <cell r="P35">
            <v>0.18999999999999995</v>
          </cell>
          <cell r="R35">
            <v>39661</v>
          </cell>
          <cell r="S35" t="str">
            <v>GLOBAL</v>
          </cell>
          <cell r="T35">
            <v>0.16494168310976104</v>
          </cell>
          <cell r="U35">
            <v>0.19683880456199188</v>
          </cell>
          <cell r="V35">
            <v>0</v>
          </cell>
          <cell r="W35">
            <v>3.1897121452230837E-2</v>
          </cell>
          <cell r="X35">
            <v>0.19338423648196179</v>
          </cell>
          <cell r="Y35">
            <v>0.19683880456199188</v>
          </cell>
          <cell r="Z35" t="e">
            <v>#DIV/0!</v>
          </cell>
          <cell r="AA35"/>
          <cell r="AB35">
            <v>3474284.7300000004</v>
          </cell>
          <cell r="AC35">
            <v>4767290.3275000006</v>
          </cell>
          <cell r="AD35">
            <v>0</v>
          </cell>
          <cell r="AE35">
            <v>1293005.5975000001</v>
          </cell>
          <cell r="AF35">
            <v>-0.27122442911465416</v>
          </cell>
          <cell r="AG35">
            <v>4767290.3275000006</v>
          </cell>
          <cell r="AH35">
            <v>-1</v>
          </cell>
          <cell r="AI35"/>
          <cell r="AJ35">
            <v>0.15034134264340412</v>
          </cell>
          <cell r="AK35">
            <v>0.15905197133006321</v>
          </cell>
          <cell r="AL35">
            <v>0</v>
          </cell>
          <cell r="AM35">
            <v>8.7106286866590887E-3</v>
          </cell>
          <cell r="AN35">
            <v>5.7939010876867814E-2</v>
          </cell>
          <cell r="AO35">
            <v>0.15905197133006321</v>
          </cell>
          <cell r="AP35" t="e">
            <v>#DIV/0!</v>
          </cell>
          <cell r="AQ35">
            <v>0</v>
          </cell>
          <cell r="AR35" t="e">
            <v>#DIV/0!</v>
          </cell>
        </row>
        <row r="36">
          <cell r="B36">
            <v>39692</v>
          </cell>
          <cell r="C36">
            <v>39692</v>
          </cell>
          <cell r="D36" t="str">
            <v>GLOBAL</v>
          </cell>
          <cell r="E36">
            <v>0.17117827131828792</v>
          </cell>
          <cell r="F36" t="str">
            <v>c</v>
          </cell>
          <cell r="G36" t="str">
            <v>c</v>
          </cell>
          <cell r="H36" t="str">
            <v>g</v>
          </cell>
          <cell r="I36">
            <v>0.21999999999999975</v>
          </cell>
          <cell r="J36">
            <v>0.18999999999999995</v>
          </cell>
          <cell r="K36">
            <v>0.16064855229000158</v>
          </cell>
          <cell r="L36" t="str">
            <v>c</v>
          </cell>
          <cell r="M36" t="str">
            <v>c</v>
          </cell>
          <cell r="N36" t="str">
            <v>g</v>
          </cell>
          <cell r="O36">
            <v>0.21999999999999975</v>
          </cell>
          <cell r="P36">
            <v>0.18999999999999995</v>
          </cell>
          <cell r="R36">
            <v>39692</v>
          </cell>
          <cell r="S36" t="str">
            <v>GLOBAL</v>
          </cell>
          <cell r="T36">
            <v>0.19439603398911265</v>
          </cell>
          <cell r="U36">
            <v>0.17117827131828792</v>
          </cell>
          <cell r="V36">
            <v>0</v>
          </cell>
          <cell r="W36">
            <v>-2.3217762670824732E-2</v>
          </cell>
          <cell r="X36">
            <v>-0.11943537218524258</v>
          </cell>
          <cell r="Y36">
            <v>0.17117827131828792</v>
          </cell>
          <cell r="Z36" t="e">
            <v>#DIV/0!</v>
          </cell>
          <cell r="AA36"/>
          <cell r="AB36">
            <v>3596119.91</v>
          </cell>
          <cell r="AC36">
            <v>4053364.5222000033</v>
          </cell>
          <cell r="AD36">
            <v>0</v>
          </cell>
          <cell r="AE36">
            <v>457244.61220000312</v>
          </cell>
          <cell r="AF36">
            <v>-0.11280619092995592</v>
          </cell>
          <cell r="AG36">
            <v>4053364.5222000033</v>
          </cell>
          <cell r="AH36">
            <v>-1</v>
          </cell>
          <cell r="AI36"/>
          <cell r="AJ36">
            <v>0.15612656883428211</v>
          </cell>
          <cell r="AK36">
            <v>0.16064855229000158</v>
          </cell>
          <cell r="AL36">
            <v>0</v>
          </cell>
          <cell r="AM36">
            <v>4.5219834557194694E-3</v>
          </cell>
          <cell r="AN36">
            <v>2.8963574166029682E-2</v>
          </cell>
          <cell r="AO36">
            <v>0.16064855229000158</v>
          </cell>
          <cell r="AP36" t="e">
            <v>#DIV/0!</v>
          </cell>
          <cell r="AQ36">
            <v>0</v>
          </cell>
          <cell r="AR36" t="e">
            <v>#DIV/0!</v>
          </cell>
        </row>
        <row r="37">
          <cell r="B37">
            <v>39722</v>
          </cell>
          <cell r="C37">
            <v>39722</v>
          </cell>
          <cell r="D37" t="str">
            <v>GLOBAL</v>
          </cell>
          <cell r="E37">
            <v>0.18830070639111188</v>
          </cell>
          <cell r="F37" t="str">
            <v>c</v>
          </cell>
          <cell r="G37" t="str">
            <v>c</v>
          </cell>
          <cell r="H37" t="str">
            <v>g</v>
          </cell>
          <cell r="I37">
            <v>0.21999999999999975</v>
          </cell>
          <cell r="J37">
            <v>0.19000000000000039</v>
          </cell>
          <cell r="K37">
            <v>0.16417022877914353</v>
          </cell>
          <cell r="L37" t="str">
            <v>c</v>
          </cell>
          <cell r="M37" t="str">
            <v>g</v>
          </cell>
          <cell r="N37" t="str">
            <v>c</v>
          </cell>
          <cell r="O37">
            <v>0.21999999999999975</v>
          </cell>
          <cell r="P37">
            <v>9.9999999999999645E-2</v>
          </cell>
          <cell r="R37">
            <v>39722</v>
          </cell>
          <cell r="S37" t="str">
            <v>GLOBAL</v>
          </cell>
          <cell r="T37">
            <v>0.19828845045819796</v>
          </cell>
          <cell r="U37">
            <v>0.18830070639111188</v>
          </cell>
          <cell r="V37">
            <v>0</v>
          </cell>
          <cell r="W37">
            <v>-9.9877440670860795E-3</v>
          </cell>
          <cell r="X37">
            <v>-5.0369772137543789E-2</v>
          </cell>
          <cell r="Y37">
            <v>0.18830070639111188</v>
          </cell>
          <cell r="Z37" t="e">
            <v>#DIV/0!</v>
          </cell>
          <cell r="AA37"/>
          <cell r="AB37">
            <v>3851232.0599999987</v>
          </cell>
          <cell r="AC37">
            <v>4942422.6027000025</v>
          </cell>
          <cell r="AD37">
            <v>0</v>
          </cell>
          <cell r="AE37">
            <v>1091190.5427000038</v>
          </cell>
          <cell r="AF37">
            <v>-0.22078050187450504</v>
          </cell>
          <cell r="AG37">
            <v>4942422.6027000025</v>
          </cell>
          <cell r="AH37">
            <v>-1</v>
          </cell>
          <cell r="AI37"/>
          <cell r="AJ37">
            <v>0.16123525633544422</v>
          </cell>
          <cell r="AK37">
            <v>0.16417022877914353</v>
          </cell>
          <cell r="AL37">
            <v>0</v>
          </cell>
          <cell r="AM37">
            <v>2.9349724436993074E-3</v>
          </cell>
          <cell r="AN37">
            <v>1.8203043865252511E-2</v>
          </cell>
          <cell r="AO37">
            <v>0.16417022877914353</v>
          </cell>
          <cell r="AP37" t="e">
            <v>#DIV/0!</v>
          </cell>
          <cell r="AQ37">
            <v>0</v>
          </cell>
          <cell r="AR37" t="e">
            <v>#DIV/0!</v>
          </cell>
        </row>
        <row r="38">
          <cell r="B38">
            <v>39753</v>
          </cell>
          <cell r="C38">
            <v>39753</v>
          </cell>
          <cell r="D38" t="str">
            <v>GLOBAL</v>
          </cell>
          <cell r="E38">
            <v>0.11948620014407613</v>
          </cell>
          <cell r="F38" t="str">
            <v>c</v>
          </cell>
          <cell r="G38" t="str">
            <v>c</v>
          </cell>
          <cell r="H38" t="str">
            <v>g</v>
          </cell>
          <cell r="I38">
            <v>0.21999999999999975</v>
          </cell>
          <cell r="J38">
            <v>0.19000000000000039</v>
          </cell>
          <cell r="K38">
            <v>0.16033322168506953</v>
          </cell>
          <cell r="L38" t="str">
            <v>c</v>
          </cell>
          <cell r="M38" t="str">
            <v>g</v>
          </cell>
          <cell r="N38" t="str">
            <v>c</v>
          </cell>
          <cell r="O38">
            <v>0.21999999999999975</v>
          </cell>
          <cell r="P38">
            <v>9.9999999999999645E-2</v>
          </cell>
          <cell r="R38">
            <v>39753</v>
          </cell>
          <cell r="S38" t="str">
            <v>GLOBAL</v>
          </cell>
          <cell r="T38">
            <v>0.17501350894482692</v>
          </cell>
          <cell r="U38">
            <v>0.11948620014407613</v>
          </cell>
          <cell r="V38">
            <v>0</v>
          </cell>
          <cell r="W38">
            <v>-5.5527308800750796E-2</v>
          </cell>
          <cell r="X38">
            <v>-0.31727441576099025</v>
          </cell>
          <cell r="Y38">
            <v>0.11948620014407613</v>
          </cell>
          <cell r="Z38" t="e">
            <v>#DIV/0!</v>
          </cell>
          <cell r="AA38"/>
          <cell r="AB38">
            <v>3715279</v>
          </cell>
          <cell r="AC38">
            <v>2313222.4375</v>
          </cell>
          <cell r="AD38">
            <v>0</v>
          </cell>
          <cell r="AE38">
            <v>-1402056.5625</v>
          </cell>
          <cell r="AF38">
            <v>0.6061053791330433</v>
          </cell>
          <cell r="AG38">
            <v>2313222.4375</v>
          </cell>
          <cell r="AH38">
            <v>-1</v>
          </cell>
          <cell r="AI38"/>
          <cell r="AJ38">
            <v>0.16284659680971886</v>
          </cell>
          <cell r="AK38">
            <v>0.16033322168506953</v>
          </cell>
          <cell r="AL38">
            <v>0</v>
          </cell>
          <cell r="AM38">
            <v>-2.5133751246493308E-3</v>
          </cell>
          <cell r="AN38">
            <v>-1.5434004602418172E-2</v>
          </cell>
          <cell r="AO38">
            <v>0.16033322168506953</v>
          </cell>
          <cell r="AP38" t="e">
            <v>#DIV/0!</v>
          </cell>
          <cell r="AQ38">
            <v>0</v>
          </cell>
          <cell r="AR38" t="e">
            <v>#DIV/0!</v>
          </cell>
        </row>
        <row r="39">
          <cell r="B39">
            <v>39783</v>
          </cell>
          <cell r="C39">
            <v>39783</v>
          </cell>
          <cell r="D39" t="str">
            <v>GLOBAL</v>
          </cell>
          <cell r="E39">
            <v>0.12762553859727349</v>
          </cell>
          <cell r="F39" t="str">
            <v>c</v>
          </cell>
          <cell r="G39" t="str">
            <v>c</v>
          </cell>
          <cell r="H39" t="str">
            <v>g</v>
          </cell>
          <cell r="I39">
            <v>0.21999999999999975</v>
          </cell>
          <cell r="J39">
            <v>0.19000000000000039</v>
          </cell>
          <cell r="K39">
            <v>0.15705258689245957</v>
          </cell>
          <cell r="L39" t="str">
            <v>c</v>
          </cell>
          <cell r="M39" t="str">
            <v>g</v>
          </cell>
          <cell r="N39" t="str">
            <v>c</v>
          </cell>
          <cell r="O39">
            <v>0.21999999999999975</v>
          </cell>
          <cell r="P39">
            <v>9.9999999999999645E-2</v>
          </cell>
          <cell r="R39">
            <v>39783</v>
          </cell>
          <cell r="S39" t="str">
            <v>GLOBAL</v>
          </cell>
          <cell r="T39">
            <v>0.18019216884631786</v>
          </cell>
          <cell r="U39">
            <v>0.12762553859727349</v>
          </cell>
          <cell r="V39">
            <v>0</v>
          </cell>
          <cell r="W39">
            <v>-5.2566630249044372E-2</v>
          </cell>
          <cell r="X39">
            <v>-0.29172538732178399</v>
          </cell>
          <cell r="Y39">
            <v>0.12762553859727349</v>
          </cell>
          <cell r="Z39" t="e">
            <v>#DIV/0!</v>
          </cell>
          <cell r="AA39"/>
          <cell r="AB39">
            <v>3721646.5300000012</v>
          </cell>
          <cell r="AC39">
            <v>3207806.3129000068</v>
          </cell>
          <cell r="AD39">
            <v>0</v>
          </cell>
          <cell r="AE39">
            <v>-513840.21709999442</v>
          </cell>
          <cell r="AF39">
            <v>0.16018430259757754</v>
          </cell>
          <cell r="AG39">
            <v>3207806.3129000068</v>
          </cell>
          <cell r="AH39">
            <v>-1</v>
          </cell>
          <cell r="AI39"/>
          <cell r="AJ39">
            <v>0.16461858597163237</v>
          </cell>
          <cell r="AK39">
            <v>0.15705258689245957</v>
          </cell>
          <cell r="AL39">
            <v>0</v>
          </cell>
          <cell r="AM39">
            <v>-7.5659990791727971E-3</v>
          </cell>
          <cell r="AN39">
            <v>-4.5960782827259794E-2</v>
          </cell>
          <cell r="AO39">
            <v>0.15705258689245957</v>
          </cell>
          <cell r="AP39" t="e">
            <v>#DIV/0!</v>
          </cell>
          <cell r="AQ39">
            <v>0</v>
          </cell>
          <cell r="AR39" t="e">
            <v>#DIV/0!</v>
          </cell>
        </row>
        <row r="40">
          <cell r="B40">
            <v>39814</v>
          </cell>
          <cell r="C40"/>
          <cell r="D40" t="str">
            <v>GLOBAL</v>
          </cell>
          <cell r="E40" t="str">
            <v/>
          </cell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  <cell r="L40" t="str">
            <v/>
          </cell>
          <cell r="M40" t="str">
            <v/>
          </cell>
          <cell r="N40" t="str">
            <v/>
          </cell>
          <cell r="O40" t="str">
            <v/>
          </cell>
          <cell r="P40" t="str">
            <v/>
          </cell>
          <cell r="R40">
            <v>39814</v>
          </cell>
          <cell r="S40" t="str">
            <v>GLOBAL</v>
          </cell>
          <cell r="T40">
            <v>0.13906082774623504</v>
          </cell>
          <cell r="U40" t="str">
            <v/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 t="str">
            <v/>
          </cell>
          <cell r="AA40"/>
          <cell r="AB40">
            <v>2164049.9999999963</v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/>
          <cell r="AJ40">
            <v>0.13906082774623504</v>
          </cell>
          <cell r="AK40" t="str">
            <v/>
          </cell>
          <cell r="AL40" t="str">
            <v/>
          </cell>
          <cell r="AM40" t="str">
            <v/>
          </cell>
          <cell r="AN40" t="str">
            <v/>
          </cell>
          <cell r="AO40" t="str">
            <v/>
          </cell>
          <cell r="AP40" t="str">
            <v/>
          </cell>
          <cell r="AQ40">
            <v>0</v>
          </cell>
          <cell r="AR40" t="str">
            <v/>
          </cell>
        </row>
        <row r="41">
          <cell r="B41">
            <v>39845</v>
          </cell>
          <cell r="C41"/>
          <cell r="D41" t="str">
            <v>GLOBAL</v>
          </cell>
          <cell r="E41" t="str">
            <v/>
          </cell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  <cell r="J41" t="str">
            <v/>
          </cell>
          <cell r="K41" t="str">
            <v/>
          </cell>
          <cell r="L41" t="str">
            <v/>
          </cell>
          <cell r="M41" t="str">
            <v/>
          </cell>
          <cell r="N41" t="str">
            <v/>
          </cell>
          <cell r="O41"/>
          <cell r="P41"/>
          <cell r="R41">
            <v>39845</v>
          </cell>
          <cell r="S41" t="str">
            <v>GLOBAL</v>
          </cell>
          <cell r="T41">
            <v>0.12443794614387574</v>
          </cell>
          <cell r="U41" t="str">
            <v/>
          </cell>
          <cell r="V41" t="str">
            <v/>
          </cell>
          <cell r="W41" t="str">
            <v/>
          </cell>
          <cell r="X41" t="str">
            <v/>
          </cell>
          <cell r="Y41" t="str">
            <v/>
          </cell>
          <cell r="Z41" t="str">
            <v/>
          </cell>
          <cell r="AA41"/>
          <cell r="AB41">
            <v>2204383</v>
          </cell>
          <cell r="AC41" t="str">
            <v/>
          </cell>
          <cell r="AD41" t="str">
            <v/>
          </cell>
          <cell r="AE41" t="str">
            <v/>
          </cell>
          <cell r="AF41" t="str">
            <v/>
          </cell>
          <cell r="AG41" t="str">
            <v/>
          </cell>
          <cell r="AH41" t="str">
            <v/>
          </cell>
          <cell r="AI41"/>
          <cell r="AJ41">
            <v>0.13127637513097776</v>
          </cell>
          <cell r="AK41" t="str">
            <v/>
          </cell>
          <cell r="AL41" t="str">
            <v/>
          </cell>
          <cell r="AM41" t="str">
            <v/>
          </cell>
          <cell r="AN41" t="str">
            <v/>
          </cell>
          <cell r="AO41" t="str">
            <v/>
          </cell>
          <cell r="AP41" t="str">
            <v/>
          </cell>
          <cell r="AQ41">
            <v>0</v>
          </cell>
          <cell r="AR41"/>
        </row>
        <row r="42">
          <cell r="B42">
            <v>39873</v>
          </cell>
          <cell r="C42"/>
          <cell r="D42" t="str">
            <v>GLOBAL</v>
          </cell>
          <cell r="E42" t="str">
            <v/>
          </cell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  <cell r="J42" t="str">
            <v/>
          </cell>
          <cell r="K42" t="str">
            <v/>
          </cell>
          <cell r="L42" t="str">
            <v/>
          </cell>
          <cell r="M42" t="str">
            <v/>
          </cell>
          <cell r="N42" t="str">
            <v/>
          </cell>
          <cell r="O42"/>
          <cell r="P42"/>
          <cell r="R42">
            <v>39873</v>
          </cell>
          <cell r="S42" t="str">
            <v>GLOBAL</v>
          </cell>
          <cell r="T42">
            <v>0.12269681878970791</v>
          </cell>
          <cell r="U42" t="str">
            <v/>
          </cell>
          <cell r="V42" t="str">
            <v/>
          </cell>
          <cell r="W42" t="str">
            <v/>
          </cell>
          <cell r="X42" t="str">
            <v/>
          </cell>
          <cell r="Y42" t="str">
            <v/>
          </cell>
          <cell r="Z42" t="str">
            <v/>
          </cell>
          <cell r="AA42"/>
          <cell r="AB42">
            <v>2176392</v>
          </cell>
          <cell r="AC42" t="str">
            <v/>
          </cell>
          <cell r="AD42" t="str">
            <v/>
          </cell>
          <cell r="AE42" t="str">
            <v/>
          </cell>
          <cell r="AF42" t="str">
            <v/>
          </cell>
          <cell r="AG42" t="str">
            <v/>
          </cell>
          <cell r="AH42" t="str">
            <v/>
          </cell>
          <cell r="AI42"/>
          <cell r="AJ42">
            <v>0.12829323022136921</v>
          </cell>
          <cell r="AK42" t="str">
            <v/>
          </cell>
          <cell r="AL42" t="str">
            <v/>
          </cell>
          <cell r="AM42" t="str">
            <v/>
          </cell>
          <cell r="AN42" t="str">
            <v/>
          </cell>
          <cell r="AO42" t="str">
            <v/>
          </cell>
          <cell r="AP42" t="str">
            <v/>
          </cell>
          <cell r="AQ42">
            <v>0</v>
          </cell>
          <cell r="AR42"/>
        </row>
        <row r="43">
          <cell r="B43">
            <v>39904</v>
          </cell>
          <cell r="C43"/>
          <cell r="D43" t="str">
            <v>GLOBAL</v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 t="str">
            <v/>
          </cell>
          <cell r="L43" t="str">
            <v/>
          </cell>
          <cell r="M43" t="str">
            <v/>
          </cell>
          <cell r="N43" t="str">
            <v/>
          </cell>
          <cell r="O43"/>
          <cell r="P43"/>
          <cell r="R43">
            <v>39904</v>
          </cell>
          <cell r="S43" t="str">
            <v>GLOBAL</v>
          </cell>
          <cell r="T43">
            <v>0.14549654620404701</v>
          </cell>
          <cell r="U43" t="str">
            <v/>
          </cell>
          <cell r="V43" t="str">
            <v/>
          </cell>
          <cell r="W43" t="str">
            <v/>
          </cell>
          <cell r="X43" t="str">
            <v/>
          </cell>
          <cell r="Y43" t="str">
            <v/>
          </cell>
          <cell r="Z43" t="str">
            <v/>
          </cell>
          <cell r="AA43"/>
          <cell r="AB43">
            <v>2671748.2299999967</v>
          </cell>
          <cell r="AC43" t="str">
            <v/>
          </cell>
          <cell r="AD43" t="str">
            <v/>
          </cell>
          <cell r="AE43" t="str">
            <v/>
          </cell>
          <cell r="AF43" t="str">
            <v/>
          </cell>
          <cell r="AG43" t="str">
            <v/>
          </cell>
          <cell r="AH43" t="str">
            <v/>
          </cell>
          <cell r="AI43"/>
          <cell r="AJ43">
            <v>0.13284663319393783</v>
          </cell>
          <cell r="AK43" t="str">
            <v/>
          </cell>
          <cell r="AL43" t="str">
            <v/>
          </cell>
          <cell r="AM43" t="str">
            <v/>
          </cell>
          <cell r="AN43" t="str">
            <v/>
          </cell>
          <cell r="AO43" t="str">
            <v/>
          </cell>
          <cell r="AP43" t="str">
            <v/>
          </cell>
          <cell r="AQ43">
            <v>0</v>
          </cell>
          <cell r="AR43"/>
        </row>
        <row r="44">
          <cell r="B44">
            <v>39934</v>
          </cell>
          <cell r="C44"/>
          <cell r="D44" t="str">
            <v>GLOBAL</v>
          </cell>
          <cell r="E44" t="str">
            <v/>
          </cell>
          <cell r="F44" t="str">
            <v/>
          </cell>
          <cell r="G44" t="str">
            <v/>
          </cell>
          <cell r="H44" t="str">
            <v/>
          </cell>
          <cell r="I44" t="str">
            <v/>
          </cell>
          <cell r="J44" t="str">
            <v/>
          </cell>
          <cell r="K44" t="str">
            <v/>
          </cell>
          <cell r="L44" t="str">
            <v/>
          </cell>
          <cell r="M44" t="str">
            <v/>
          </cell>
          <cell r="N44" t="str">
            <v/>
          </cell>
          <cell r="O44"/>
          <cell r="P44"/>
          <cell r="R44">
            <v>39934</v>
          </cell>
          <cell r="S44" t="str">
            <v>GLOBAL</v>
          </cell>
          <cell r="T44">
            <v>0.1656678517894225</v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  <cell r="AA44"/>
          <cell r="AB44">
            <v>3248897</v>
          </cell>
          <cell r="AC44" t="str">
            <v/>
          </cell>
          <cell r="AD44" t="str">
            <v/>
          </cell>
          <cell r="AE44" t="str">
            <v/>
          </cell>
          <cell r="AF44" t="str">
            <v/>
          </cell>
          <cell r="AG44" t="str">
            <v/>
          </cell>
          <cell r="AH44" t="str">
            <v/>
          </cell>
          <cell r="AI44"/>
          <cell r="AJ44">
            <v>0.14007963791465705</v>
          </cell>
          <cell r="AK44" t="str">
            <v/>
          </cell>
          <cell r="AL44" t="str">
            <v/>
          </cell>
          <cell r="AM44" t="str">
            <v/>
          </cell>
          <cell r="AN44" t="str">
            <v/>
          </cell>
          <cell r="AO44" t="str">
            <v/>
          </cell>
          <cell r="AP44" t="str">
            <v/>
          </cell>
          <cell r="AQ44">
            <v>0</v>
          </cell>
          <cell r="AR44"/>
        </row>
        <row r="45">
          <cell r="B45">
            <v>39965</v>
          </cell>
          <cell r="C45"/>
          <cell r="D45" t="str">
            <v>GLOBAL</v>
          </cell>
          <cell r="E45" t="str">
            <v/>
          </cell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  <cell r="M45" t="str">
            <v/>
          </cell>
          <cell r="N45" t="str">
            <v/>
          </cell>
          <cell r="O45"/>
          <cell r="P45"/>
          <cell r="R45">
            <v>39965</v>
          </cell>
          <cell r="S45" t="str">
            <v>GLOBAL</v>
          </cell>
          <cell r="T45">
            <v>0.17874660789266431</v>
          </cell>
          <cell r="U45" t="str">
            <v/>
          </cell>
          <cell r="V45" t="str">
            <v/>
          </cell>
          <cell r="W45" t="str">
            <v/>
          </cell>
          <cell r="X45" t="str">
            <v/>
          </cell>
          <cell r="Y45" t="str">
            <v/>
          </cell>
          <cell r="Z45" t="str">
            <v/>
          </cell>
          <cell r="AA45"/>
          <cell r="AB45">
            <v>3795808.0899999961</v>
          </cell>
          <cell r="AC45" t="str">
            <v/>
          </cell>
          <cell r="AD45" t="str">
            <v/>
          </cell>
          <cell r="AE45" t="str">
            <v/>
          </cell>
          <cell r="AF45" t="str">
            <v/>
          </cell>
          <cell r="AG45" t="str">
            <v/>
          </cell>
          <cell r="AH45" t="str">
            <v/>
          </cell>
          <cell r="AI45"/>
          <cell r="AJ45">
            <v>0.14752918446026633</v>
          </cell>
          <cell r="AK45" t="str">
            <v/>
          </cell>
          <cell r="AL45" t="str">
            <v/>
          </cell>
          <cell r="AM45" t="str">
            <v/>
          </cell>
          <cell r="AN45" t="str">
            <v/>
          </cell>
          <cell r="AO45" t="str">
            <v/>
          </cell>
          <cell r="AP45" t="str">
            <v/>
          </cell>
          <cell r="AQ45">
            <v>0</v>
          </cell>
          <cell r="AR45"/>
        </row>
        <row r="46">
          <cell r="B46">
            <v>39995</v>
          </cell>
          <cell r="C46"/>
          <cell r="D46" t="str">
            <v>GLOBAL</v>
          </cell>
          <cell r="E46" t="str">
            <v/>
          </cell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  <cell r="M46" t="str">
            <v/>
          </cell>
          <cell r="N46" t="str">
            <v/>
          </cell>
          <cell r="O46"/>
          <cell r="P46"/>
          <cell r="R46">
            <v>39995</v>
          </cell>
          <cell r="S46" t="str">
            <v>GLOBAL</v>
          </cell>
          <cell r="T46">
            <v>0.17538900372587873</v>
          </cell>
          <cell r="U46" t="str">
            <v/>
          </cell>
          <cell r="V46" t="str">
            <v/>
          </cell>
          <cell r="W46" t="str">
            <v/>
          </cell>
          <cell r="X46" t="str">
            <v/>
          </cell>
          <cell r="Y46" t="str">
            <v/>
          </cell>
          <cell r="Z46" t="str">
            <v/>
          </cell>
          <cell r="AA46"/>
          <cell r="AB46">
            <v>3810306.1799999997</v>
          </cell>
          <cell r="AC46" t="str">
            <v/>
          </cell>
          <cell r="AD46" t="str">
            <v/>
          </cell>
          <cell r="AE46" t="str">
            <v/>
          </cell>
          <cell r="AF46" t="str">
            <v/>
          </cell>
          <cell r="AG46" t="str">
            <v/>
          </cell>
          <cell r="AH46" t="str">
            <v/>
          </cell>
          <cell r="AI46"/>
          <cell r="AJ46">
            <v>0.15211619354169917</v>
          </cell>
          <cell r="AK46" t="str">
            <v/>
          </cell>
          <cell r="AL46" t="str">
            <v/>
          </cell>
          <cell r="AM46" t="str">
            <v/>
          </cell>
          <cell r="AN46" t="str">
            <v/>
          </cell>
          <cell r="AO46" t="str">
            <v/>
          </cell>
          <cell r="AP46" t="str">
            <v/>
          </cell>
          <cell r="AQ46">
            <v>0</v>
          </cell>
          <cell r="AR46"/>
        </row>
        <row r="47">
          <cell r="B47">
            <v>40026</v>
          </cell>
          <cell r="C47"/>
          <cell r="D47" t="str">
            <v>GLOBAL</v>
          </cell>
          <cell r="E47" t="str">
            <v/>
          </cell>
          <cell r="F47" t="str">
            <v/>
          </cell>
          <cell r="G47" t="str">
            <v/>
          </cell>
          <cell r="H47" t="str">
            <v/>
          </cell>
          <cell r="I47" t="str">
            <v/>
          </cell>
          <cell r="J47" t="str">
            <v/>
          </cell>
          <cell r="K47" t="str">
            <v/>
          </cell>
          <cell r="L47" t="str">
            <v/>
          </cell>
          <cell r="M47" t="str">
            <v/>
          </cell>
          <cell r="N47" t="str">
            <v/>
          </cell>
          <cell r="O47"/>
          <cell r="P47"/>
          <cell r="R47">
            <v>40026</v>
          </cell>
          <cell r="S47" t="str">
            <v>GLOBAL</v>
          </cell>
          <cell r="T47">
            <v>0.19683880456199188</v>
          </cell>
          <cell r="U47" t="str">
            <v/>
          </cell>
          <cell r="V47" t="str">
            <v/>
          </cell>
          <cell r="W47" t="str">
            <v/>
          </cell>
          <cell r="X47" t="str">
            <v/>
          </cell>
          <cell r="Y47" t="str">
            <v/>
          </cell>
          <cell r="Z47" t="str">
            <v/>
          </cell>
          <cell r="AA47"/>
          <cell r="AB47">
            <v>4767290.3275000006</v>
          </cell>
          <cell r="AC47" t="str">
            <v/>
          </cell>
          <cell r="AD47" t="str">
            <v/>
          </cell>
          <cell r="AE47" t="str">
            <v/>
          </cell>
          <cell r="AF47" t="str">
            <v/>
          </cell>
          <cell r="AG47" t="str">
            <v/>
          </cell>
          <cell r="AH47" t="str">
            <v/>
          </cell>
          <cell r="AI47"/>
          <cell r="AJ47">
            <v>0.15905197133006321</v>
          </cell>
          <cell r="AK47" t="str">
            <v/>
          </cell>
          <cell r="AL47" t="str">
            <v/>
          </cell>
          <cell r="AM47" t="str">
            <v/>
          </cell>
          <cell r="AN47" t="str">
            <v/>
          </cell>
          <cell r="AO47" t="str">
            <v/>
          </cell>
          <cell r="AP47" t="str">
            <v/>
          </cell>
          <cell r="AQ47">
            <v>0</v>
          </cell>
          <cell r="AR47"/>
        </row>
        <row r="48">
          <cell r="B48">
            <v>40057</v>
          </cell>
          <cell r="C48"/>
          <cell r="D48" t="str">
            <v>GLOBAL</v>
          </cell>
          <cell r="E48" t="str">
            <v/>
          </cell>
          <cell r="F48" t="str">
            <v/>
          </cell>
          <cell r="G48" t="str">
            <v/>
          </cell>
          <cell r="H48" t="str">
            <v/>
          </cell>
          <cell r="I48" t="str">
            <v/>
          </cell>
          <cell r="J48" t="str">
            <v/>
          </cell>
          <cell r="K48" t="str">
            <v/>
          </cell>
          <cell r="L48" t="str">
            <v/>
          </cell>
          <cell r="M48" t="str">
            <v/>
          </cell>
          <cell r="N48" t="str">
            <v/>
          </cell>
          <cell r="O48"/>
          <cell r="P48"/>
          <cell r="R48">
            <v>40057</v>
          </cell>
          <cell r="S48" t="str">
            <v>GLOBAL</v>
          </cell>
          <cell r="T48">
            <v>0.17117827131828792</v>
          </cell>
          <cell r="U48" t="str">
            <v/>
          </cell>
          <cell r="V48" t="str">
            <v/>
          </cell>
          <cell r="W48" t="str">
            <v/>
          </cell>
          <cell r="X48" t="str">
            <v/>
          </cell>
          <cell r="Y48" t="str">
            <v/>
          </cell>
          <cell r="Z48" t="str">
            <v/>
          </cell>
          <cell r="AA48"/>
          <cell r="AB48">
            <v>4053364.5222000033</v>
          </cell>
          <cell r="AC48" t="str">
            <v/>
          </cell>
          <cell r="AD48" t="str">
            <v/>
          </cell>
          <cell r="AE48" t="str">
            <v/>
          </cell>
          <cell r="AF48" t="str">
            <v/>
          </cell>
          <cell r="AG48" t="str">
            <v/>
          </cell>
          <cell r="AH48" t="str">
            <v/>
          </cell>
          <cell r="AI48"/>
          <cell r="AJ48">
            <v>0.16064855229000158</v>
          </cell>
          <cell r="AK48" t="str">
            <v/>
          </cell>
          <cell r="AL48" t="str">
            <v/>
          </cell>
          <cell r="AM48" t="str">
            <v/>
          </cell>
          <cell r="AN48" t="str">
            <v/>
          </cell>
          <cell r="AO48" t="str">
            <v/>
          </cell>
          <cell r="AP48" t="str">
            <v/>
          </cell>
          <cell r="AQ48">
            <v>0</v>
          </cell>
          <cell r="AR48"/>
        </row>
        <row r="49">
          <cell r="B49">
            <v>40087</v>
          </cell>
          <cell r="C49"/>
          <cell r="D49" t="str">
            <v>GLOBAL</v>
          </cell>
          <cell r="E49" t="str">
            <v/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  <cell r="L49" t="str">
            <v/>
          </cell>
          <cell r="M49" t="str">
            <v/>
          </cell>
          <cell r="N49" t="str">
            <v/>
          </cell>
          <cell r="O49"/>
          <cell r="P49"/>
          <cell r="R49">
            <v>40087</v>
          </cell>
          <cell r="S49" t="str">
            <v>GLOBAL</v>
          </cell>
          <cell r="T49">
            <v>0.18830070639111188</v>
          </cell>
          <cell r="U49" t="str">
            <v/>
          </cell>
          <cell r="V49" t="str">
            <v/>
          </cell>
          <cell r="W49" t="str">
            <v/>
          </cell>
          <cell r="X49" t="str">
            <v/>
          </cell>
          <cell r="Y49" t="str">
            <v/>
          </cell>
          <cell r="Z49" t="str">
            <v/>
          </cell>
          <cell r="AA49"/>
          <cell r="AB49">
            <v>4942422.6027000025</v>
          </cell>
          <cell r="AC49" t="str">
            <v/>
          </cell>
          <cell r="AD49" t="str">
            <v/>
          </cell>
          <cell r="AE49" t="str">
            <v/>
          </cell>
          <cell r="AF49" t="str">
            <v/>
          </cell>
          <cell r="AG49" t="str">
            <v/>
          </cell>
          <cell r="AH49" t="str">
            <v/>
          </cell>
          <cell r="AI49"/>
          <cell r="AJ49">
            <v>0.16417022877914353</v>
          </cell>
          <cell r="AK49" t="str">
            <v/>
          </cell>
          <cell r="AL49" t="str">
            <v/>
          </cell>
          <cell r="AM49" t="str">
            <v/>
          </cell>
          <cell r="AN49" t="str">
            <v/>
          </cell>
          <cell r="AO49" t="str">
            <v/>
          </cell>
          <cell r="AP49" t="str">
            <v/>
          </cell>
          <cell r="AQ49">
            <v>0</v>
          </cell>
          <cell r="AR49"/>
        </row>
        <row r="50">
          <cell r="R50">
            <v>40118</v>
          </cell>
          <cell r="S50"/>
          <cell r="T50"/>
          <cell r="U50"/>
          <cell r="V50"/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 t="str">
            <v/>
          </cell>
          <cell r="AL50" t="str">
            <v/>
          </cell>
          <cell r="AM50"/>
          <cell r="AN50"/>
          <cell r="AO50"/>
          <cell r="AP50"/>
          <cell r="AQ50">
            <v>0</v>
          </cell>
          <cell r="AR50"/>
        </row>
        <row r="51">
          <cell r="R51">
            <v>40148</v>
          </cell>
          <cell r="S51"/>
          <cell r="T51"/>
          <cell r="U51"/>
          <cell r="V51"/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 t="str">
            <v/>
          </cell>
          <cell r="AL51" t="str">
            <v/>
          </cell>
          <cell r="AM51"/>
          <cell r="AN51"/>
          <cell r="AO51"/>
          <cell r="AP51"/>
          <cell r="AQ51">
            <v>0</v>
          </cell>
          <cell r="AR51"/>
        </row>
        <row r="52">
          <cell r="R52"/>
          <cell r="S52"/>
          <cell r="T52"/>
          <cell r="U52"/>
          <cell r="V52"/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 t="str">
            <v/>
          </cell>
          <cell r="AM52"/>
          <cell r="AN52"/>
          <cell r="AO52"/>
          <cell r="AP52"/>
          <cell r="AQ52"/>
          <cell r="AR52"/>
        </row>
      </sheetData>
      <sheetData sheetId="64"/>
      <sheetData sheetId="65">
        <row r="13">
          <cell r="R13"/>
          <cell r="S13"/>
          <cell r="U13"/>
          <cell r="V13"/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</row>
        <row r="14">
          <cell r="R14"/>
          <cell r="S14"/>
          <cell r="T14" t="str">
            <v>Margen Neto mensual</v>
          </cell>
          <cell r="U14"/>
          <cell r="V14"/>
          <cell r="W14" t="str">
            <v>Var 1.</v>
          </cell>
          <cell r="X14"/>
          <cell r="Y14" t="str">
            <v>Var. 2</v>
          </cell>
          <cell r="Z14"/>
          <cell r="AA14"/>
          <cell r="AB14" t="str">
            <v>Cumplimiento Proyectado  TM</v>
          </cell>
          <cell r="AC14"/>
          <cell r="AD14"/>
          <cell r="AE14" t="str">
            <v>Var 1.</v>
          </cell>
          <cell r="AF14"/>
          <cell r="AG14" t="str">
            <v>Var. 2</v>
          </cell>
          <cell r="AH14"/>
          <cell r="AI14"/>
          <cell r="AJ14" t="str">
            <v>Acum. Margen Neto</v>
          </cell>
          <cell r="AK14"/>
          <cell r="AL14"/>
          <cell r="AM14" t="str">
            <v>Var 1.</v>
          </cell>
          <cell r="AN14"/>
          <cell r="AO14" t="str">
            <v>Var. 2</v>
          </cell>
          <cell r="AP14"/>
          <cell r="AQ14" t="str">
            <v>Acumula</v>
          </cell>
          <cell r="AR14"/>
        </row>
        <row r="15">
          <cell r="R15" t="str">
            <v>Fecha</v>
          </cell>
          <cell r="S15" t="str">
            <v>TIPO</v>
          </cell>
          <cell r="T15" t="str">
            <v>Anteriores</v>
          </cell>
          <cell r="U15" t="str">
            <v>Real</v>
          </cell>
          <cell r="V15" t="str">
            <v>Programado</v>
          </cell>
          <cell r="W15" t="str">
            <v>Unidades</v>
          </cell>
          <cell r="X15" t="str">
            <v>%</v>
          </cell>
          <cell r="Y15" t="str">
            <v>Unidades</v>
          </cell>
          <cell r="Z15" t="str">
            <v>%</v>
          </cell>
          <cell r="AA15"/>
          <cell r="AB15" t="str">
            <v>Anteriores</v>
          </cell>
          <cell r="AC15" t="str">
            <v>Real</v>
          </cell>
          <cell r="AD15" t="str">
            <v>Inicial</v>
          </cell>
          <cell r="AE15" t="str">
            <v>Unidades</v>
          </cell>
          <cell r="AF15" t="str">
            <v>%</v>
          </cell>
          <cell r="AG15" t="str">
            <v>Unidades</v>
          </cell>
          <cell r="AH15" t="str">
            <v>%</v>
          </cell>
          <cell r="AI15"/>
          <cell r="AJ15" t="str">
            <v>Anterior</v>
          </cell>
          <cell r="AK15" t="str">
            <v>Real</v>
          </cell>
          <cell r="AL15" t="str">
            <v>Programado</v>
          </cell>
          <cell r="AM15" t="str">
            <v>Unidades</v>
          </cell>
          <cell r="AN15" t="str">
            <v>%</v>
          </cell>
          <cell r="AO15" t="str">
            <v>Unidades</v>
          </cell>
          <cell r="AP15" t="str">
            <v>%</v>
          </cell>
          <cell r="AQ15" t="str">
            <v>Acum. Año Anterior</v>
          </cell>
          <cell r="AR15" t="str">
            <v>Avance</v>
          </cell>
        </row>
        <row r="16">
          <cell r="B16">
            <v>39083</v>
          </cell>
          <cell r="C16">
            <v>39083</v>
          </cell>
          <cell r="D16" t="str">
            <v>Global</v>
          </cell>
          <cell r="E16">
            <v>7.4183059363881587E-2</v>
          </cell>
          <cell r="F16" t="str">
            <v>c</v>
          </cell>
          <cell r="G16" t="str">
            <v>c</v>
          </cell>
          <cell r="H16" t="str">
            <v>g</v>
          </cell>
          <cell r="I16">
            <v>0.1</v>
          </cell>
          <cell r="J16">
            <v>0.09</v>
          </cell>
          <cell r="K16">
            <v>7.4183059363881587E-2</v>
          </cell>
          <cell r="L16" t="str">
            <v>c</v>
          </cell>
          <cell r="M16" t="str">
            <v>c</v>
          </cell>
          <cell r="N16" t="str">
            <v>g</v>
          </cell>
          <cell r="O16">
            <v>0.1</v>
          </cell>
          <cell r="P16">
            <v>0.09</v>
          </cell>
          <cell r="R16">
            <v>39083</v>
          </cell>
          <cell r="S16" t="str">
            <v>Global</v>
          </cell>
          <cell r="T16"/>
          <cell r="U16">
            <v>7.4183059363881587E-2</v>
          </cell>
          <cell r="V16">
            <v>0</v>
          </cell>
          <cell r="W16">
            <v>7.4183059363881587E-2</v>
          </cell>
          <cell r="X16"/>
          <cell r="Y16">
            <v>7.4183059363881587E-2</v>
          </cell>
          <cell r="Z16" t="e">
            <v>#DIV/0!</v>
          </cell>
          <cell r="AA16"/>
          <cell r="AB16"/>
          <cell r="AC16">
            <v>1624431.3308999999</v>
          </cell>
          <cell r="AD16">
            <v>0</v>
          </cell>
          <cell r="AE16">
            <v>1624431.3308999999</v>
          </cell>
          <cell r="AF16">
            <v>-1</v>
          </cell>
          <cell r="AG16">
            <v>1624431.3308999999</v>
          </cell>
          <cell r="AH16">
            <v>-1</v>
          </cell>
          <cell r="AI16"/>
          <cell r="AJ16"/>
          <cell r="AK16">
            <v>7.4183059363881587E-2</v>
          </cell>
          <cell r="AL16">
            <v>0</v>
          </cell>
          <cell r="AM16">
            <v>7.4183059363881587E-2</v>
          </cell>
          <cell r="AN16"/>
          <cell r="AO16">
            <v>7.4183059363881587E-2</v>
          </cell>
          <cell r="AP16" t="e">
            <v>#DIV/0!</v>
          </cell>
          <cell r="AQ16">
            <v>1.6350945472238174</v>
          </cell>
          <cell r="AR16">
            <v>7.4183059363881587E-2</v>
          </cell>
        </row>
        <row r="17">
          <cell r="B17">
            <v>39114</v>
          </cell>
          <cell r="C17">
            <v>39114</v>
          </cell>
          <cell r="D17" t="str">
            <v>Global</v>
          </cell>
          <cell r="E17">
            <v>9.0036853366557298E-2</v>
          </cell>
          <cell r="F17" t="str">
            <v>c</v>
          </cell>
          <cell r="G17" t="str">
            <v>g</v>
          </cell>
          <cell r="H17" t="str">
            <v>c</v>
          </cell>
          <cell r="I17">
            <v>0.1</v>
          </cell>
          <cell r="J17">
            <v>0.09</v>
          </cell>
          <cell r="K17">
            <v>8.2003035653676254E-2</v>
          </cell>
          <cell r="L17" t="str">
            <v>c</v>
          </cell>
          <cell r="M17" t="str">
            <v>c</v>
          </cell>
          <cell r="N17" t="str">
            <v>g</v>
          </cell>
          <cell r="O17">
            <v>0.1</v>
          </cell>
          <cell r="P17">
            <v>0.09</v>
          </cell>
          <cell r="R17">
            <v>39114</v>
          </cell>
          <cell r="S17" t="str">
            <v>Global</v>
          </cell>
          <cell r="T17"/>
          <cell r="U17">
            <v>9.0036853366557298E-2</v>
          </cell>
          <cell r="V17">
            <v>0</v>
          </cell>
          <cell r="W17">
            <v>9.0036853366557298E-2</v>
          </cell>
          <cell r="X17"/>
          <cell r="Y17">
            <v>9.0036853366557298E-2</v>
          </cell>
          <cell r="Z17" t="e">
            <v>#DIV/0!</v>
          </cell>
          <cell r="AA17"/>
          <cell r="AB17"/>
          <cell r="AC17">
            <v>1919112.3000000003</v>
          </cell>
          <cell r="AD17">
            <v>0</v>
          </cell>
          <cell r="AE17">
            <v>1919112.3000000003</v>
          </cell>
          <cell r="AF17">
            <v>-1</v>
          </cell>
          <cell r="AG17">
            <v>1919112.3000000003</v>
          </cell>
          <cell r="AH17">
            <v>-1</v>
          </cell>
          <cell r="AI17"/>
          <cell r="AJ17"/>
          <cell r="AK17">
            <v>8.2003035653676254E-2</v>
          </cell>
          <cell r="AL17">
            <v>0</v>
          </cell>
          <cell r="AM17">
            <v>8.2003035653676254E-2</v>
          </cell>
          <cell r="AN17"/>
          <cell r="AO17">
            <v>8.2003035653676254E-2</v>
          </cell>
          <cell r="AP17" t="e">
            <v>#DIV/0!</v>
          </cell>
          <cell r="AQ17">
            <v>1.6350945472238174</v>
          </cell>
          <cell r="AR17">
            <v>5.015186173356579E-2</v>
          </cell>
        </row>
        <row r="18">
          <cell r="B18">
            <v>39142</v>
          </cell>
          <cell r="C18">
            <v>39142</v>
          </cell>
          <cell r="D18" t="str">
            <v>Global</v>
          </cell>
          <cell r="E18">
            <v>8.7415091741736978E-2</v>
          </cell>
          <cell r="F18" t="str">
            <v>c</v>
          </cell>
          <cell r="G18" t="str">
            <v>c</v>
          </cell>
          <cell r="H18" t="str">
            <v>g</v>
          </cell>
          <cell r="I18">
            <v>0.10000000000000003</v>
          </cell>
          <cell r="J18">
            <v>9.0000000000000024E-2</v>
          </cell>
          <cell r="K18">
            <v>8.4054388320972506E-2</v>
          </cell>
          <cell r="L18" t="str">
            <v>c</v>
          </cell>
          <cell r="M18" t="str">
            <v>c</v>
          </cell>
          <cell r="N18" t="str">
            <v>g</v>
          </cell>
          <cell r="O18">
            <v>0.10000000000000003</v>
          </cell>
          <cell r="P18">
            <v>9.0000000000000024E-2</v>
          </cell>
          <cell r="R18">
            <v>39142</v>
          </cell>
          <cell r="S18" t="str">
            <v>Global</v>
          </cell>
          <cell r="T18"/>
          <cell r="U18">
            <v>8.7415091741736978E-2</v>
          </cell>
          <cell r="V18">
            <v>0</v>
          </cell>
          <cell r="W18">
            <v>8.7415091741736978E-2</v>
          </cell>
          <cell r="X18"/>
          <cell r="Y18">
            <v>8.7415091741736978E-2</v>
          </cell>
          <cell r="Z18" t="e">
            <v>#DIV/0!</v>
          </cell>
          <cell r="AA18"/>
          <cell r="AB18"/>
          <cell r="AC18">
            <v>2305708.5756690018</v>
          </cell>
          <cell r="AD18">
            <v>0</v>
          </cell>
          <cell r="AE18">
            <v>2305708.5756690018</v>
          </cell>
          <cell r="AF18">
            <v>-1</v>
          </cell>
          <cell r="AG18">
            <v>2305708.5756690018</v>
          </cell>
          <cell r="AH18">
            <v>-1</v>
          </cell>
          <cell r="AI18"/>
          <cell r="AJ18"/>
          <cell r="AK18">
            <v>8.4054388320972506E-2</v>
          </cell>
          <cell r="AL18">
            <v>0</v>
          </cell>
          <cell r="AM18">
            <v>8.4054388320972506E-2</v>
          </cell>
          <cell r="AN18"/>
          <cell r="AO18">
            <v>8.4054388320972506E-2</v>
          </cell>
          <cell r="AP18" t="e">
            <v>#DIV/0!</v>
          </cell>
          <cell r="AQ18">
            <v>1.6350945472238174</v>
          </cell>
          <cell r="AR18">
            <v>5.1406439134474617E-2</v>
          </cell>
        </row>
        <row r="19">
          <cell r="B19">
            <v>39173</v>
          </cell>
          <cell r="C19">
            <v>39173</v>
          </cell>
          <cell r="D19" t="str">
            <v>Global</v>
          </cell>
          <cell r="E19">
            <v>8.1394785524714824E-2</v>
          </cell>
          <cell r="F19" t="str">
            <v>c</v>
          </cell>
          <cell r="G19" t="str">
            <v>c</v>
          </cell>
          <cell r="H19" t="str">
            <v>g</v>
          </cell>
          <cell r="I19">
            <v>9.9999999999999978E-2</v>
          </cell>
          <cell r="J19">
            <v>8.9999999999999969E-2</v>
          </cell>
          <cell r="K19">
            <v>8.3399998584391663E-2</v>
          </cell>
          <cell r="L19" t="str">
            <v>c</v>
          </cell>
          <cell r="M19" t="str">
            <v>c</v>
          </cell>
          <cell r="N19" t="str">
            <v>g</v>
          </cell>
          <cell r="O19">
            <v>9.9999999999999978E-2</v>
          </cell>
          <cell r="P19">
            <v>8.9999999999999969E-2</v>
          </cell>
          <cell r="R19">
            <v>39173</v>
          </cell>
          <cell r="S19" t="str">
            <v>Global</v>
          </cell>
          <cell r="T19"/>
          <cell r="U19">
            <v>8.1394785524714824E-2</v>
          </cell>
          <cell r="V19">
            <v>0</v>
          </cell>
          <cell r="W19">
            <v>8.1394785524714824E-2</v>
          </cell>
          <cell r="X19"/>
          <cell r="Y19">
            <v>8.1394785524714824E-2</v>
          </cell>
          <cell r="Z19" t="e">
            <v>#DIV/0!</v>
          </cell>
          <cell r="AA19"/>
          <cell r="AB19"/>
          <cell r="AC19">
            <v>1848470.37</v>
          </cell>
          <cell r="AD19">
            <v>0</v>
          </cell>
          <cell r="AE19">
            <v>1848470.37</v>
          </cell>
          <cell r="AF19">
            <v>-1</v>
          </cell>
          <cell r="AG19">
            <v>1848470.37</v>
          </cell>
          <cell r="AH19">
            <v>-1</v>
          </cell>
          <cell r="AI19"/>
          <cell r="AJ19"/>
          <cell r="AK19">
            <v>8.3399998584391663E-2</v>
          </cell>
          <cell r="AL19">
            <v>0</v>
          </cell>
          <cell r="AM19">
            <v>8.3399998584391663E-2</v>
          </cell>
          <cell r="AN19"/>
          <cell r="AO19">
            <v>8.3399998584391663E-2</v>
          </cell>
          <cell r="AP19" t="e">
            <v>#DIV/0!</v>
          </cell>
          <cell r="AQ19">
            <v>1.6350945472238174</v>
          </cell>
          <cell r="AR19">
            <v>5.1006223906742428E-2</v>
          </cell>
        </row>
        <row r="20">
          <cell r="B20">
            <v>39203</v>
          </cell>
          <cell r="C20">
            <v>39203</v>
          </cell>
          <cell r="D20" t="str">
            <v>Global</v>
          </cell>
          <cell r="E20">
            <v>9.2690899565209997E-2</v>
          </cell>
          <cell r="F20" t="str">
            <v>c</v>
          </cell>
          <cell r="G20" t="str">
            <v>g</v>
          </cell>
          <cell r="H20" t="str">
            <v>c</v>
          </cell>
          <cell r="I20">
            <v>9.9999999999999978E-2</v>
          </cell>
          <cell r="J20">
            <v>8.9999999999999969E-2</v>
          </cell>
          <cell r="K20">
            <v>8.5325679435686211E-2</v>
          </cell>
          <cell r="L20" t="str">
            <v>c</v>
          </cell>
          <cell r="M20" t="str">
            <v>c</v>
          </cell>
          <cell r="N20" t="str">
            <v>g</v>
          </cell>
          <cell r="O20">
            <v>9.9999999999999978E-2</v>
          </cell>
          <cell r="P20">
            <v>8.9999999999999969E-2</v>
          </cell>
          <cell r="R20">
            <v>39203</v>
          </cell>
          <cell r="S20" t="str">
            <v>Global</v>
          </cell>
          <cell r="T20"/>
          <cell r="U20">
            <v>9.2690899565209997E-2</v>
          </cell>
          <cell r="V20">
            <v>0</v>
          </cell>
          <cell r="W20">
            <v>9.2690899565209997E-2</v>
          </cell>
          <cell r="X20"/>
          <cell r="Y20">
            <v>9.2690899565209997E-2</v>
          </cell>
          <cell r="Z20" t="e">
            <v>#DIV/0!</v>
          </cell>
          <cell r="AA20"/>
          <cell r="AB20"/>
          <cell r="AC20">
            <v>2236824.388961412</v>
          </cell>
          <cell r="AD20">
            <v>0</v>
          </cell>
          <cell r="AE20">
            <v>2236824.388961412</v>
          </cell>
          <cell r="AF20">
            <v>-1</v>
          </cell>
          <cell r="AG20">
            <v>2236824.388961412</v>
          </cell>
          <cell r="AH20">
            <v>-1</v>
          </cell>
          <cell r="AI20"/>
          <cell r="AJ20"/>
          <cell r="AK20">
            <v>8.5325679435686211E-2</v>
          </cell>
          <cell r="AL20">
            <v>0</v>
          </cell>
          <cell r="AM20">
            <v>8.5325679435686211E-2</v>
          </cell>
          <cell r="AN20"/>
          <cell r="AO20">
            <v>8.5325679435686211E-2</v>
          </cell>
          <cell r="AP20" t="e">
            <v>#DIV/0!</v>
          </cell>
          <cell r="AQ20">
            <v>1.6350945472238174</v>
          </cell>
          <cell r="AR20">
            <v>5.2183942256157821E-2</v>
          </cell>
        </row>
        <row r="21">
          <cell r="B21">
            <v>39234</v>
          </cell>
          <cell r="C21">
            <v>39234</v>
          </cell>
          <cell r="D21" t="str">
            <v>Global</v>
          </cell>
          <cell r="E21">
            <v>9.6215869838089899E-2</v>
          </cell>
          <cell r="F21" t="str">
            <v>c</v>
          </cell>
          <cell r="G21" t="str">
            <v>g</v>
          </cell>
          <cell r="H21" t="str">
            <v>c</v>
          </cell>
          <cell r="I21">
            <v>9.9999999999999978E-2</v>
          </cell>
          <cell r="J21">
            <v>8.9999999999999969E-2</v>
          </cell>
          <cell r="K21">
            <v>8.7217819143106029E-2</v>
          </cell>
          <cell r="L21" t="str">
            <v>c</v>
          </cell>
          <cell r="M21" t="str">
            <v>c</v>
          </cell>
          <cell r="N21" t="str">
            <v>g</v>
          </cell>
          <cell r="O21">
            <v>9.9999999999999978E-2</v>
          </cell>
          <cell r="P21">
            <v>8.9999999999999969E-2</v>
          </cell>
          <cell r="R21">
            <v>39234</v>
          </cell>
          <cell r="S21" t="str">
            <v>Global</v>
          </cell>
          <cell r="T21"/>
          <cell r="U21">
            <v>9.6215869838089899E-2</v>
          </cell>
          <cell r="V21">
            <v>0</v>
          </cell>
          <cell r="W21">
            <v>9.6215869838089899E-2</v>
          </cell>
          <cell r="X21"/>
          <cell r="Y21">
            <v>9.6215869838089899E-2</v>
          </cell>
          <cell r="Z21" t="e">
            <v>#DIV/0!</v>
          </cell>
          <cell r="AA21"/>
          <cell r="AB21"/>
          <cell r="AC21">
            <v>2355698.9399999995</v>
          </cell>
          <cell r="AD21">
            <v>0</v>
          </cell>
          <cell r="AE21">
            <v>2355698.9399999995</v>
          </cell>
          <cell r="AF21">
            <v>-1</v>
          </cell>
          <cell r="AG21">
            <v>2355698.9399999995</v>
          </cell>
          <cell r="AH21">
            <v>-1</v>
          </cell>
          <cell r="AI21"/>
          <cell r="AJ21"/>
          <cell r="AK21">
            <v>8.7217819143106029E-2</v>
          </cell>
          <cell r="AL21">
            <v>0</v>
          </cell>
          <cell r="AM21">
            <v>8.7217819143106029E-2</v>
          </cell>
          <cell r="AN21"/>
          <cell r="AO21">
            <v>8.7217819143106029E-2</v>
          </cell>
          <cell r="AP21" t="e">
            <v>#DIV/0!</v>
          </cell>
          <cell r="AQ21">
            <v>1.6350945472238174</v>
          </cell>
          <cell r="AR21">
            <v>5.3341147330709895E-2</v>
          </cell>
        </row>
        <row r="22">
          <cell r="B22">
            <v>39264</v>
          </cell>
          <cell r="C22">
            <v>39264</v>
          </cell>
          <cell r="D22" t="str">
            <v>Global</v>
          </cell>
          <cell r="E22">
            <v>0.10527387342278843</v>
          </cell>
          <cell r="F22" t="str">
            <v>g</v>
          </cell>
          <cell r="G22" t="str">
            <v>c</v>
          </cell>
          <cell r="H22" t="str">
            <v>c</v>
          </cell>
          <cell r="I22">
            <v>9.9999999999999978E-2</v>
          </cell>
          <cell r="J22">
            <v>8.9999999999999969E-2</v>
          </cell>
          <cell r="K22">
            <v>9.026217715988645E-2</v>
          </cell>
          <cell r="L22" t="str">
            <v>c</v>
          </cell>
          <cell r="M22" t="str">
            <v>g</v>
          </cell>
          <cell r="N22" t="str">
            <v>c</v>
          </cell>
          <cell r="O22">
            <v>9.9999999999999978E-2</v>
          </cell>
          <cell r="P22">
            <v>8.9999999999999969E-2</v>
          </cell>
          <cell r="R22">
            <v>39264</v>
          </cell>
          <cell r="S22" t="str">
            <v>Global</v>
          </cell>
          <cell r="T22"/>
          <cell r="U22">
            <v>0.10527387342278843</v>
          </cell>
          <cell r="V22">
            <v>0</v>
          </cell>
          <cell r="W22">
            <v>0.10527387342278843</v>
          </cell>
          <cell r="X22"/>
          <cell r="Y22">
            <v>0.10527387342278843</v>
          </cell>
          <cell r="Z22" t="e">
            <v>#DIV/0!</v>
          </cell>
          <cell r="AA22"/>
          <cell r="AB22"/>
          <cell r="AC22">
            <v>3008443.831464326</v>
          </cell>
          <cell r="AD22">
            <v>0</v>
          </cell>
          <cell r="AE22">
            <v>3008443.831464326</v>
          </cell>
          <cell r="AF22">
            <v>-1</v>
          </cell>
          <cell r="AG22">
            <v>3008443.831464326</v>
          </cell>
          <cell r="AH22">
            <v>-1</v>
          </cell>
          <cell r="AI22"/>
          <cell r="AJ22"/>
          <cell r="AK22">
            <v>9.026217715988645E-2</v>
          </cell>
          <cell r="AL22">
            <v>0</v>
          </cell>
          <cell r="AM22">
            <v>9.026217715988645E-2</v>
          </cell>
          <cell r="AN22"/>
          <cell r="AO22">
            <v>9.026217715988645E-2</v>
          </cell>
          <cell r="AP22" t="e">
            <v>#DIV/0!</v>
          </cell>
          <cell r="AQ22">
            <v>1.6350945472238174</v>
          </cell>
          <cell r="AR22">
            <v>5.5203032334209756E-2</v>
          </cell>
        </row>
        <row r="23">
          <cell r="B23">
            <v>39295</v>
          </cell>
          <cell r="C23">
            <v>39295</v>
          </cell>
          <cell r="D23" t="str">
            <v>Global</v>
          </cell>
          <cell r="E23">
            <v>6.6489191360876596E-2</v>
          </cell>
          <cell r="F23" t="str">
            <v>c</v>
          </cell>
          <cell r="G23" t="str">
            <v>c</v>
          </cell>
          <cell r="H23" t="str">
            <v>g</v>
          </cell>
          <cell r="I23">
            <v>9.9999999999999978E-2</v>
          </cell>
          <cell r="J23">
            <v>8.9999999999999969E-2</v>
          </cell>
          <cell r="K23">
            <v>8.7083973736589923E-2</v>
          </cell>
          <cell r="L23" t="str">
            <v>c</v>
          </cell>
          <cell r="M23" t="str">
            <v>c</v>
          </cell>
          <cell r="N23" t="str">
            <v>g</v>
          </cell>
          <cell r="O23">
            <v>9.9999999999999978E-2</v>
          </cell>
          <cell r="P23">
            <v>8.9999999999999969E-2</v>
          </cell>
          <cell r="R23">
            <v>39295</v>
          </cell>
          <cell r="S23" t="str">
            <v>Global</v>
          </cell>
          <cell r="T23"/>
          <cell r="U23">
            <v>6.6489191360876596E-2</v>
          </cell>
          <cell r="V23">
            <v>0</v>
          </cell>
          <cell r="W23">
            <v>6.6489191360876596E-2</v>
          </cell>
          <cell r="X23"/>
          <cell r="Y23">
            <v>6.6489191360876596E-2</v>
          </cell>
          <cell r="Z23" t="e">
            <v>#DIV/0!</v>
          </cell>
          <cell r="AA23"/>
          <cell r="AB23"/>
          <cell r="AC23">
            <v>1739097.6469315663</v>
          </cell>
          <cell r="AD23">
            <v>0</v>
          </cell>
          <cell r="AE23">
            <v>1739097.6469315663</v>
          </cell>
          <cell r="AF23">
            <v>-1</v>
          </cell>
          <cell r="AG23">
            <v>1739097.6469315663</v>
          </cell>
          <cell r="AH23">
            <v>-1</v>
          </cell>
          <cell r="AI23"/>
          <cell r="AJ23"/>
          <cell r="AK23">
            <v>8.7083973736589923E-2</v>
          </cell>
          <cell r="AL23">
            <v>0</v>
          </cell>
          <cell r="AM23">
            <v>8.7083973736589923E-2</v>
          </cell>
          <cell r="AN23"/>
          <cell r="AO23">
            <v>8.7083973736589923E-2</v>
          </cell>
          <cell r="AP23" t="e">
            <v>#DIV/0!</v>
          </cell>
          <cell r="AQ23">
            <v>1.6350945472238174</v>
          </cell>
          <cell r="AR23">
            <v>5.3259289430355836E-2</v>
          </cell>
        </row>
        <row r="24">
          <cell r="B24">
            <v>39326</v>
          </cell>
          <cell r="C24">
            <v>39326</v>
          </cell>
          <cell r="D24" t="str">
            <v>Global</v>
          </cell>
          <cell r="E24">
            <v>9.2777726987191528E-2</v>
          </cell>
          <cell r="F24" t="str">
            <v>c</v>
          </cell>
          <cell r="G24" t="str">
            <v>g</v>
          </cell>
          <cell r="H24" t="str">
            <v>c</v>
          </cell>
          <cell r="I24">
            <v>9.9999999999999978E-2</v>
          </cell>
          <cell r="J24">
            <v>8.9999999999999969E-2</v>
          </cell>
          <cell r="K24">
            <v>8.7729083661605756E-2</v>
          </cell>
          <cell r="L24" t="str">
            <v>c</v>
          </cell>
          <cell r="M24" t="str">
            <v>c</v>
          </cell>
          <cell r="N24" t="str">
            <v>g</v>
          </cell>
          <cell r="O24">
            <v>9.9999999999999978E-2</v>
          </cell>
          <cell r="P24">
            <v>8.9999999999999969E-2</v>
          </cell>
          <cell r="R24">
            <v>39326</v>
          </cell>
          <cell r="S24" t="str">
            <v>Global</v>
          </cell>
          <cell r="T24"/>
          <cell r="U24">
            <v>9.2777726987191528E-2</v>
          </cell>
          <cell r="V24">
            <v>0</v>
          </cell>
          <cell r="W24">
            <v>9.2777726987191528E-2</v>
          </cell>
          <cell r="X24"/>
          <cell r="Y24">
            <v>9.2777726987191528E-2</v>
          </cell>
          <cell r="Z24" t="e">
            <v>#DIV/0!</v>
          </cell>
          <cell r="AA24"/>
          <cell r="AB24"/>
          <cell r="AC24">
            <v>2319411.0299807191</v>
          </cell>
          <cell r="AD24">
            <v>0</v>
          </cell>
          <cell r="AE24">
            <v>2319411.0299807191</v>
          </cell>
          <cell r="AF24">
            <v>-1</v>
          </cell>
          <cell r="AG24">
            <v>2319411.0299807191</v>
          </cell>
          <cell r="AH24">
            <v>-1</v>
          </cell>
          <cell r="AI24"/>
          <cell r="AJ24"/>
          <cell r="AK24">
            <v>8.7729083661605756E-2</v>
          </cell>
          <cell r="AL24">
            <v>0</v>
          </cell>
          <cell r="AM24">
            <v>8.7729083661605756E-2</v>
          </cell>
          <cell r="AN24"/>
          <cell r="AO24">
            <v>8.7729083661605756E-2</v>
          </cell>
          <cell r="AP24" t="e">
            <v>#DIV/0!</v>
          </cell>
          <cell r="AQ24">
            <v>1.6350945472238174</v>
          </cell>
          <cell r="AR24">
            <v>5.3653829260551678E-2</v>
          </cell>
        </row>
        <row r="25">
          <cell r="B25">
            <v>39356</v>
          </cell>
          <cell r="C25">
            <v>39356</v>
          </cell>
          <cell r="D25" t="str">
            <v>Global</v>
          </cell>
          <cell r="E25">
            <v>7.1459048075468018E-2</v>
          </cell>
          <cell r="F25" t="str">
            <v>c</v>
          </cell>
          <cell r="G25" t="str">
            <v>c</v>
          </cell>
          <cell r="H25" t="str">
            <v>g</v>
          </cell>
          <cell r="I25">
            <v>9.9999999999999978E-2</v>
          </cell>
          <cell r="J25">
            <v>8.9999999999999969E-2</v>
          </cell>
          <cell r="K25">
            <v>8.5963654837990663E-2</v>
          </cell>
          <cell r="L25" t="str">
            <v>c</v>
          </cell>
          <cell r="M25" t="str">
            <v>c</v>
          </cell>
          <cell r="N25" t="str">
            <v>g</v>
          </cell>
          <cell r="O25">
            <v>9.9999999999999978E-2</v>
          </cell>
          <cell r="P25">
            <v>8.9999999999999969E-2</v>
          </cell>
          <cell r="R25">
            <v>39356</v>
          </cell>
          <cell r="S25" t="str">
            <v>Global</v>
          </cell>
          <cell r="T25"/>
          <cell r="U25">
            <v>7.1459048075468018E-2</v>
          </cell>
          <cell r="V25">
            <v>0</v>
          </cell>
          <cell r="W25">
            <v>7.1459048075468018E-2</v>
          </cell>
          <cell r="X25"/>
          <cell r="Y25">
            <v>7.1459048075468018E-2</v>
          </cell>
          <cell r="Z25" t="e">
            <v>#DIV/0!</v>
          </cell>
          <cell r="AA25"/>
          <cell r="AB25"/>
          <cell r="AC25">
            <v>1919112.3000000007</v>
          </cell>
          <cell r="AD25">
            <v>0</v>
          </cell>
          <cell r="AE25">
            <v>1919112.3000000007</v>
          </cell>
          <cell r="AF25">
            <v>-1</v>
          </cell>
          <cell r="AG25">
            <v>1919112.3000000007</v>
          </cell>
          <cell r="AH25">
            <v>-1</v>
          </cell>
          <cell r="AI25"/>
          <cell r="AJ25"/>
          <cell r="AK25">
            <v>8.5963654837990663E-2</v>
          </cell>
          <cell r="AL25">
            <v>0</v>
          </cell>
          <cell r="AM25">
            <v>8.5963654837990663E-2</v>
          </cell>
          <cell r="AN25"/>
          <cell r="AO25">
            <v>8.5963654837990663E-2</v>
          </cell>
          <cell r="AP25" t="e">
            <v>#DIV/0!</v>
          </cell>
          <cell r="AQ25">
            <v>1.6350945472238174</v>
          </cell>
          <cell r="AR25">
            <v>5.2574118716221037E-2</v>
          </cell>
        </row>
        <row r="26">
          <cell r="B26">
            <v>39387</v>
          </cell>
          <cell r="C26">
            <v>39387</v>
          </cell>
          <cell r="D26" t="str">
            <v>Global</v>
          </cell>
          <cell r="E26">
            <v>7.6259417740698998E-2</v>
          </cell>
          <cell r="F26" t="str">
            <v>c</v>
          </cell>
          <cell r="G26" t="str">
            <v>c</v>
          </cell>
          <cell r="H26" t="str">
            <v>g</v>
          </cell>
          <cell r="I26">
            <v>9.9999999999999978E-2</v>
          </cell>
          <cell r="J26">
            <v>8.9999999999999969E-2</v>
          </cell>
          <cell r="K26">
            <v>8.4973054017828786E-2</v>
          </cell>
          <cell r="L26" t="str">
            <v>c</v>
          </cell>
          <cell r="M26" t="str">
            <v>c</v>
          </cell>
          <cell r="N26" t="str">
            <v>g</v>
          </cell>
          <cell r="O26">
            <v>9.9999999999999978E-2</v>
          </cell>
          <cell r="P26">
            <v>8.9999999999999969E-2</v>
          </cell>
          <cell r="R26">
            <v>39387</v>
          </cell>
          <cell r="S26" t="str">
            <v>Global</v>
          </cell>
          <cell r="T26"/>
          <cell r="U26">
            <v>7.6259417740698998E-2</v>
          </cell>
          <cell r="V26">
            <v>0</v>
          </cell>
          <cell r="W26">
            <v>7.6259417740698998E-2</v>
          </cell>
          <cell r="X26"/>
          <cell r="Y26">
            <v>7.6259417740698998E-2</v>
          </cell>
          <cell r="Z26" t="e">
            <v>#DIV/0!</v>
          </cell>
          <cell r="AA26"/>
          <cell r="AB26"/>
          <cell r="AC26">
            <v>2145725.6499999985</v>
          </cell>
          <cell r="AD26">
            <v>0</v>
          </cell>
          <cell r="AE26">
            <v>2145725.6499999985</v>
          </cell>
          <cell r="AF26">
            <v>-1</v>
          </cell>
          <cell r="AG26">
            <v>2145725.6499999985</v>
          </cell>
          <cell r="AH26">
            <v>-1</v>
          </cell>
          <cell r="AI26"/>
          <cell r="AJ26"/>
          <cell r="AK26">
            <v>8.4973054017828786E-2</v>
          </cell>
          <cell r="AL26">
            <v>0</v>
          </cell>
          <cell r="AM26">
            <v>8.4973054017828786E-2</v>
          </cell>
          <cell r="AN26"/>
          <cell r="AO26">
            <v>8.4973054017828786E-2</v>
          </cell>
          <cell r="AP26" t="e">
            <v>#DIV/0!</v>
          </cell>
          <cell r="AQ26">
            <v>1.6350945472238174</v>
          </cell>
          <cell r="AR26">
            <v>5.1968281688726949E-2</v>
          </cell>
        </row>
        <row r="27">
          <cell r="B27">
            <v>39417</v>
          </cell>
          <cell r="C27">
            <v>39417</v>
          </cell>
          <cell r="D27" t="str">
            <v>Global</v>
          </cell>
          <cell r="E27">
            <v>0.70089873023660332</v>
          </cell>
          <cell r="F27" t="str">
            <v>g</v>
          </cell>
          <cell r="G27" t="str">
            <v>c</v>
          </cell>
          <cell r="H27" t="str">
            <v>c</v>
          </cell>
          <cell r="I27">
            <v>0.10000000000000009</v>
          </cell>
          <cell r="J27">
            <v>9.000000000000008E-2</v>
          </cell>
          <cell r="K27">
            <v>0.14406571237072305</v>
          </cell>
          <cell r="L27" t="str">
            <v>g</v>
          </cell>
          <cell r="M27" t="str">
            <v>c</v>
          </cell>
          <cell r="N27" t="str">
            <v>c</v>
          </cell>
          <cell r="O27">
            <v>0.10000000000000009</v>
          </cell>
          <cell r="P27">
            <v>9.000000000000008E-2</v>
          </cell>
          <cell r="R27">
            <v>39417</v>
          </cell>
          <cell r="S27" t="str">
            <v>Global</v>
          </cell>
          <cell r="T27"/>
          <cell r="U27">
            <v>0.70089873023660332</v>
          </cell>
          <cell r="V27">
            <v>0</v>
          </cell>
          <cell r="W27">
            <v>0.70089873023660332</v>
          </cell>
          <cell r="X27"/>
          <cell r="Y27">
            <v>0.70089873023660332</v>
          </cell>
          <cell r="Z27" t="e">
            <v>#DIV/0!</v>
          </cell>
          <cell r="AA27"/>
          <cell r="AB27"/>
          <cell r="AC27">
            <v>20502520.039388403</v>
          </cell>
          <cell r="AD27">
            <v>0</v>
          </cell>
          <cell r="AE27">
            <v>20502520.039388403</v>
          </cell>
          <cell r="AF27">
            <v>-1</v>
          </cell>
          <cell r="AG27">
            <v>20502520.039388403</v>
          </cell>
          <cell r="AH27">
            <v>-1</v>
          </cell>
          <cell r="AI27"/>
          <cell r="AJ27"/>
          <cell r="AK27">
            <v>0.14406571237072305</v>
          </cell>
          <cell r="AL27">
            <v>0</v>
          </cell>
          <cell r="AM27">
            <v>0.14406571237072305</v>
          </cell>
          <cell r="AN27"/>
          <cell r="AO27">
            <v>0.14406571237072305</v>
          </cell>
          <cell r="AP27" t="e">
            <v>#DIV/0!</v>
          </cell>
          <cell r="AQ27">
            <v>1.6350945472238174</v>
          </cell>
          <cell r="AR27">
            <v>8.8108490493915656E-2</v>
          </cell>
        </row>
        <row r="28">
          <cell r="B28">
            <v>39448</v>
          </cell>
          <cell r="C28">
            <v>39448</v>
          </cell>
          <cell r="D28" t="str">
            <v>Global</v>
          </cell>
          <cell r="E28">
            <v>0.11558322324855019</v>
          </cell>
          <cell r="F28" t="str">
            <v>g</v>
          </cell>
          <cell r="G28" t="str">
            <v>c</v>
          </cell>
          <cell r="H28" t="str">
            <v>c</v>
          </cell>
          <cell r="I28">
            <v>0.10000000000000009</v>
          </cell>
          <cell r="J28">
            <v>9.000000000000008E-2</v>
          </cell>
          <cell r="K28">
            <v>0.11558322324855019</v>
          </cell>
          <cell r="L28" t="str">
            <v>g</v>
          </cell>
          <cell r="M28" t="str">
            <v>c</v>
          </cell>
          <cell r="N28" t="str">
            <v>c</v>
          </cell>
          <cell r="O28">
            <v>0.10000000000000009</v>
          </cell>
          <cell r="P28">
            <v>9.000000000000008E-2</v>
          </cell>
          <cell r="R28">
            <v>39448</v>
          </cell>
          <cell r="S28" t="str">
            <v>Global</v>
          </cell>
          <cell r="T28">
            <v>7.4183059363881587E-2</v>
          </cell>
          <cell r="U28">
            <v>0.11558322324855019</v>
          </cell>
          <cell r="V28">
            <v>0</v>
          </cell>
          <cell r="W28">
            <v>4.1400163884668606E-2</v>
          </cell>
          <cell r="X28">
            <v>0.55808110692217694</v>
          </cell>
          <cell r="Y28">
            <v>0.11558322324855019</v>
          </cell>
          <cell r="Z28" t="e">
            <v>#DIV/0!</v>
          </cell>
          <cell r="AA28"/>
          <cell r="AB28">
            <v>1624431.3308999999</v>
          </cell>
          <cell r="AC28">
            <v>2722280.5693884268</v>
          </cell>
          <cell r="AD28">
            <v>0</v>
          </cell>
          <cell r="AE28">
            <v>1097849.2384884269</v>
          </cell>
          <cell r="AF28">
            <v>-0.40328291316977072</v>
          </cell>
          <cell r="AG28">
            <v>2722280.5693884268</v>
          </cell>
          <cell r="AH28">
            <v>-1</v>
          </cell>
          <cell r="AI28"/>
          <cell r="AJ28">
            <v>7.4183059363881587E-2</v>
          </cell>
          <cell r="AK28">
            <v>0.11558322324855019</v>
          </cell>
          <cell r="AL28">
            <v>0</v>
          </cell>
          <cell r="AM28">
            <v>4.1400163884668606E-2</v>
          </cell>
          <cell r="AN28">
            <v>0.55808110692217694</v>
          </cell>
          <cell r="AO28">
            <v>0.11558322324855019</v>
          </cell>
          <cell r="AP28" t="e">
            <v>#DIV/0!</v>
          </cell>
          <cell r="AQ28">
            <v>0.55849996359236043</v>
          </cell>
          <cell r="AR28">
            <v>0.20695296469690089</v>
          </cell>
        </row>
        <row r="29">
          <cell r="B29">
            <v>39479</v>
          </cell>
          <cell r="C29">
            <v>39479</v>
          </cell>
          <cell r="D29" t="str">
            <v>Global</v>
          </cell>
          <cell r="E29">
            <v>6.098722482795102E-2</v>
          </cell>
          <cell r="F29" t="str">
            <v>c</v>
          </cell>
          <cell r="G29" t="str">
            <v>c</v>
          </cell>
          <cell r="H29" t="str">
            <v>g</v>
          </cell>
          <cell r="I29">
            <v>0.10000000000000009</v>
          </cell>
          <cell r="J29">
            <v>9.000000000000008E-2</v>
          </cell>
          <cell r="K29">
            <v>8.743003898218811E-2</v>
          </cell>
          <cell r="L29" t="str">
            <v>c</v>
          </cell>
          <cell r="M29" t="str">
            <v>c</v>
          </cell>
          <cell r="N29" t="str">
            <v>g</v>
          </cell>
          <cell r="O29">
            <v>0.10000000000000009</v>
          </cell>
          <cell r="P29">
            <v>9.000000000000008E-2</v>
          </cell>
          <cell r="R29">
            <v>39479</v>
          </cell>
          <cell r="S29" t="str">
            <v>Global</v>
          </cell>
          <cell r="T29">
            <v>9.0036853366557298E-2</v>
          </cell>
          <cell r="U29">
            <v>6.098722482795102E-2</v>
          </cell>
          <cell r="V29">
            <v>0</v>
          </cell>
          <cell r="W29">
            <v>-2.9049628538606279E-2</v>
          </cell>
          <cell r="X29">
            <v>-0.32264153457628808</v>
          </cell>
          <cell r="Y29">
            <v>6.098722482795102E-2</v>
          </cell>
          <cell r="Z29" t="e">
            <v>#DIV/0!</v>
          </cell>
          <cell r="AA29"/>
          <cell r="AB29">
            <v>1919112.3000000003</v>
          </cell>
          <cell r="AC29">
            <v>1529314.4910284281</v>
          </cell>
          <cell r="AD29">
            <v>0</v>
          </cell>
          <cell r="AE29">
            <v>-389797.8089715722</v>
          </cell>
          <cell r="AF29">
            <v>0.25488400931154609</v>
          </cell>
          <cell r="AG29">
            <v>1529314.4910284281</v>
          </cell>
          <cell r="AH29">
            <v>-1</v>
          </cell>
          <cell r="AI29"/>
          <cell r="AJ29">
            <v>8.2003035653676254E-2</v>
          </cell>
          <cell r="AK29">
            <v>8.743003898218811E-2</v>
          </cell>
          <cell r="AL29">
            <v>0</v>
          </cell>
          <cell r="AM29">
            <v>5.4270033285118563E-3</v>
          </cell>
          <cell r="AN29">
            <v>6.6180517407083972E-2</v>
          </cell>
          <cell r="AO29">
            <v>8.743003898218811E-2</v>
          </cell>
          <cell r="AP29" t="e">
            <v>#DIV/0!</v>
          </cell>
          <cell r="AQ29">
            <v>0.55849996359236043</v>
          </cell>
          <cell r="AR29">
            <v>0.15654439513267684</v>
          </cell>
        </row>
        <row r="30">
          <cell r="B30">
            <v>39508</v>
          </cell>
          <cell r="C30">
            <v>39508</v>
          </cell>
          <cell r="D30" t="str">
            <v>Global</v>
          </cell>
          <cell r="E30">
            <v>7.9311674435499038E-2</v>
          </cell>
          <cell r="F30" t="str">
            <v>c</v>
          </cell>
          <cell r="G30" t="str">
            <v>c</v>
          </cell>
          <cell r="H30" t="str">
            <v>g</v>
          </cell>
          <cell r="I30">
            <v>0.10000000000000009</v>
          </cell>
          <cell r="J30">
            <v>9.000000000000008E-2</v>
          </cell>
          <cell r="K30">
            <v>8.462096790481069E-2</v>
          </cell>
          <cell r="L30" t="str">
            <v>c</v>
          </cell>
          <cell r="M30" t="str">
            <v>c</v>
          </cell>
          <cell r="N30" t="str">
            <v>g</v>
          </cell>
          <cell r="O30">
            <v>0.10000000000000009</v>
          </cell>
          <cell r="P30">
            <v>9.000000000000008E-2</v>
          </cell>
          <cell r="R30">
            <v>39508</v>
          </cell>
          <cell r="S30" t="str">
            <v>Global</v>
          </cell>
          <cell r="T30">
            <v>8.7415091741736978E-2</v>
          </cell>
          <cell r="U30">
            <v>7.9311674435499038E-2</v>
          </cell>
          <cell r="V30">
            <v>0</v>
          </cell>
          <cell r="W30">
            <v>-8.1034173062379394E-3</v>
          </cell>
          <cell r="X30">
            <v>-9.2700438159797782E-2</v>
          </cell>
          <cell r="Y30">
            <v>7.9311674435499038E-2</v>
          </cell>
          <cell r="Z30" t="e">
            <v>#DIV/0!</v>
          </cell>
          <cell r="AA30"/>
          <cell r="AB30">
            <v>2305708.5756690018</v>
          </cell>
          <cell r="AC30">
            <v>2040583.3435166702</v>
          </cell>
          <cell r="AD30">
            <v>0</v>
          </cell>
          <cell r="AE30">
            <v>-265125.23215233162</v>
          </cell>
          <cell r="AF30">
            <v>0.12992619634708191</v>
          </cell>
          <cell r="AG30">
            <v>2040583.3435166702</v>
          </cell>
          <cell r="AH30">
            <v>-1</v>
          </cell>
          <cell r="AI30"/>
          <cell r="AJ30">
            <v>8.4054388320972506E-2</v>
          </cell>
          <cell r="AK30">
            <v>8.462096790481069E-2</v>
          </cell>
          <cell r="AL30">
            <v>0</v>
          </cell>
          <cell r="AM30">
            <v>5.6657958383818374E-4</v>
          </cell>
          <cell r="AN30">
            <v>6.7406306220993972E-3</v>
          </cell>
          <cell r="AO30">
            <v>8.462096790481069E-2</v>
          </cell>
          <cell r="AP30" t="e">
            <v>#DIV/0!</v>
          </cell>
          <cell r="AQ30">
            <v>0.55849996359236043</v>
          </cell>
          <cell r="AR30">
            <v>0.15151472412015068</v>
          </cell>
        </row>
        <row r="31">
          <cell r="B31">
            <v>39539</v>
          </cell>
          <cell r="C31">
            <v>39539</v>
          </cell>
          <cell r="D31" t="str">
            <v>Global</v>
          </cell>
          <cell r="E31">
            <v>1.3329981607925723E-2</v>
          </cell>
          <cell r="F31" t="str">
            <v>c</v>
          </cell>
          <cell r="G31" t="str">
            <v>c</v>
          </cell>
          <cell r="H31" t="str">
            <v>g</v>
          </cell>
          <cell r="I31">
            <v>0.10000000000000009</v>
          </cell>
          <cell r="J31">
            <v>9.000000000000008E-2</v>
          </cell>
          <cell r="K31">
            <v>6.5563794388465976E-2</v>
          </cell>
          <cell r="L31" t="str">
            <v>c</v>
          </cell>
          <cell r="M31" t="str">
            <v>c</v>
          </cell>
          <cell r="N31" t="str">
            <v>g</v>
          </cell>
          <cell r="O31">
            <v>0.10000000000000009</v>
          </cell>
          <cell r="P31">
            <v>9.000000000000008E-2</v>
          </cell>
          <cell r="R31">
            <v>39539</v>
          </cell>
          <cell r="S31" t="str">
            <v>Global</v>
          </cell>
          <cell r="T31">
            <v>8.1394785524714824E-2</v>
          </cell>
          <cell r="U31">
            <v>1.3329981607925723E-2</v>
          </cell>
          <cell r="V31">
            <v>0</v>
          </cell>
          <cell r="W31">
            <v>-6.8064803916789096E-2</v>
          </cell>
          <cell r="X31">
            <v>-0.83623052113236185</v>
          </cell>
          <cell r="Y31">
            <v>1.3329981607925723E-2</v>
          </cell>
          <cell r="Z31" t="e">
            <v>#DIV/0!</v>
          </cell>
          <cell r="AA31"/>
          <cell r="AB31">
            <v>1848470.37</v>
          </cell>
          <cell r="AC31">
            <v>361625.75187599659</v>
          </cell>
          <cell r="AD31">
            <v>0</v>
          </cell>
          <cell r="AE31">
            <v>-1486844.6181240035</v>
          </cell>
          <cell r="AF31">
            <v>4.1115562440195088</v>
          </cell>
          <cell r="AG31">
            <v>361625.75187599659</v>
          </cell>
          <cell r="AH31">
            <v>-1</v>
          </cell>
          <cell r="AI31"/>
          <cell r="AJ31">
            <v>8.3399998584391663E-2</v>
          </cell>
          <cell r="AK31">
            <v>6.5563794388465976E-2</v>
          </cell>
          <cell r="AL31">
            <v>0</v>
          </cell>
          <cell r="AM31">
            <v>-1.7836204195925687E-2</v>
          </cell>
          <cell r="AN31">
            <v>-0.21386336329343458</v>
          </cell>
          <cell r="AO31">
            <v>6.5563794388465976E-2</v>
          </cell>
          <cell r="AP31" t="e">
            <v>#DIV/0!</v>
          </cell>
          <cell r="AQ31">
            <v>0.55849996359236043</v>
          </cell>
          <cell r="AR31">
            <v>0.11739265651290152</v>
          </cell>
        </row>
        <row r="32">
          <cell r="B32">
            <v>39569</v>
          </cell>
          <cell r="C32">
            <v>39569</v>
          </cell>
          <cell r="D32" t="str">
            <v>Global</v>
          </cell>
          <cell r="E32">
            <v>6.2306642180429479E-2</v>
          </cell>
          <cell r="F32" t="str">
            <v>c</v>
          </cell>
          <cell r="G32" t="str">
            <v>c</v>
          </cell>
          <cell r="H32" t="str">
            <v>g</v>
          </cell>
          <cell r="I32">
            <v>0.10000000000000009</v>
          </cell>
          <cell r="J32">
            <v>9.000000000000008E-2</v>
          </cell>
          <cell r="K32">
            <v>6.4869040429497829E-2</v>
          </cell>
          <cell r="L32" t="str">
            <v>c</v>
          </cell>
          <cell r="M32" t="str">
            <v>c</v>
          </cell>
          <cell r="N32" t="str">
            <v>g</v>
          </cell>
          <cell r="O32">
            <v>0.10000000000000009</v>
          </cell>
          <cell r="P32">
            <v>9.000000000000008E-2</v>
          </cell>
          <cell r="R32">
            <v>39569</v>
          </cell>
          <cell r="S32" t="str">
            <v>Global</v>
          </cell>
          <cell r="T32">
            <v>9.2690899565209997E-2</v>
          </cell>
          <cell r="U32">
            <v>6.2306642180429479E-2</v>
          </cell>
          <cell r="V32">
            <v>0</v>
          </cell>
          <cell r="W32">
            <v>-3.0384257384780518E-2</v>
          </cell>
          <cell r="X32">
            <v>-0.3278019474112942</v>
          </cell>
          <cell r="Y32">
            <v>6.2306642180429479E-2</v>
          </cell>
          <cell r="Z32" t="e">
            <v>#DIV/0!</v>
          </cell>
          <cell r="AA32"/>
          <cell r="AB32">
            <v>2236824.388961412</v>
          </cell>
          <cell r="AC32">
            <v>1714449.4420555532</v>
          </cell>
          <cell r="AD32">
            <v>0</v>
          </cell>
          <cell r="AE32">
            <v>-522374.94690585881</v>
          </cell>
          <cell r="AF32">
            <v>0.30468961877321576</v>
          </cell>
          <cell r="AG32">
            <v>1714449.4420555532</v>
          </cell>
          <cell r="AH32">
            <v>-1</v>
          </cell>
          <cell r="AI32"/>
          <cell r="AJ32">
            <v>8.5325679435686211E-2</v>
          </cell>
          <cell r="AK32">
            <v>6.4869040429497829E-2</v>
          </cell>
          <cell r="AL32">
            <v>0</v>
          </cell>
          <cell r="AM32">
            <v>-2.0456639006188382E-2</v>
          </cell>
          <cell r="AN32">
            <v>-0.23974774231487328</v>
          </cell>
          <cell r="AO32">
            <v>6.4869040429497829E-2</v>
          </cell>
          <cell r="AP32" t="e">
            <v>#DIV/0!</v>
          </cell>
          <cell r="AQ32">
            <v>0.55849996359236043</v>
          </cell>
          <cell r="AR32">
            <v>0.11614869231548354</v>
          </cell>
        </row>
        <row r="33">
          <cell r="B33">
            <v>39600</v>
          </cell>
          <cell r="C33">
            <v>39600</v>
          </cell>
          <cell r="D33" t="str">
            <v>Global</v>
          </cell>
          <cell r="E33">
            <v>6.4407090420524572E-3</v>
          </cell>
          <cell r="F33" t="str">
            <v>c</v>
          </cell>
          <cell r="G33" t="str">
            <v>c</v>
          </cell>
          <cell r="H33" t="str">
            <v>g</v>
          </cell>
          <cell r="I33">
            <v>0.10000000000000009</v>
          </cell>
          <cell r="J33">
            <v>9.000000000000008E-2</v>
          </cell>
          <cell r="K33">
            <v>5.3840846424003615E-2</v>
          </cell>
          <cell r="L33" t="str">
            <v>c</v>
          </cell>
          <cell r="M33" t="str">
            <v>c</v>
          </cell>
          <cell r="N33" t="str">
            <v>g</v>
          </cell>
          <cell r="O33">
            <v>0.10000000000000009</v>
          </cell>
          <cell r="P33">
            <v>9.000000000000008E-2</v>
          </cell>
          <cell r="R33">
            <v>39600</v>
          </cell>
          <cell r="S33" t="str">
            <v>Global</v>
          </cell>
          <cell r="T33">
            <v>9.6215869838089899E-2</v>
          </cell>
          <cell r="U33">
            <v>6.4407090420524572E-3</v>
          </cell>
          <cell r="V33">
            <v>0</v>
          </cell>
          <cell r="W33">
            <v>-8.9775160796037437E-2</v>
          </cell>
          <cell r="X33">
            <v>-0.93305980548852541</v>
          </cell>
          <cell r="Y33">
            <v>6.4407090420524572E-3</v>
          </cell>
          <cell r="Z33" t="e">
            <v>#DIV/0!</v>
          </cell>
          <cell r="AA33"/>
          <cell r="AB33">
            <v>2355698.9399999995</v>
          </cell>
          <cell r="AC33">
            <v>193310.67474378645</v>
          </cell>
          <cell r="AD33">
            <v>0</v>
          </cell>
          <cell r="AE33">
            <v>-2162388.265256213</v>
          </cell>
          <cell r="AF33">
            <v>11.186077893123272</v>
          </cell>
          <cell r="AG33">
            <v>193310.67474378645</v>
          </cell>
          <cell r="AH33">
            <v>-1</v>
          </cell>
          <cell r="AI33"/>
          <cell r="AJ33">
            <v>8.7217819143106029E-2</v>
          </cell>
          <cell r="AK33">
            <v>5.3840846424003615E-2</v>
          </cell>
          <cell r="AL33">
            <v>0</v>
          </cell>
          <cell r="AM33">
            <v>-3.3376972719102414E-2</v>
          </cell>
          <cell r="AN33">
            <v>-0.38268524765951606</v>
          </cell>
          <cell r="AO33">
            <v>5.3840846424003615E-2</v>
          </cell>
          <cell r="AP33" t="e">
            <v>#DIV/0!</v>
          </cell>
          <cell r="AQ33">
            <v>0.55849996359236043</v>
          </cell>
          <cell r="AR33">
            <v>9.6402596121386908E-2</v>
          </cell>
        </row>
        <row r="34">
          <cell r="B34">
            <v>39630</v>
          </cell>
          <cell r="C34">
            <v>39630</v>
          </cell>
          <cell r="D34" t="str">
            <v>Global</v>
          </cell>
          <cell r="E34">
            <v>0.17746756352364604</v>
          </cell>
          <cell r="F34" t="str">
            <v>g</v>
          </cell>
          <cell r="G34" t="str">
            <v>c</v>
          </cell>
          <cell r="H34" t="str">
            <v>c</v>
          </cell>
          <cell r="I34">
            <v>0.10000000000000009</v>
          </cell>
          <cell r="J34">
            <v>9.000000000000008E-2</v>
          </cell>
          <cell r="K34">
            <v>7.3960070635950476E-2</v>
          </cell>
          <cell r="L34" t="str">
            <v>c</v>
          </cell>
          <cell r="M34" t="str">
            <v>c</v>
          </cell>
          <cell r="N34" t="str">
            <v>g</v>
          </cell>
          <cell r="O34">
            <v>0.10000000000000009</v>
          </cell>
          <cell r="P34">
            <v>9.000000000000008E-2</v>
          </cell>
          <cell r="R34">
            <v>39630</v>
          </cell>
          <cell r="S34" t="str">
            <v>Global</v>
          </cell>
          <cell r="T34">
            <v>0.10527387342278843</v>
          </cell>
          <cell r="U34">
            <v>0.17746756352364604</v>
          </cell>
          <cell r="V34">
            <v>0</v>
          </cell>
          <cell r="W34">
            <v>7.2193690100857605E-2</v>
          </cell>
          <cell r="X34">
            <v>0.68577024625019622</v>
          </cell>
          <cell r="Y34">
            <v>0.17746756352364604</v>
          </cell>
          <cell r="Z34" t="e">
            <v>#DIV/0!</v>
          </cell>
          <cell r="AA34"/>
          <cell r="AB34">
            <v>3008443.831464326</v>
          </cell>
          <cell r="AC34">
            <v>5485290.9779117703</v>
          </cell>
          <cell r="AD34">
            <v>0</v>
          </cell>
          <cell r="AE34">
            <v>2476847.1464474443</v>
          </cell>
          <cell r="AF34">
            <v>-0.45154343797279661</v>
          </cell>
          <cell r="AG34">
            <v>5485290.9779117703</v>
          </cell>
          <cell r="AH34">
            <v>-1</v>
          </cell>
          <cell r="AI34"/>
          <cell r="AJ34">
            <v>9.026217715988645E-2</v>
          </cell>
          <cell r="AK34">
            <v>7.3960070635950476E-2</v>
          </cell>
          <cell r="AL34">
            <v>0</v>
          </cell>
          <cell r="AM34">
            <v>-1.6302106523935975E-2</v>
          </cell>
          <cell r="AN34">
            <v>-0.18060839032343678</v>
          </cell>
          <cell r="AO34">
            <v>7.3960070635950476E-2</v>
          </cell>
          <cell r="AP34" t="e">
            <v>#DIV/0!</v>
          </cell>
          <cell r="AQ34">
            <v>0.55849996359236043</v>
          </cell>
          <cell r="AR34">
            <v>0.13242627655734757</v>
          </cell>
        </row>
        <row r="35">
          <cell r="B35">
            <v>39661</v>
          </cell>
          <cell r="C35">
            <v>39661</v>
          </cell>
          <cell r="D35" t="str">
            <v>Global</v>
          </cell>
          <cell r="E35">
            <v>8.5328692993881336E-2</v>
          </cell>
          <cell r="F35" t="str">
            <v>c</v>
          </cell>
          <cell r="G35" t="str">
            <v>c</v>
          </cell>
          <cell r="H35" t="str">
            <v>g</v>
          </cell>
          <cell r="I35">
            <v>9.9999999999999867E-2</v>
          </cell>
          <cell r="J35">
            <v>9.000000000000008E-2</v>
          </cell>
          <cell r="K35">
            <v>7.5586881188524649E-2</v>
          </cell>
          <cell r="L35" t="str">
            <v>c</v>
          </cell>
          <cell r="M35" t="str">
            <v>c</v>
          </cell>
          <cell r="N35" t="str">
            <v>g</v>
          </cell>
          <cell r="O35">
            <v>9.9999999999999867E-2</v>
          </cell>
          <cell r="P35">
            <v>9.000000000000008E-2</v>
          </cell>
          <cell r="R35">
            <v>39661</v>
          </cell>
          <cell r="S35" t="str">
            <v>Global</v>
          </cell>
          <cell r="T35">
            <v>6.6489191360876596E-2</v>
          </cell>
          <cell r="U35">
            <v>8.5328692993881336E-2</v>
          </cell>
          <cell r="V35">
            <v>0</v>
          </cell>
          <cell r="W35">
            <v>1.883950163300474E-2</v>
          </cell>
          <cell r="X35">
            <v>0.28334683047582132</v>
          </cell>
          <cell r="Y35">
            <v>8.5328692993881336E-2</v>
          </cell>
          <cell r="Z35" t="e">
            <v>#DIV/0!</v>
          </cell>
          <cell r="AA35"/>
          <cell r="AB35">
            <v>1739097.6469315663</v>
          </cell>
          <cell r="AC35">
            <v>2706288.7282217816</v>
          </cell>
          <cell r="AD35">
            <v>0</v>
          </cell>
          <cell r="AE35">
            <v>967191.08129021525</v>
          </cell>
          <cell r="AF35">
            <v>-0.3573865091348648</v>
          </cell>
          <cell r="AG35">
            <v>2706288.7282217816</v>
          </cell>
          <cell r="AH35">
            <v>-1</v>
          </cell>
          <cell r="AI35"/>
          <cell r="AJ35">
            <v>8.7083973736589923E-2</v>
          </cell>
          <cell r="AK35">
            <v>7.5586881188524649E-2</v>
          </cell>
          <cell r="AL35">
            <v>0</v>
          </cell>
          <cell r="AM35">
            <v>-1.1497092548065274E-2</v>
          </cell>
          <cell r="AN35">
            <v>-0.13202305837399519</v>
          </cell>
          <cell r="AO35">
            <v>7.5586881188524649E-2</v>
          </cell>
          <cell r="AP35" t="e">
            <v>#DIV/0!</v>
          </cell>
          <cell r="AQ35">
            <v>0.55849996359236043</v>
          </cell>
          <cell r="AR35">
            <v>0.13533909779033437</v>
          </cell>
        </row>
        <row r="36">
          <cell r="B36">
            <v>39692</v>
          </cell>
          <cell r="C36">
            <v>39692</v>
          </cell>
          <cell r="D36" t="str">
            <v>Global</v>
          </cell>
          <cell r="E36">
            <v>6.6185718207794481E-2</v>
          </cell>
          <cell r="F36" t="str">
            <v>c</v>
          </cell>
          <cell r="G36" t="str">
            <v>c</v>
          </cell>
          <cell r="H36" t="str">
            <v>g</v>
          </cell>
          <cell r="I36">
            <v>0.10000000000000009</v>
          </cell>
          <cell r="J36">
            <v>9.000000000000008E-2</v>
          </cell>
          <cell r="K36">
            <v>7.3670945100947391E-2</v>
          </cell>
          <cell r="L36" t="str">
            <v>c</v>
          </cell>
          <cell r="M36" t="str">
            <v>c</v>
          </cell>
          <cell r="N36" t="str">
            <v>g</v>
          </cell>
          <cell r="O36">
            <v>0.10000000000000009</v>
          </cell>
          <cell r="P36">
            <v>9.000000000000008E-2</v>
          </cell>
          <cell r="R36">
            <v>39692</v>
          </cell>
          <cell r="S36" t="str">
            <v>Global</v>
          </cell>
          <cell r="T36">
            <v>9.2777726987191528E-2</v>
          </cell>
          <cell r="U36">
            <v>6.6185718207794481E-2</v>
          </cell>
          <cell r="V36">
            <v>0</v>
          </cell>
          <cell r="W36">
            <v>-2.6592008779397047E-2</v>
          </cell>
          <cell r="X36">
            <v>-0.2866206108182433</v>
          </cell>
          <cell r="Y36">
            <v>6.6185718207794481E-2</v>
          </cell>
          <cell r="Z36" t="e">
            <v>#DIV/0!</v>
          </cell>
          <cell r="AA36"/>
          <cell r="AB36">
            <v>2319411.0299807191</v>
          </cell>
          <cell r="AC36">
            <v>3754829.56717778</v>
          </cell>
          <cell r="AD36">
            <v>0</v>
          </cell>
          <cell r="AE36">
            <v>1435418.5371970609</v>
          </cell>
          <cell r="AF36">
            <v>-0.38228593642292952</v>
          </cell>
          <cell r="AG36">
            <v>3754829.56717778</v>
          </cell>
          <cell r="AH36">
            <v>-1</v>
          </cell>
          <cell r="AI36"/>
          <cell r="AJ36">
            <v>8.7729083661605756E-2</v>
          </cell>
          <cell r="AK36">
            <v>7.3670945100947391E-2</v>
          </cell>
          <cell r="AL36">
            <v>0</v>
          </cell>
          <cell r="AM36">
            <v>-1.4058138560658365E-2</v>
          </cell>
          <cell r="AN36">
            <v>-0.1602449036728153</v>
          </cell>
          <cell r="AO36">
            <v>7.3670945100947391E-2</v>
          </cell>
          <cell r="AP36" t="e">
            <v>#DIV/0!</v>
          </cell>
          <cell r="AQ36">
            <v>0.55849996359236043</v>
          </cell>
          <cell r="AR36">
            <v>0.13190859427650484</v>
          </cell>
        </row>
        <row r="37">
          <cell r="B37">
            <v>39722</v>
          </cell>
          <cell r="C37">
            <v>39722</v>
          </cell>
          <cell r="D37" t="str">
            <v>Global</v>
          </cell>
          <cell r="E37">
            <v>3.3725019467498771E-2</v>
          </cell>
          <cell r="F37" t="str">
            <v>c</v>
          </cell>
          <cell r="G37" t="str">
            <v>c</v>
          </cell>
          <cell r="H37" t="str">
            <v>g</v>
          </cell>
          <cell r="I37">
            <v>0.10000000000000009</v>
          </cell>
          <cell r="J37">
            <v>9.000000000000008E-2</v>
          </cell>
          <cell r="K37">
            <v>6.8916902496056295E-2</v>
          </cell>
          <cell r="L37" t="str">
            <v>c</v>
          </cell>
          <cell r="M37" t="str">
            <v>c</v>
          </cell>
          <cell r="N37" t="str">
            <v>g</v>
          </cell>
          <cell r="O37">
            <v>0.10000000000000009</v>
          </cell>
          <cell r="P37">
            <v>9.000000000000008E-2</v>
          </cell>
          <cell r="R37">
            <v>39722</v>
          </cell>
          <cell r="S37" t="str">
            <v>Global</v>
          </cell>
          <cell r="T37">
            <v>7.1459048075468018E-2</v>
          </cell>
          <cell r="U37">
            <v>3.3725019467498771E-2</v>
          </cell>
          <cell r="V37">
            <v>0</v>
          </cell>
          <cell r="W37">
            <v>-3.7734028607969247E-2</v>
          </cell>
          <cell r="X37">
            <v>-0.52805109533670636</v>
          </cell>
          <cell r="Y37">
            <v>3.3725019467498771E-2</v>
          </cell>
          <cell r="Z37" t="e">
            <v>#DIV/0!</v>
          </cell>
          <cell r="AA37"/>
          <cell r="AB37">
            <v>1919112.3000000007</v>
          </cell>
          <cell r="AC37">
            <v>1268233.6738777831</v>
          </cell>
          <cell r="AD37">
            <v>0</v>
          </cell>
          <cell r="AE37">
            <v>-650878.62612221763</v>
          </cell>
          <cell r="AF37">
            <v>0.51321664100912479</v>
          </cell>
          <cell r="AG37">
            <v>1268233.6738777831</v>
          </cell>
          <cell r="AH37">
            <v>-1</v>
          </cell>
          <cell r="AI37"/>
          <cell r="AJ37">
            <v>8.5963654837990663E-2</v>
          </cell>
          <cell r="AK37">
            <v>6.8916902496056295E-2</v>
          </cell>
          <cell r="AL37">
            <v>0</v>
          </cell>
          <cell r="AM37">
            <v>-1.7046752341934368E-2</v>
          </cell>
          <cell r="AN37">
            <v>-0.19830185645388299</v>
          </cell>
          <cell r="AO37">
            <v>6.8916902496056295E-2</v>
          </cell>
          <cell r="AP37" t="e">
            <v>#DIV/0!</v>
          </cell>
          <cell r="AQ37">
            <v>0.55849996359236043</v>
          </cell>
          <cell r="AR37">
            <v>0.12339643149262149</v>
          </cell>
        </row>
        <row r="38">
          <cell r="B38">
            <v>39753</v>
          </cell>
          <cell r="C38">
            <v>39753</v>
          </cell>
          <cell r="D38" t="str">
            <v>Global</v>
          </cell>
          <cell r="E38">
            <v>-8.8025590044777488E-2</v>
          </cell>
          <cell r="F38" t="str">
            <v>c</v>
          </cell>
          <cell r="G38" t="str">
            <v>c</v>
          </cell>
          <cell r="H38" t="str">
            <v>g</v>
          </cell>
          <cell r="I38">
            <v>0.10000000000000009</v>
          </cell>
          <cell r="J38">
            <v>9.000000000000008E-2</v>
          </cell>
          <cell r="K38">
            <v>5.7989405304630336E-2</v>
          </cell>
          <cell r="L38" t="str">
            <v>c</v>
          </cell>
          <cell r="M38" t="str">
            <v>c</v>
          </cell>
          <cell r="N38" t="str">
            <v>g</v>
          </cell>
          <cell r="O38">
            <v>0.10000000000000009</v>
          </cell>
          <cell r="P38">
            <v>9.000000000000008E-2</v>
          </cell>
          <cell r="R38">
            <v>39753</v>
          </cell>
          <cell r="S38" t="str">
            <v>Global</v>
          </cell>
          <cell r="T38">
            <v>7.6259417740698998E-2</v>
          </cell>
          <cell r="U38">
            <v>-8.8025590044777488E-2</v>
          </cell>
          <cell r="V38">
            <v>0</v>
          </cell>
          <cell r="W38">
            <v>-0.1642850077854765</v>
          </cell>
          <cell r="X38">
            <v>-2.1542913997073305</v>
          </cell>
          <cell r="Y38">
            <v>-8.8025590044777488E-2</v>
          </cell>
          <cell r="Z38" t="e">
            <v>#DIV/0!</v>
          </cell>
          <cell r="AA38"/>
          <cell r="AB38">
            <v>2145725.6499999985</v>
          </cell>
          <cell r="AC38">
            <v>-2081558.7857222185</v>
          </cell>
          <cell r="AD38">
            <v>0</v>
          </cell>
          <cell r="AE38">
            <v>-4227284.435722217</v>
          </cell>
          <cell r="AF38">
            <v>-2.0308263522115793</v>
          </cell>
          <cell r="AG38">
            <v>-2081558.7857222185</v>
          </cell>
          <cell r="AH38">
            <v>-1</v>
          </cell>
          <cell r="AI38"/>
          <cell r="AJ38">
            <v>8.4973054017828786E-2</v>
          </cell>
          <cell r="AK38">
            <v>5.7989405304630336E-2</v>
          </cell>
          <cell r="AL38">
            <v>0</v>
          </cell>
          <cell r="AM38">
            <v>-2.6983648713198451E-2</v>
          </cell>
          <cell r="AN38">
            <v>-0.31755535946179858</v>
          </cell>
          <cell r="AO38">
            <v>5.7989405304630336E-2</v>
          </cell>
          <cell r="AP38" t="e">
            <v>#DIV/0!</v>
          </cell>
          <cell r="AQ38">
            <v>0.55849996359236043</v>
          </cell>
          <cell r="AR38">
            <v>0.10383063399258484</v>
          </cell>
        </row>
        <row r="39">
          <cell r="B39">
            <v>39783</v>
          </cell>
          <cell r="C39">
            <v>39783</v>
          </cell>
          <cell r="D39" t="str">
            <v>Global</v>
          </cell>
          <cell r="E39">
            <v>-5.4140895898090555E-2</v>
          </cell>
          <cell r="F39" t="str">
            <v>c</v>
          </cell>
          <cell r="G39" t="str">
            <v>c</v>
          </cell>
          <cell r="H39" t="str">
            <v>g</v>
          </cell>
          <cell r="I39">
            <v>0.10000000000000009</v>
          </cell>
          <cell r="J39">
            <v>8.9999999999999858E-2</v>
          </cell>
          <cell r="K39">
            <v>3.6069296253223221E-2</v>
          </cell>
          <cell r="L39" t="str">
            <v>c</v>
          </cell>
          <cell r="M39" t="str">
            <v>c</v>
          </cell>
          <cell r="N39" t="str">
            <v>g</v>
          </cell>
          <cell r="O39">
            <v>0.10000000000000009</v>
          </cell>
          <cell r="P39">
            <v>8.9999999999999858E-2</v>
          </cell>
          <cell r="R39">
            <v>39783</v>
          </cell>
          <cell r="S39" t="str">
            <v>Global</v>
          </cell>
          <cell r="T39">
            <v>0.70089873023660332</v>
          </cell>
          <cell r="U39">
            <v>-5.4140895898090555E-2</v>
          </cell>
          <cell r="V39">
            <v>0</v>
          </cell>
          <cell r="W39">
            <v>-0.75503962613469389</v>
          </cell>
          <cell r="X39">
            <v>-1.0772449621642404</v>
          </cell>
          <cell r="Y39">
            <v>-5.4140895898090555E-2</v>
          </cell>
          <cell r="Z39" t="e">
            <v>#DIV/0!</v>
          </cell>
          <cell r="AA39"/>
          <cell r="AB39">
            <v>20502520.039388403</v>
          </cell>
          <cell r="AC39">
            <v>-4467989.2367052287</v>
          </cell>
          <cell r="AD39">
            <v>0</v>
          </cell>
          <cell r="AE39">
            <v>-24970509.276093632</v>
          </cell>
          <cell r="AF39">
            <v>-5.5887577058057802</v>
          </cell>
          <cell r="AG39">
            <v>-4467989.2367052287</v>
          </cell>
          <cell r="AH39">
            <v>-1</v>
          </cell>
          <cell r="AI39"/>
          <cell r="AJ39">
            <v>0.14406571237072305</v>
          </cell>
          <cell r="AK39">
            <v>3.6069296253223221E-2</v>
          </cell>
          <cell r="AL39">
            <v>0</v>
          </cell>
          <cell r="AM39">
            <v>-0.10799641611749983</v>
          </cell>
          <cell r="AN39">
            <v>-0.74963302745898064</v>
          </cell>
          <cell r="AO39">
            <v>3.6069296253223221E-2</v>
          </cell>
          <cell r="AP39" t="e">
            <v>#DIV/0!</v>
          </cell>
          <cell r="AQ39">
            <v>0.55849996359236043</v>
          </cell>
          <cell r="AR39">
            <v>6.4582450500479505E-2</v>
          </cell>
        </row>
        <row r="40">
          <cell r="B40">
            <v>39814</v>
          </cell>
          <cell r="C40"/>
          <cell r="D40" t="str">
            <v>Global</v>
          </cell>
          <cell r="E40" t="str">
            <v/>
          </cell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  <cell r="L40" t="str">
            <v/>
          </cell>
          <cell r="M40" t="str">
            <v/>
          </cell>
          <cell r="N40" t="str">
            <v/>
          </cell>
          <cell r="O40" t="str">
            <v/>
          </cell>
          <cell r="P40" t="str">
            <v/>
          </cell>
          <cell r="R40">
            <v>39814</v>
          </cell>
          <cell r="S40" t="str">
            <v>Global</v>
          </cell>
          <cell r="T40">
            <v>0.11558322324855019</v>
          </cell>
          <cell r="U40" t="str">
            <v/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 t="str">
            <v/>
          </cell>
          <cell r="AA40"/>
          <cell r="AB40">
            <v>2722280.5693884268</v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/>
          <cell r="AJ40">
            <v>0.11558322324855019</v>
          </cell>
          <cell r="AK40" t="str">
            <v/>
          </cell>
          <cell r="AL40" t="str">
            <v/>
          </cell>
          <cell r="AM40" t="str">
            <v/>
          </cell>
          <cell r="AN40" t="str">
            <v/>
          </cell>
          <cell r="AO40" t="str">
            <v/>
          </cell>
          <cell r="AP40" t="str">
            <v/>
          </cell>
          <cell r="AQ40">
            <v>0.55849996359236043</v>
          </cell>
          <cell r="AR40" t="str">
            <v/>
          </cell>
        </row>
        <row r="41">
          <cell r="B41">
            <v>39845</v>
          </cell>
          <cell r="C41"/>
          <cell r="D41" t="str">
            <v>Global</v>
          </cell>
          <cell r="E41" t="str">
            <v/>
          </cell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  <cell r="J41" t="str">
            <v/>
          </cell>
          <cell r="K41" t="str">
            <v/>
          </cell>
          <cell r="L41" t="str">
            <v/>
          </cell>
          <cell r="M41" t="str">
            <v/>
          </cell>
          <cell r="N41" t="str">
            <v/>
          </cell>
          <cell r="O41"/>
          <cell r="P41"/>
          <cell r="R41">
            <v>39845</v>
          </cell>
          <cell r="S41" t="str">
            <v>Global</v>
          </cell>
          <cell r="T41">
            <v>6.098722482795102E-2</v>
          </cell>
          <cell r="U41" t="str">
            <v/>
          </cell>
          <cell r="V41" t="str">
            <v/>
          </cell>
          <cell r="W41" t="str">
            <v/>
          </cell>
          <cell r="X41" t="str">
            <v/>
          </cell>
          <cell r="Y41" t="str">
            <v/>
          </cell>
          <cell r="Z41" t="str">
            <v/>
          </cell>
          <cell r="AA41"/>
          <cell r="AB41">
            <v>1529314.4910284281</v>
          </cell>
          <cell r="AC41" t="str">
            <v/>
          </cell>
          <cell r="AD41" t="str">
            <v/>
          </cell>
          <cell r="AE41" t="str">
            <v/>
          </cell>
          <cell r="AF41" t="str">
            <v/>
          </cell>
          <cell r="AG41" t="str">
            <v/>
          </cell>
          <cell r="AH41" t="str">
            <v/>
          </cell>
          <cell r="AI41"/>
          <cell r="AJ41">
            <v>8.743003898218811E-2</v>
          </cell>
          <cell r="AK41" t="str">
            <v/>
          </cell>
          <cell r="AL41" t="str">
            <v/>
          </cell>
          <cell r="AM41" t="str">
            <v/>
          </cell>
          <cell r="AN41" t="str">
            <v/>
          </cell>
          <cell r="AO41" t="str">
            <v/>
          </cell>
          <cell r="AP41" t="str">
            <v/>
          </cell>
          <cell r="AQ41">
            <v>0.55849996359236043</v>
          </cell>
          <cell r="AR41"/>
        </row>
        <row r="42">
          <cell r="B42">
            <v>39873</v>
          </cell>
          <cell r="C42"/>
          <cell r="D42" t="str">
            <v>Global</v>
          </cell>
          <cell r="E42" t="str">
            <v/>
          </cell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  <cell r="J42" t="str">
            <v/>
          </cell>
          <cell r="K42" t="str">
            <v/>
          </cell>
          <cell r="L42" t="str">
            <v/>
          </cell>
          <cell r="M42" t="str">
            <v/>
          </cell>
          <cell r="N42" t="str">
            <v/>
          </cell>
          <cell r="O42"/>
          <cell r="P42"/>
          <cell r="R42">
            <v>39873</v>
          </cell>
          <cell r="S42" t="str">
            <v>Global</v>
          </cell>
          <cell r="T42">
            <v>7.9311674435499038E-2</v>
          </cell>
          <cell r="U42" t="str">
            <v/>
          </cell>
          <cell r="V42" t="str">
            <v/>
          </cell>
          <cell r="W42" t="str">
            <v/>
          </cell>
          <cell r="X42" t="str">
            <v/>
          </cell>
          <cell r="Y42" t="str">
            <v/>
          </cell>
          <cell r="Z42" t="str">
            <v/>
          </cell>
          <cell r="AA42"/>
          <cell r="AB42">
            <v>2040583.3435166702</v>
          </cell>
          <cell r="AC42" t="str">
            <v/>
          </cell>
          <cell r="AD42" t="str">
            <v/>
          </cell>
          <cell r="AE42" t="str">
            <v/>
          </cell>
          <cell r="AF42" t="str">
            <v/>
          </cell>
          <cell r="AG42" t="str">
            <v/>
          </cell>
          <cell r="AH42" t="str">
            <v/>
          </cell>
          <cell r="AI42"/>
          <cell r="AJ42">
            <v>8.462096790481069E-2</v>
          </cell>
          <cell r="AK42" t="str">
            <v/>
          </cell>
          <cell r="AL42" t="str">
            <v/>
          </cell>
          <cell r="AM42" t="str">
            <v/>
          </cell>
          <cell r="AN42" t="str">
            <v/>
          </cell>
          <cell r="AO42" t="str">
            <v/>
          </cell>
          <cell r="AP42" t="str">
            <v/>
          </cell>
          <cell r="AQ42">
            <v>0.55849996359236043</v>
          </cell>
          <cell r="AR42"/>
        </row>
        <row r="43">
          <cell r="B43">
            <v>39904</v>
          </cell>
          <cell r="C43"/>
          <cell r="D43" t="str">
            <v>Global</v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 t="str">
            <v/>
          </cell>
          <cell r="L43" t="str">
            <v/>
          </cell>
          <cell r="M43" t="str">
            <v/>
          </cell>
          <cell r="N43" t="str">
            <v/>
          </cell>
          <cell r="O43"/>
          <cell r="P43"/>
          <cell r="R43">
            <v>39904</v>
          </cell>
          <cell r="S43" t="str">
            <v>Global</v>
          </cell>
          <cell r="T43">
            <v>1.3329981607925723E-2</v>
          </cell>
          <cell r="U43" t="str">
            <v/>
          </cell>
          <cell r="V43" t="str">
            <v/>
          </cell>
          <cell r="W43" t="str">
            <v/>
          </cell>
          <cell r="X43" t="str">
            <v/>
          </cell>
          <cell r="Y43" t="str">
            <v/>
          </cell>
          <cell r="Z43" t="str">
            <v/>
          </cell>
          <cell r="AA43"/>
          <cell r="AB43">
            <v>361625.75187599659</v>
          </cell>
          <cell r="AC43" t="str">
            <v/>
          </cell>
          <cell r="AD43" t="str">
            <v/>
          </cell>
          <cell r="AE43" t="str">
            <v/>
          </cell>
          <cell r="AF43" t="str">
            <v/>
          </cell>
          <cell r="AG43" t="str">
            <v/>
          </cell>
          <cell r="AH43" t="str">
            <v/>
          </cell>
          <cell r="AI43"/>
          <cell r="AJ43">
            <v>6.5563794388465976E-2</v>
          </cell>
          <cell r="AK43" t="str">
            <v/>
          </cell>
          <cell r="AL43" t="str">
            <v/>
          </cell>
          <cell r="AM43" t="str">
            <v/>
          </cell>
          <cell r="AN43" t="str">
            <v/>
          </cell>
          <cell r="AO43" t="str">
            <v/>
          </cell>
          <cell r="AP43" t="str">
            <v/>
          </cell>
          <cell r="AQ43">
            <v>0.55849996359236043</v>
          </cell>
          <cell r="AR43"/>
        </row>
        <row r="44">
          <cell r="B44">
            <v>39934</v>
          </cell>
          <cell r="C44"/>
          <cell r="D44" t="str">
            <v>Global</v>
          </cell>
          <cell r="E44" t="str">
            <v/>
          </cell>
          <cell r="F44" t="str">
            <v/>
          </cell>
          <cell r="G44" t="str">
            <v/>
          </cell>
          <cell r="H44" t="str">
            <v/>
          </cell>
          <cell r="I44" t="str">
            <v/>
          </cell>
          <cell r="J44" t="str">
            <v/>
          </cell>
          <cell r="K44" t="str">
            <v/>
          </cell>
          <cell r="L44" t="str">
            <v/>
          </cell>
          <cell r="M44" t="str">
            <v/>
          </cell>
          <cell r="N44" t="str">
            <v/>
          </cell>
          <cell r="O44"/>
          <cell r="P44"/>
          <cell r="R44">
            <v>39934</v>
          </cell>
          <cell r="S44" t="str">
            <v>Global</v>
          </cell>
          <cell r="T44">
            <v>6.2306642180429479E-2</v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  <cell r="AA44"/>
          <cell r="AB44">
            <v>1714449.4420555532</v>
          </cell>
          <cell r="AC44" t="str">
            <v/>
          </cell>
          <cell r="AD44" t="str">
            <v/>
          </cell>
          <cell r="AE44" t="str">
            <v/>
          </cell>
          <cell r="AF44" t="str">
            <v/>
          </cell>
          <cell r="AG44" t="str">
            <v/>
          </cell>
          <cell r="AH44" t="str">
            <v/>
          </cell>
          <cell r="AI44"/>
          <cell r="AJ44">
            <v>6.4869040429497829E-2</v>
          </cell>
          <cell r="AK44" t="str">
            <v/>
          </cell>
          <cell r="AL44" t="str">
            <v/>
          </cell>
          <cell r="AM44" t="str">
            <v/>
          </cell>
          <cell r="AN44" t="str">
            <v/>
          </cell>
          <cell r="AO44" t="str">
            <v/>
          </cell>
          <cell r="AP44" t="str">
            <v/>
          </cell>
          <cell r="AQ44">
            <v>0</v>
          </cell>
          <cell r="AR44"/>
        </row>
        <row r="45">
          <cell r="B45">
            <v>39965</v>
          </cell>
          <cell r="C45"/>
          <cell r="D45" t="str">
            <v>Global</v>
          </cell>
          <cell r="E45" t="str">
            <v/>
          </cell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  <cell r="M45" t="str">
            <v/>
          </cell>
          <cell r="N45" t="str">
            <v/>
          </cell>
          <cell r="O45"/>
          <cell r="P45"/>
          <cell r="R45">
            <v>39965</v>
          </cell>
          <cell r="S45" t="str">
            <v>Global</v>
          </cell>
          <cell r="T45">
            <v>6.4407090420524572E-3</v>
          </cell>
          <cell r="U45" t="str">
            <v/>
          </cell>
          <cell r="V45" t="str">
            <v/>
          </cell>
          <cell r="W45" t="str">
            <v/>
          </cell>
          <cell r="X45" t="str">
            <v/>
          </cell>
          <cell r="Y45" t="str">
            <v/>
          </cell>
          <cell r="Z45" t="str">
            <v/>
          </cell>
          <cell r="AA45"/>
          <cell r="AB45">
            <v>193310.67474378645</v>
          </cell>
          <cell r="AC45" t="str">
            <v/>
          </cell>
          <cell r="AD45" t="str">
            <v/>
          </cell>
          <cell r="AE45" t="str">
            <v/>
          </cell>
          <cell r="AF45" t="str">
            <v/>
          </cell>
          <cell r="AG45" t="str">
            <v/>
          </cell>
          <cell r="AH45" t="str">
            <v/>
          </cell>
          <cell r="AI45"/>
          <cell r="AJ45">
            <v>5.3840846424003615E-2</v>
          </cell>
          <cell r="AK45" t="str">
            <v/>
          </cell>
          <cell r="AL45" t="str">
            <v/>
          </cell>
          <cell r="AM45" t="str">
            <v/>
          </cell>
          <cell r="AN45" t="str">
            <v/>
          </cell>
          <cell r="AO45" t="str">
            <v/>
          </cell>
          <cell r="AP45" t="str">
            <v/>
          </cell>
          <cell r="AQ45">
            <v>0</v>
          </cell>
          <cell r="AR45"/>
        </row>
        <row r="46">
          <cell r="B46">
            <v>39995</v>
          </cell>
          <cell r="C46"/>
          <cell r="D46" t="str">
            <v>Global</v>
          </cell>
          <cell r="E46" t="str">
            <v/>
          </cell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  <cell r="M46" t="str">
            <v/>
          </cell>
          <cell r="N46" t="str">
            <v/>
          </cell>
          <cell r="O46"/>
          <cell r="P46"/>
          <cell r="R46">
            <v>39995</v>
          </cell>
          <cell r="S46" t="str">
            <v>Global</v>
          </cell>
          <cell r="T46">
            <v>0.17746756352364604</v>
          </cell>
          <cell r="U46" t="str">
            <v/>
          </cell>
          <cell r="V46" t="str">
            <v/>
          </cell>
          <cell r="W46" t="str">
            <v/>
          </cell>
          <cell r="X46" t="str">
            <v/>
          </cell>
          <cell r="Y46" t="str">
            <v/>
          </cell>
          <cell r="Z46" t="str">
            <v/>
          </cell>
          <cell r="AA46"/>
          <cell r="AB46">
            <v>5485290.9779117703</v>
          </cell>
          <cell r="AC46" t="str">
            <v/>
          </cell>
          <cell r="AD46" t="str">
            <v/>
          </cell>
          <cell r="AE46" t="str">
            <v/>
          </cell>
          <cell r="AF46" t="str">
            <v/>
          </cell>
          <cell r="AG46" t="str">
            <v/>
          </cell>
          <cell r="AH46" t="str">
            <v/>
          </cell>
          <cell r="AI46"/>
          <cell r="AJ46">
            <v>7.3960070635950476E-2</v>
          </cell>
          <cell r="AK46" t="str">
            <v/>
          </cell>
          <cell r="AL46" t="str">
            <v/>
          </cell>
          <cell r="AM46" t="str">
            <v/>
          </cell>
          <cell r="AN46" t="str">
            <v/>
          </cell>
          <cell r="AO46" t="str">
            <v/>
          </cell>
          <cell r="AP46" t="str">
            <v/>
          </cell>
          <cell r="AQ46">
            <v>0</v>
          </cell>
          <cell r="AR46"/>
        </row>
        <row r="47">
          <cell r="B47">
            <v>40026</v>
          </cell>
          <cell r="C47"/>
          <cell r="D47" t="str">
            <v>Global</v>
          </cell>
          <cell r="E47" t="str">
            <v/>
          </cell>
          <cell r="F47" t="str">
            <v/>
          </cell>
          <cell r="G47" t="str">
            <v/>
          </cell>
          <cell r="H47" t="str">
            <v/>
          </cell>
          <cell r="I47" t="str">
            <v/>
          </cell>
          <cell r="J47" t="str">
            <v/>
          </cell>
          <cell r="K47" t="str">
            <v/>
          </cell>
          <cell r="L47" t="str">
            <v/>
          </cell>
          <cell r="M47" t="str">
            <v/>
          </cell>
          <cell r="N47" t="str">
            <v/>
          </cell>
          <cell r="O47"/>
          <cell r="P47"/>
          <cell r="R47">
            <v>40026</v>
          </cell>
          <cell r="S47" t="str">
            <v>Global</v>
          </cell>
          <cell r="T47">
            <v>8.5328692993881336E-2</v>
          </cell>
          <cell r="U47" t="str">
            <v/>
          </cell>
          <cell r="V47" t="str">
            <v/>
          </cell>
          <cell r="W47" t="str">
            <v/>
          </cell>
          <cell r="X47" t="str">
            <v/>
          </cell>
          <cell r="Y47" t="str">
            <v/>
          </cell>
          <cell r="Z47" t="str">
            <v/>
          </cell>
          <cell r="AA47"/>
          <cell r="AB47">
            <v>2706288.7282217816</v>
          </cell>
          <cell r="AC47" t="str">
            <v/>
          </cell>
          <cell r="AD47" t="str">
            <v/>
          </cell>
          <cell r="AE47" t="str">
            <v/>
          </cell>
          <cell r="AF47" t="str">
            <v/>
          </cell>
          <cell r="AG47" t="str">
            <v/>
          </cell>
          <cell r="AH47" t="str">
            <v/>
          </cell>
          <cell r="AI47"/>
          <cell r="AJ47">
            <v>7.5586881188524649E-2</v>
          </cell>
          <cell r="AK47" t="str">
            <v/>
          </cell>
          <cell r="AL47" t="str">
            <v/>
          </cell>
          <cell r="AM47" t="str">
            <v/>
          </cell>
          <cell r="AN47" t="str">
            <v/>
          </cell>
          <cell r="AO47" t="str">
            <v/>
          </cell>
          <cell r="AP47" t="str">
            <v/>
          </cell>
          <cell r="AQ47">
            <v>0</v>
          </cell>
          <cell r="AR47"/>
        </row>
        <row r="48">
          <cell r="B48">
            <v>40057</v>
          </cell>
          <cell r="C48"/>
          <cell r="D48" t="str">
            <v>Global</v>
          </cell>
          <cell r="E48" t="str">
            <v/>
          </cell>
          <cell r="F48" t="str">
            <v/>
          </cell>
          <cell r="G48" t="str">
            <v/>
          </cell>
          <cell r="H48" t="str">
            <v/>
          </cell>
          <cell r="I48" t="str">
            <v/>
          </cell>
          <cell r="J48" t="str">
            <v/>
          </cell>
          <cell r="K48" t="str">
            <v/>
          </cell>
          <cell r="L48" t="str">
            <v/>
          </cell>
          <cell r="M48" t="str">
            <v/>
          </cell>
          <cell r="N48" t="str">
            <v/>
          </cell>
          <cell r="O48"/>
          <cell r="P48"/>
          <cell r="R48">
            <v>40057</v>
          </cell>
          <cell r="S48" t="str">
            <v>Global</v>
          </cell>
          <cell r="T48">
            <v>6.6185718207794481E-2</v>
          </cell>
          <cell r="U48" t="str">
            <v/>
          </cell>
          <cell r="V48" t="str">
            <v/>
          </cell>
          <cell r="W48" t="str">
            <v/>
          </cell>
          <cell r="X48" t="str">
            <v/>
          </cell>
          <cell r="Y48" t="str">
            <v/>
          </cell>
          <cell r="Z48" t="str">
            <v/>
          </cell>
          <cell r="AA48"/>
          <cell r="AB48">
            <v>3754829.56717778</v>
          </cell>
          <cell r="AC48" t="str">
            <v/>
          </cell>
          <cell r="AD48" t="str">
            <v/>
          </cell>
          <cell r="AE48" t="str">
            <v/>
          </cell>
          <cell r="AF48" t="str">
            <v/>
          </cell>
          <cell r="AG48" t="str">
            <v/>
          </cell>
          <cell r="AH48" t="str">
            <v/>
          </cell>
          <cell r="AI48"/>
          <cell r="AJ48">
            <v>7.3670945100947391E-2</v>
          </cell>
          <cell r="AK48" t="str">
            <v/>
          </cell>
          <cell r="AL48" t="str">
            <v/>
          </cell>
          <cell r="AM48" t="str">
            <v/>
          </cell>
          <cell r="AN48" t="str">
            <v/>
          </cell>
          <cell r="AO48" t="str">
            <v/>
          </cell>
          <cell r="AP48" t="str">
            <v/>
          </cell>
          <cell r="AQ48">
            <v>0</v>
          </cell>
          <cell r="AR48"/>
        </row>
        <row r="49">
          <cell r="B49">
            <v>40087</v>
          </cell>
          <cell r="C49"/>
          <cell r="D49" t="str">
            <v>Global</v>
          </cell>
          <cell r="E49" t="str">
            <v/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  <cell r="L49" t="str">
            <v/>
          </cell>
          <cell r="M49" t="str">
            <v/>
          </cell>
          <cell r="N49" t="str">
            <v/>
          </cell>
          <cell r="O49"/>
          <cell r="P49"/>
          <cell r="R49">
            <v>40087</v>
          </cell>
          <cell r="S49" t="str">
            <v>Global</v>
          </cell>
          <cell r="T49">
            <v>3.3725019467498771E-2</v>
          </cell>
          <cell r="U49" t="str">
            <v/>
          </cell>
          <cell r="V49" t="str">
            <v/>
          </cell>
          <cell r="W49" t="str">
            <v/>
          </cell>
          <cell r="X49" t="str">
            <v/>
          </cell>
          <cell r="Y49" t="str">
            <v/>
          </cell>
          <cell r="Z49" t="str">
            <v/>
          </cell>
          <cell r="AA49"/>
          <cell r="AB49">
            <v>1268233.6738777831</v>
          </cell>
          <cell r="AC49" t="str">
            <v/>
          </cell>
          <cell r="AD49" t="str">
            <v/>
          </cell>
          <cell r="AE49" t="str">
            <v/>
          </cell>
          <cell r="AF49" t="str">
            <v/>
          </cell>
          <cell r="AG49" t="str">
            <v/>
          </cell>
          <cell r="AH49" t="str">
            <v/>
          </cell>
          <cell r="AI49"/>
          <cell r="AJ49">
            <v>6.8916902496056295E-2</v>
          </cell>
          <cell r="AK49" t="str">
            <v/>
          </cell>
          <cell r="AL49" t="str">
            <v/>
          </cell>
          <cell r="AM49" t="str">
            <v/>
          </cell>
          <cell r="AN49" t="str">
            <v/>
          </cell>
          <cell r="AO49" t="str">
            <v/>
          </cell>
          <cell r="AP49" t="str">
            <v/>
          </cell>
          <cell r="AQ49">
            <v>0</v>
          </cell>
          <cell r="AR49"/>
        </row>
        <row r="50">
          <cell r="R50">
            <v>40118</v>
          </cell>
          <cell r="S50"/>
          <cell r="T50"/>
          <cell r="U50"/>
          <cell r="V50"/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 t="str">
            <v/>
          </cell>
          <cell r="AL50" t="str">
            <v/>
          </cell>
          <cell r="AM50"/>
          <cell r="AN50"/>
          <cell r="AO50"/>
          <cell r="AP50"/>
          <cell r="AQ50">
            <v>0</v>
          </cell>
          <cell r="AR50"/>
        </row>
        <row r="51">
          <cell r="R51">
            <v>40148</v>
          </cell>
          <cell r="S51"/>
          <cell r="T51"/>
          <cell r="U51"/>
          <cell r="V51"/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 t="str">
            <v/>
          </cell>
          <cell r="AL51" t="str">
            <v/>
          </cell>
          <cell r="AM51"/>
          <cell r="AN51"/>
          <cell r="AO51"/>
          <cell r="AP51"/>
          <cell r="AQ51">
            <v>0</v>
          </cell>
          <cell r="AR51"/>
        </row>
        <row r="52">
          <cell r="R52"/>
          <cell r="S52"/>
          <cell r="T52"/>
          <cell r="U52"/>
          <cell r="V52"/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 t="str">
            <v/>
          </cell>
          <cell r="AM52"/>
          <cell r="AN52"/>
          <cell r="AO52"/>
          <cell r="AP52"/>
          <cell r="AQ52"/>
          <cell r="AR52"/>
        </row>
      </sheetData>
      <sheetData sheetId="66"/>
      <sheetData sheetId="67">
        <row r="13">
          <cell r="R13"/>
          <cell r="S13"/>
          <cell r="U13"/>
          <cell r="V13"/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</row>
        <row r="14">
          <cell r="R14"/>
          <cell r="S14"/>
          <cell r="T14" t="str">
            <v>Margen neto_Explosivo mensual</v>
          </cell>
          <cell r="U14"/>
          <cell r="V14"/>
          <cell r="W14" t="str">
            <v>Var 1.</v>
          </cell>
          <cell r="X14"/>
          <cell r="Y14" t="str">
            <v>Var. 2</v>
          </cell>
          <cell r="Z14"/>
          <cell r="AA14"/>
          <cell r="AB14" t="str">
            <v>Cumplimiento Proyectado  TM</v>
          </cell>
          <cell r="AC14"/>
          <cell r="AD14"/>
          <cell r="AE14" t="str">
            <v>Var 1.</v>
          </cell>
          <cell r="AF14"/>
          <cell r="AG14" t="str">
            <v>Var. 2</v>
          </cell>
          <cell r="AH14"/>
          <cell r="AI14"/>
          <cell r="AJ14" t="str">
            <v>Acum. Margen neto_Explosivo</v>
          </cell>
          <cell r="AK14"/>
          <cell r="AL14"/>
          <cell r="AM14" t="str">
            <v>Var 1.</v>
          </cell>
          <cell r="AN14"/>
          <cell r="AO14" t="str">
            <v>Var. 2</v>
          </cell>
          <cell r="AP14"/>
          <cell r="AQ14" t="str">
            <v>Acumula</v>
          </cell>
          <cell r="AR14"/>
        </row>
        <row r="15">
          <cell r="R15" t="str">
            <v>Fecha</v>
          </cell>
          <cell r="S15" t="str">
            <v>TIPO</v>
          </cell>
          <cell r="T15" t="str">
            <v>Anteriores</v>
          </cell>
          <cell r="U15" t="str">
            <v>Real</v>
          </cell>
          <cell r="V15" t="str">
            <v>Programado</v>
          </cell>
          <cell r="W15" t="str">
            <v>Unidades</v>
          </cell>
          <cell r="X15" t="str">
            <v>%</v>
          </cell>
          <cell r="Y15" t="str">
            <v>Unidades</v>
          </cell>
          <cell r="Z15" t="str">
            <v>%</v>
          </cell>
          <cell r="AA15"/>
          <cell r="AB15" t="str">
            <v>Anteriores</v>
          </cell>
          <cell r="AC15" t="str">
            <v>Real</v>
          </cell>
          <cell r="AD15" t="str">
            <v>Inicial</v>
          </cell>
          <cell r="AE15" t="str">
            <v>Unidades</v>
          </cell>
          <cell r="AF15" t="str">
            <v>%</v>
          </cell>
          <cell r="AG15" t="str">
            <v>Unidades</v>
          </cell>
          <cell r="AH15" t="str">
            <v>%</v>
          </cell>
          <cell r="AI15"/>
          <cell r="AJ15" t="str">
            <v>Anterior</v>
          </cell>
          <cell r="AK15" t="str">
            <v>Real</v>
          </cell>
          <cell r="AL15" t="str">
            <v>Programado</v>
          </cell>
          <cell r="AM15" t="str">
            <v>Unidades</v>
          </cell>
          <cell r="AN15" t="str">
            <v>%</v>
          </cell>
          <cell r="AO15" t="str">
            <v>Unidades</v>
          </cell>
          <cell r="AP15" t="str">
            <v>%</v>
          </cell>
          <cell r="AQ15" t="str">
            <v>Acum. Año Anterior</v>
          </cell>
          <cell r="AR15" t="str">
            <v>Avance</v>
          </cell>
        </row>
        <row r="16">
          <cell r="B16">
            <v>39083</v>
          </cell>
          <cell r="C16">
            <v>39083</v>
          </cell>
          <cell r="D16" t="str">
            <v>Global</v>
          </cell>
          <cell r="E16">
            <v>0</v>
          </cell>
          <cell r="F16" t="str">
            <v>c</v>
          </cell>
          <cell r="G16" t="str">
            <v>c</v>
          </cell>
          <cell r="H16" t="str">
            <v>g</v>
          </cell>
          <cell r="I16">
            <v>0.09</v>
          </cell>
          <cell r="J16">
            <v>7.0000000000000007E-2</v>
          </cell>
          <cell r="K16">
            <v>0</v>
          </cell>
          <cell r="L16" t="str">
            <v>c</v>
          </cell>
          <cell r="M16" t="str">
            <v>c</v>
          </cell>
          <cell r="N16" t="str">
            <v>g</v>
          </cell>
          <cell r="O16">
            <v>0.09</v>
          </cell>
          <cell r="P16">
            <v>7.0000000000000007E-2</v>
          </cell>
          <cell r="R16">
            <v>39083</v>
          </cell>
          <cell r="S16" t="str">
            <v>Global</v>
          </cell>
          <cell r="T16"/>
          <cell r="U16">
            <v>0</v>
          </cell>
          <cell r="V16">
            <v>0</v>
          </cell>
          <cell r="W16">
            <v>0</v>
          </cell>
          <cell r="X16"/>
          <cell r="Y16">
            <v>0</v>
          </cell>
          <cell r="Z16" t="e">
            <v>#DIV/0!</v>
          </cell>
          <cell r="AA16"/>
          <cell r="AB16"/>
          <cell r="AC16">
            <v>0</v>
          </cell>
          <cell r="AD16">
            <v>0</v>
          </cell>
          <cell r="AE16">
            <v>0</v>
          </cell>
          <cell r="AF16" t="e">
            <v>#DIV/0!</v>
          </cell>
          <cell r="AG16">
            <v>0</v>
          </cell>
          <cell r="AH16" t="e">
            <v>#DIV/0!</v>
          </cell>
          <cell r="AI16"/>
          <cell r="AJ16"/>
          <cell r="AK16">
            <v>0</v>
          </cell>
          <cell r="AL16">
            <v>0</v>
          </cell>
          <cell r="AM16">
            <v>0</v>
          </cell>
          <cell r="AN16"/>
          <cell r="AO16">
            <v>0</v>
          </cell>
          <cell r="AP16" t="e">
            <v>#DIV/0!</v>
          </cell>
          <cell r="AQ16">
            <v>0</v>
          </cell>
          <cell r="AR16">
            <v>0</v>
          </cell>
        </row>
        <row r="17">
          <cell r="B17">
            <v>39114</v>
          </cell>
          <cell r="C17">
            <v>39114</v>
          </cell>
          <cell r="D17" t="str">
            <v>Global</v>
          </cell>
          <cell r="E17">
            <v>0</v>
          </cell>
          <cell r="F17" t="str">
            <v>c</v>
          </cell>
          <cell r="G17" t="str">
            <v>c</v>
          </cell>
          <cell r="H17" t="str">
            <v>g</v>
          </cell>
          <cell r="I17">
            <v>0.09</v>
          </cell>
          <cell r="J17">
            <v>7.0000000000000007E-2</v>
          </cell>
          <cell r="K17">
            <v>0</v>
          </cell>
          <cell r="L17" t="str">
            <v>c</v>
          </cell>
          <cell r="M17" t="str">
            <v>c</v>
          </cell>
          <cell r="N17" t="str">
            <v>g</v>
          </cell>
          <cell r="O17">
            <v>0.09</v>
          </cell>
          <cell r="P17">
            <v>7.0000000000000007E-2</v>
          </cell>
          <cell r="R17">
            <v>39114</v>
          </cell>
          <cell r="S17" t="str">
            <v>Global</v>
          </cell>
          <cell r="T17"/>
          <cell r="U17">
            <v>0</v>
          </cell>
          <cell r="V17">
            <v>0</v>
          </cell>
          <cell r="W17">
            <v>0</v>
          </cell>
          <cell r="X17"/>
          <cell r="Y17">
            <v>0</v>
          </cell>
          <cell r="Z17" t="e">
            <v>#DIV/0!</v>
          </cell>
          <cell r="AA17"/>
          <cell r="AB17"/>
          <cell r="AC17">
            <v>0</v>
          </cell>
          <cell r="AD17">
            <v>0</v>
          </cell>
          <cell r="AE17">
            <v>0</v>
          </cell>
          <cell r="AF17" t="e">
            <v>#DIV/0!</v>
          </cell>
          <cell r="AG17">
            <v>0</v>
          </cell>
          <cell r="AH17" t="e">
            <v>#DIV/0!</v>
          </cell>
          <cell r="AI17"/>
          <cell r="AJ17"/>
          <cell r="AK17">
            <v>0</v>
          </cell>
          <cell r="AL17">
            <v>0</v>
          </cell>
          <cell r="AM17">
            <v>0</v>
          </cell>
          <cell r="AN17"/>
          <cell r="AO17">
            <v>0</v>
          </cell>
          <cell r="AP17" t="e">
            <v>#DIV/0!</v>
          </cell>
          <cell r="AQ17">
            <v>0</v>
          </cell>
          <cell r="AR17" t="e">
            <v>#DIV/0!</v>
          </cell>
        </row>
        <row r="18">
          <cell r="B18">
            <v>39142</v>
          </cell>
          <cell r="C18">
            <v>39142</v>
          </cell>
          <cell r="D18" t="str">
            <v>Global</v>
          </cell>
          <cell r="E18">
            <v>0</v>
          </cell>
          <cell r="F18" t="str">
            <v>c</v>
          </cell>
          <cell r="G18" t="str">
            <v>c</v>
          </cell>
          <cell r="H18" t="str">
            <v>g</v>
          </cell>
          <cell r="I18">
            <v>9.0000000000000024E-2</v>
          </cell>
          <cell r="J18">
            <v>7.0000000000000007E-2</v>
          </cell>
          <cell r="K18">
            <v>0</v>
          </cell>
          <cell r="L18" t="str">
            <v>c</v>
          </cell>
          <cell r="M18" t="str">
            <v>c</v>
          </cell>
          <cell r="N18" t="str">
            <v>g</v>
          </cell>
          <cell r="O18">
            <v>9.0000000000000024E-2</v>
          </cell>
          <cell r="P18">
            <v>7.0000000000000007E-2</v>
          </cell>
          <cell r="R18">
            <v>39142</v>
          </cell>
          <cell r="S18" t="str">
            <v>Global</v>
          </cell>
          <cell r="T18"/>
          <cell r="U18">
            <v>0</v>
          </cell>
          <cell r="V18">
            <v>0</v>
          </cell>
          <cell r="W18">
            <v>0</v>
          </cell>
          <cell r="X18"/>
          <cell r="Y18">
            <v>0</v>
          </cell>
          <cell r="Z18" t="e">
            <v>#DIV/0!</v>
          </cell>
          <cell r="AA18"/>
          <cell r="AB18"/>
          <cell r="AC18">
            <v>0</v>
          </cell>
          <cell r="AD18">
            <v>0</v>
          </cell>
          <cell r="AE18">
            <v>0</v>
          </cell>
          <cell r="AF18" t="e">
            <v>#DIV/0!</v>
          </cell>
          <cell r="AG18">
            <v>0</v>
          </cell>
          <cell r="AH18" t="e">
            <v>#DIV/0!</v>
          </cell>
          <cell r="AI18"/>
          <cell r="AJ18"/>
          <cell r="AK18">
            <v>0</v>
          </cell>
          <cell r="AL18">
            <v>0</v>
          </cell>
          <cell r="AM18">
            <v>0</v>
          </cell>
          <cell r="AN18"/>
          <cell r="AO18">
            <v>0</v>
          </cell>
          <cell r="AP18" t="e">
            <v>#DIV/0!</v>
          </cell>
          <cell r="AQ18">
            <v>0</v>
          </cell>
          <cell r="AR18" t="e">
            <v>#DIV/0!</v>
          </cell>
        </row>
        <row r="19">
          <cell r="B19">
            <v>39173</v>
          </cell>
          <cell r="C19">
            <v>39173</v>
          </cell>
          <cell r="D19" t="str">
            <v>Global</v>
          </cell>
          <cell r="E19">
            <v>0</v>
          </cell>
          <cell r="F19" t="str">
            <v>c</v>
          </cell>
          <cell r="G19" t="str">
            <v>c</v>
          </cell>
          <cell r="H19" t="str">
            <v>g</v>
          </cell>
          <cell r="I19">
            <v>8.9999999999999969E-2</v>
          </cell>
          <cell r="J19">
            <v>7.0000000000000007E-2</v>
          </cell>
          <cell r="K19">
            <v>0</v>
          </cell>
          <cell r="L19" t="str">
            <v>c</v>
          </cell>
          <cell r="M19" t="str">
            <v>c</v>
          </cell>
          <cell r="N19" t="str">
            <v>g</v>
          </cell>
          <cell r="O19">
            <v>8.9999999999999969E-2</v>
          </cell>
          <cell r="P19">
            <v>7.0000000000000007E-2</v>
          </cell>
          <cell r="R19">
            <v>39173</v>
          </cell>
          <cell r="S19" t="str">
            <v>Global</v>
          </cell>
          <cell r="T19"/>
          <cell r="U19">
            <v>0</v>
          </cell>
          <cell r="V19">
            <v>0</v>
          </cell>
          <cell r="W19">
            <v>0</v>
          </cell>
          <cell r="X19"/>
          <cell r="Y19">
            <v>0</v>
          </cell>
          <cell r="Z19" t="e">
            <v>#DIV/0!</v>
          </cell>
          <cell r="AA19"/>
          <cell r="AB19"/>
          <cell r="AC19">
            <v>0</v>
          </cell>
          <cell r="AD19">
            <v>0</v>
          </cell>
          <cell r="AE19">
            <v>0</v>
          </cell>
          <cell r="AF19" t="e">
            <v>#DIV/0!</v>
          </cell>
          <cell r="AG19">
            <v>0</v>
          </cell>
          <cell r="AH19" t="e">
            <v>#DIV/0!</v>
          </cell>
          <cell r="AI19"/>
          <cell r="AJ19"/>
          <cell r="AK19">
            <v>0</v>
          </cell>
          <cell r="AL19">
            <v>0</v>
          </cell>
          <cell r="AM19">
            <v>0</v>
          </cell>
          <cell r="AN19"/>
          <cell r="AO19">
            <v>0</v>
          </cell>
          <cell r="AP19" t="e">
            <v>#DIV/0!</v>
          </cell>
          <cell r="AQ19">
            <v>0</v>
          </cell>
          <cell r="AR19" t="e">
            <v>#DIV/0!</v>
          </cell>
        </row>
        <row r="20">
          <cell r="B20">
            <v>39203</v>
          </cell>
          <cell r="C20">
            <v>39203</v>
          </cell>
          <cell r="D20" t="str">
            <v>Global</v>
          </cell>
          <cell r="E20">
            <v>0</v>
          </cell>
          <cell r="F20" t="str">
            <v>c</v>
          </cell>
          <cell r="G20" t="str">
            <v>c</v>
          </cell>
          <cell r="H20" t="str">
            <v>g</v>
          </cell>
          <cell r="I20">
            <v>8.9999999999999969E-2</v>
          </cell>
          <cell r="J20">
            <v>7.0000000000000007E-2</v>
          </cell>
          <cell r="K20">
            <v>0</v>
          </cell>
          <cell r="L20" t="str">
            <v>c</v>
          </cell>
          <cell r="M20" t="str">
            <v>c</v>
          </cell>
          <cell r="N20" t="str">
            <v>g</v>
          </cell>
          <cell r="O20">
            <v>8.9999999999999969E-2</v>
          </cell>
          <cell r="P20">
            <v>7.0000000000000007E-2</v>
          </cell>
          <cell r="R20">
            <v>39203</v>
          </cell>
          <cell r="S20" t="str">
            <v>Global</v>
          </cell>
          <cell r="T20"/>
          <cell r="U20">
            <v>0</v>
          </cell>
          <cell r="V20">
            <v>0</v>
          </cell>
          <cell r="W20">
            <v>0</v>
          </cell>
          <cell r="X20"/>
          <cell r="Y20">
            <v>0</v>
          </cell>
          <cell r="Z20" t="e">
            <v>#DIV/0!</v>
          </cell>
          <cell r="AA20"/>
          <cell r="AB20"/>
          <cell r="AC20">
            <v>0</v>
          </cell>
          <cell r="AD20">
            <v>0</v>
          </cell>
          <cell r="AE20">
            <v>0</v>
          </cell>
          <cell r="AF20" t="e">
            <v>#DIV/0!</v>
          </cell>
          <cell r="AG20">
            <v>0</v>
          </cell>
          <cell r="AH20" t="e">
            <v>#DIV/0!</v>
          </cell>
          <cell r="AI20"/>
          <cell r="AJ20"/>
          <cell r="AK20">
            <v>0</v>
          </cell>
          <cell r="AL20">
            <v>0</v>
          </cell>
          <cell r="AM20">
            <v>0</v>
          </cell>
          <cell r="AN20"/>
          <cell r="AO20">
            <v>0</v>
          </cell>
          <cell r="AP20" t="e">
            <v>#DIV/0!</v>
          </cell>
          <cell r="AQ20">
            <v>0</v>
          </cell>
          <cell r="AR20" t="e">
            <v>#DIV/0!</v>
          </cell>
        </row>
        <row r="21">
          <cell r="B21">
            <v>39234</v>
          </cell>
          <cell r="C21">
            <v>39234</v>
          </cell>
          <cell r="D21" t="str">
            <v>Global</v>
          </cell>
          <cell r="E21">
            <v>0</v>
          </cell>
          <cell r="F21" t="str">
            <v>c</v>
          </cell>
          <cell r="G21" t="str">
            <v>c</v>
          </cell>
          <cell r="H21" t="str">
            <v>g</v>
          </cell>
          <cell r="I21">
            <v>8.9999999999999969E-2</v>
          </cell>
          <cell r="J21">
            <v>7.0000000000000007E-2</v>
          </cell>
          <cell r="K21">
            <v>0</v>
          </cell>
          <cell r="L21" t="str">
            <v>c</v>
          </cell>
          <cell r="M21" t="str">
            <v>c</v>
          </cell>
          <cell r="N21" t="str">
            <v>g</v>
          </cell>
          <cell r="O21">
            <v>8.9999999999999969E-2</v>
          </cell>
          <cell r="P21">
            <v>7.0000000000000007E-2</v>
          </cell>
          <cell r="R21">
            <v>39234</v>
          </cell>
          <cell r="S21" t="str">
            <v>Global</v>
          </cell>
          <cell r="T21"/>
          <cell r="U21">
            <v>0</v>
          </cell>
          <cell r="V21">
            <v>0</v>
          </cell>
          <cell r="W21">
            <v>0</v>
          </cell>
          <cell r="X21"/>
          <cell r="Y21">
            <v>0</v>
          </cell>
          <cell r="Z21" t="e">
            <v>#DIV/0!</v>
          </cell>
          <cell r="AA21"/>
          <cell r="AB21"/>
          <cell r="AC21">
            <v>0</v>
          </cell>
          <cell r="AD21">
            <v>0</v>
          </cell>
          <cell r="AE21">
            <v>0</v>
          </cell>
          <cell r="AF21" t="e">
            <v>#DIV/0!</v>
          </cell>
          <cell r="AG21">
            <v>0</v>
          </cell>
          <cell r="AH21" t="e">
            <v>#DIV/0!</v>
          </cell>
          <cell r="AI21"/>
          <cell r="AJ21"/>
          <cell r="AK21">
            <v>0</v>
          </cell>
          <cell r="AL21">
            <v>0</v>
          </cell>
          <cell r="AM21">
            <v>0</v>
          </cell>
          <cell r="AN21"/>
          <cell r="AO21">
            <v>0</v>
          </cell>
          <cell r="AP21" t="e">
            <v>#DIV/0!</v>
          </cell>
          <cell r="AQ21">
            <v>0</v>
          </cell>
          <cell r="AR21" t="e">
            <v>#DIV/0!</v>
          </cell>
        </row>
        <row r="22">
          <cell r="B22">
            <v>39264</v>
          </cell>
          <cell r="C22">
            <v>39264</v>
          </cell>
          <cell r="D22" t="str">
            <v>Global</v>
          </cell>
          <cell r="E22">
            <v>0</v>
          </cell>
          <cell r="F22" t="str">
            <v>c</v>
          </cell>
          <cell r="G22" t="str">
            <v>c</v>
          </cell>
          <cell r="H22" t="str">
            <v>g</v>
          </cell>
          <cell r="I22">
            <v>8.9999999999999969E-2</v>
          </cell>
          <cell r="J22">
            <v>7.0000000000000007E-2</v>
          </cell>
          <cell r="K22">
            <v>0</v>
          </cell>
          <cell r="L22" t="str">
            <v>c</v>
          </cell>
          <cell r="M22" t="str">
            <v>c</v>
          </cell>
          <cell r="N22" t="str">
            <v>g</v>
          </cell>
          <cell r="O22">
            <v>8.9999999999999969E-2</v>
          </cell>
          <cell r="P22">
            <v>7.0000000000000007E-2</v>
          </cell>
          <cell r="R22">
            <v>39264</v>
          </cell>
          <cell r="S22" t="str">
            <v>Global</v>
          </cell>
          <cell r="T22"/>
          <cell r="U22">
            <v>0</v>
          </cell>
          <cell r="V22">
            <v>0</v>
          </cell>
          <cell r="W22">
            <v>0</v>
          </cell>
          <cell r="X22"/>
          <cell r="Y22">
            <v>0</v>
          </cell>
          <cell r="Z22" t="e">
            <v>#DIV/0!</v>
          </cell>
          <cell r="AA22"/>
          <cell r="AB22"/>
          <cell r="AC22">
            <v>0</v>
          </cell>
          <cell r="AD22">
            <v>0</v>
          </cell>
          <cell r="AE22">
            <v>0</v>
          </cell>
          <cell r="AF22" t="e">
            <v>#DIV/0!</v>
          </cell>
          <cell r="AG22">
            <v>0</v>
          </cell>
          <cell r="AH22" t="e">
            <v>#DIV/0!</v>
          </cell>
          <cell r="AI22"/>
          <cell r="AJ22"/>
          <cell r="AK22">
            <v>0</v>
          </cell>
          <cell r="AL22">
            <v>0</v>
          </cell>
          <cell r="AM22">
            <v>0</v>
          </cell>
          <cell r="AN22"/>
          <cell r="AO22">
            <v>0</v>
          </cell>
          <cell r="AP22" t="e">
            <v>#DIV/0!</v>
          </cell>
          <cell r="AQ22">
            <v>0</v>
          </cell>
          <cell r="AR22" t="e">
            <v>#DIV/0!</v>
          </cell>
        </row>
        <row r="23">
          <cell r="B23">
            <v>39295</v>
          </cell>
          <cell r="C23">
            <v>39295</v>
          </cell>
          <cell r="D23" t="str">
            <v>Global</v>
          </cell>
          <cell r="E23">
            <v>0</v>
          </cell>
          <cell r="F23" t="str">
            <v>c</v>
          </cell>
          <cell r="G23" t="str">
            <v>c</v>
          </cell>
          <cell r="H23" t="str">
            <v>g</v>
          </cell>
          <cell r="I23">
            <v>8.9999999999999969E-2</v>
          </cell>
          <cell r="J23">
            <v>7.0000000000000007E-2</v>
          </cell>
          <cell r="K23">
            <v>0</v>
          </cell>
          <cell r="L23" t="str">
            <v>c</v>
          </cell>
          <cell r="M23" t="str">
            <v>c</v>
          </cell>
          <cell r="N23" t="str">
            <v>g</v>
          </cell>
          <cell r="O23">
            <v>8.9999999999999969E-2</v>
          </cell>
          <cell r="P23">
            <v>7.0000000000000007E-2</v>
          </cell>
          <cell r="R23">
            <v>39295</v>
          </cell>
          <cell r="S23" t="str">
            <v>Global</v>
          </cell>
          <cell r="T23"/>
          <cell r="U23">
            <v>0</v>
          </cell>
          <cell r="V23">
            <v>0</v>
          </cell>
          <cell r="W23">
            <v>0</v>
          </cell>
          <cell r="X23"/>
          <cell r="Y23">
            <v>0</v>
          </cell>
          <cell r="Z23" t="e">
            <v>#DIV/0!</v>
          </cell>
          <cell r="AA23"/>
          <cell r="AB23"/>
          <cell r="AC23">
            <v>0</v>
          </cell>
          <cell r="AD23">
            <v>0</v>
          </cell>
          <cell r="AE23">
            <v>0</v>
          </cell>
          <cell r="AF23" t="e">
            <v>#DIV/0!</v>
          </cell>
          <cell r="AG23">
            <v>0</v>
          </cell>
          <cell r="AH23" t="e">
            <v>#DIV/0!</v>
          </cell>
          <cell r="AI23"/>
          <cell r="AJ23"/>
          <cell r="AK23">
            <v>0</v>
          </cell>
          <cell r="AL23">
            <v>0</v>
          </cell>
          <cell r="AM23">
            <v>0</v>
          </cell>
          <cell r="AN23"/>
          <cell r="AO23">
            <v>0</v>
          </cell>
          <cell r="AP23" t="e">
            <v>#DIV/0!</v>
          </cell>
          <cell r="AQ23">
            <v>0</v>
          </cell>
          <cell r="AR23" t="e">
            <v>#DIV/0!</v>
          </cell>
        </row>
        <row r="24">
          <cell r="B24">
            <v>39326</v>
          </cell>
          <cell r="C24">
            <v>39326</v>
          </cell>
          <cell r="D24" t="str">
            <v>Global</v>
          </cell>
          <cell r="E24">
            <v>0</v>
          </cell>
          <cell r="F24" t="str">
            <v>c</v>
          </cell>
          <cell r="G24" t="str">
            <v>c</v>
          </cell>
          <cell r="H24" t="str">
            <v>g</v>
          </cell>
          <cell r="I24">
            <v>8.9999999999999969E-2</v>
          </cell>
          <cell r="J24">
            <v>7.0000000000000062E-2</v>
          </cell>
          <cell r="K24">
            <v>0</v>
          </cell>
          <cell r="L24" t="str">
            <v>c</v>
          </cell>
          <cell r="M24" t="str">
            <v>c</v>
          </cell>
          <cell r="N24" t="str">
            <v>g</v>
          </cell>
          <cell r="O24">
            <v>8.9999999999999969E-2</v>
          </cell>
          <cell r="P24">
            <v>7.0000000000000062E-2</v>
          </cell>
          <cell r="R24">
            <v>39326</v>
          </cell>
          <cell r="S24" t="str">
            <v>Global</v>
          </cell>
          <cell r="T24"/>
          <cell r="U24">
            <v>0</v>
          </cell>
          <cell r="V24">
            <v>0</v>
          </cell>
          <cell r="W24">
            <v>0</v>
          </cell>
          <cell r="X24"/>
          <cell r="Y24">
            <v>0</v>
          </cell>
          <cell r="Z24" t="e">
            <v>#DIV/0!</v>
          </cell>
          <cell r="AA24"/>
          <cell r="AB24"/>
          <cell r="AC24">
            <v>0</v>
          </cell>
          <cell r="AD24">
            <v>0</v>
          </cell>
          <cell r="AE24">
            <v>0</v>
          </cell>
          <cell r="AF24" t="e">
            <v>#DIV/0!</v>
          </cell>
          <cell r="AG24">
            <v>0</v>
          </cell>
          <cell r="AH24" t="e">
            <v>#DIV/0!</v>
          </cell>
          <cell r="AI24"/>
          <cell r="AJ24"/>
          <cell r="AK24">
            <v>0</v>
          </cell>
          <cell r="AL24">
            <v>0</v>
          </cell>
          <cell r="AM24">
            <v>0</v>
          </cell>
          <cell r="AN24"/>
          <cell r="AO24">
            <v>0</v>
          </cell>
          <cell r="AP24" t="e">
            <v>#DIV/0!</v>
          </cell>
          <cell r="AQ24">
            <v>0</v>
          </cell>
          <cell r="AR24" t="e">
            <v>#DIV/0!</v>
          </cell>
        </row>
        <row r="25">
          <cell r="B25">
            <v>39356</v>
          </cell>
          <cell r="C25">
            <v>39356</v>
          </cell>
          <cell r="D25" t="str">
            <v>Global</v>
          </cell>
          <cell r="E25">
            <v>0</v>
          </cell>
          <cell r="F25" t="str">
            <v>c</v>
          </cell>
          <cell r="G25" t="str">
            <v>c</v>
          </cell>
          <cell r="H25" t="str">
            <v>g</v>
          </cell>
          <cell r="I25">
            <v>8.9999999999999969E-2</v>
          </cell>
          <cell r="J25">
            <v>7.0000000000000062E-2</v>
          </cell>
          <cell r="K25">
            <v>0</v>
          </cell>
          <cell r="L25" t="str">
            <v>c</v>
          </cell>
          <cell r="M25" t="str">
            <v>c</v>
          </cell>
          <cell r="N25" t="str">
            <v>g</v>
          </cell>
          <cell r="O25">
            <v>8.9999999999999969E-2</v>
          </cell>
          <cell r="P25">
            <v>7.0000000000000062E-2</v>
          </cell>
          <cell r="R25">
            <v>39356</v>
          </cell>
          <cell r="S25" t="str">
            <v>Global</v>
          </cell>
          <cell r="T25"/>
          <cell r="U25">
            <v>0</v>
          </cell>
          <cell r="V25">
            <v>0</v>
          </cell>
          <cell r="W25">
            <v>0</v>
          </cell>
          <cell r="X25"/>
          <cell r="Y25">
            <v>0</v>
          </cell>
          <cell r="Z25" t="e">
            <v>#DIV/0!</v>
          </cell>
          <cell r="AA25"/>
          <cell r="AB25"/>
          <cell r="AC25">
            <v>0</v>
          </cell>
          <cell r="AD25">
            <v>0</v>
          </cell>
          <cell r="AE25">
            <v>0</v>
          </cell>
          <cell r="AF25" t="e">
            <v>#DIV/0!</v>
          </cell>
          <cell r="AG25">
            <v>0</v>
          </cell>
          <cell r="AH25" t="e">
            <v>#DIV/0!</v>
          </cell>
          <cell r="AI25"/>
          <cell r="AJ25"/>
          <cell r="AK25">
            <v>0</v>
          </cell>
          <cell r="AL25">
            <v>0</v>
          </cell>
          <cell r="AM25">
            <v>0</v>
          </cell>
          <cell r="AN25"/>
          <cell r="AO25">
            <v>0</v>
          </cell>
          <cell r="AP25" t="e">
            <v>#DIV/0!</v>
          </cell>
          <cell r="AQ25">
            <v>0</v>
          </cell>
          <cell r="AR25" t="e">
            <v>#DIV/0!</v>
          </cell>
        </row>
        <row r="26">
          <cell r="B26">
            <v>39387</v>
          </cell>
          <cell r="C26">
            <v>39387</v>
          </cell>
          <cell r="D26" t="str">
            <v>Global</v>
          </cell>
          <cell r="E26">
            <v>0</v>
          </cell>
          <cell r="F26" t="str">
            <v>c</v>
          </cell>
          <cell r="G26" t="str">
            <v>c</v>
          </cell>
          <cell r="H26" t="str">
            <v>g</v>
          </cell>
          <cell r="I26">
            <v>8.9999999999999969E-2</v>
          </cell>
          <cell r="J26">
            <v>7.0000000000000062E-2</v>
          </cell>
          <cell r="K26">
            <v>0</v>
          </cell>
          <cell r="L26" t="str">
            <v>c</v>
          </cell>
          <cell r="M26" t="str">
            <v>c</v>
          </cell>
          <cell r="N26" t="str">
            <v>g</v>
          </cell>
          <cell r="O26">
            <v>8.9999999999999969E-2</v>
          </cell>
          <cell r="P26">
            <v>7.0000000000000062E-2</v>
          </cell>
          <cell r="R26">
            <v>39387</v>
          </cell>
          <cell r="S26" t="str">
            <v>Global</v>
          </cell>
          <cell r="T26"/>
          <cell r="U26">
            <v>0</v>
          </cell>
          <cell r="V26">
            <v>0</v>
          </cell>
          <cell r="W26">
            <v>0</v>
          </cell>
          <cell r="X26"/>
          <cell r="Y26">
            <v>0</v>
          </cell>
          <cell r="Z26" t="e">
            <v>#DIV/0!</v>
          </cell>
          <cell r="AA26"/>
          <cell r="AB26"/>
          <cell r="AC26">
            <v>0</v>
          </cell>
          <cell r="AD26">
            <v>0</v>
          </cell>
          <cell r="AE26">
            <v>0</v>
          </cell>
          <cell r="AF26" t="e">
            <v>#DIV/0!</v>
          </cell>
          <cell r="AG26">
            <v>0</v>
          </cell>
          <cell r="AH26" t="e">
            <v>#DIV/0!</v>
          </cell>
          <cell r="AI26"/>
          <cell r="AJ26"/>
          <cell r="AK26">
            <v>0</v>
          </cell>
          <cell r="AL26">
            <v>0</v>
          </cell>
          <cell r="AM26">
            <v>0</v>
          </cell>
          <cell r="AN26"/>
          <cell r="AO26">
            <v>0</v>
          </cell>
          <cell r="AP26" t="e">
            <v>#DIV/0!</v>
          </cell>
          <cell r="AQ26">
            <v>0</v>
          </cell>
          <cell r="AR26" t="e">
            <v>#DIV/0!</v>
          </cell>
        </row>
        <row r="27">
          <cell r="B27">
            <v>39417</v>
          </cell>
          <cell r="C27">
            <v>39417</v>
          </cell>
          <cell r="D27" t="str">
            <v>Global</v>
          </cell>
          <cell r="E27">
            <v>0</v>
          </cell>
          <cell r="F27" t="str">
            <v>c</v>
          </cell>
          <cell r="G27" t="str">
            <v>c</v>
          </cell>
          <cell r="H27" t="str">
            <v>g</v>
          </cell>
          <cell r="I27">
            <v>9.000000000000008E-2</v>
          </cell>
          <cell r="J27">
            <v>7.0000000000000062E-2</v>
          </cell>
          <cell r="K27">
            <v>0</v>
          </cell>
          <cell r="L27" t="str">
            <v>c</v>
          </cell>
          <cell r="M27" t="str">
            <v>c</v>
          </cell>
          <cell r="N27" t="str">
            <v>g</v>
          </cell>
          <cell r="O27">
            <v>9.000000000000008E-2</v>
          </cell>
          <cell r="P27">
            <v>7.0000000000000062E-2</v>
          </cell>
          <cell r="R27">
            <v>39417</v>
          </cell>
          <cell r="S27" t="str">
            <v>Global</v>
          </cell>
          <cell r="T27"/>
          <cell r="U27">
            <v>0</v>
          </cell>
          <cell r="V27">
            <v>0</v>
          </cell>
          <cell r="W27">
            <v>0</v>
          </cell>
          <cell r="X27"/>
          <cell r="Y27">
            <v>0</v>
          </cell>
          <cell r="Z27" t="e">
            <v>#DIV/0!</v>
          </cell>
          <cell r="AA27"/>
          <cell r="AB27"/>
          <cell r="AC27">
            <v>0</v>
          </cell>
          <cell r="AD27">
            <v>0</v>
          </cell>
          <cell r="AE27">
            <v>0</v>
          </cell>
          <cell r="AF27" t="e">
            <v>#DIV/0!</v>
          </cell>
          <cell r="AG27">
            <v>0</v>
          </cell>
          <cell r="AH27" t="e">
            <v>#DIV/0!</v>
          </cell>
          <cell r="AI27"/>
          <cell r="AJ27"/>
          <cell r="AK27">
            <v>0</v>
          </cell>
          <cell r="AL27">
            <v>0</v>
          </cell>
          <cell r="AM27">
            <v>0</v>
          </cell>
          <cell r="AN27"/>
          <cell r="AO27">
            <v>0</v>
          </cell>
          <cell r="AP27" t="e">
            <v>#DIV/0!</v>
          </cell>
          <cell r="AQ27">
            <v>0</v>
          </cell>
          <cell r="AR27" t="e">
            <v>#DIV/0!</v>
          </cell>
        </row>
        <row r="28">
          <cell r="B28">
            <v>39448</v>
          </cell>
          <cell r="C28">
            <v>39448</v>
          </cell>
          <cell r="D28" t="str">
            <v>Global</v>
          </cell>
          <cell r="E28">
            <v>6.7748435583664834E-2</v>
          </cell>
          <cell r="F28" t="str">
            <v>c</v>
          </cell>
          <cell r="G28" t="str">
            <v>c</v>
          </cell>
          <cell r="H28" t="str">
            <v>g</v>
          </cell>
          <cell r="I28">
            <v>9.000000000000008E-2</v>
          </cell>
          <cell r="J28">
            <v>7.0000000000000062E-2</v>
          </cell>
          <cell r="K28">
            <v>6.7748435583664834E-2</v>
          </cell>
          <cell r="L28" t="str">
            <v>c</v>
          </cell>
          <cell r="M28" t="str">
            <v>c</v>
          </cell>
          <cell r="N28" t="str">
            <v>g</v>
          </cell>
          <cell r="O28">
            <v>9.000000000000008E-2</v>
          </cell>
          <cell r="P28">
            <v>7.0000000000000062E-2</v>
          </cell>
          <cell r="R28">
            <v>39448</v>
          </cell>
          <cell r="S28" t="str">
            <v>Global</v>
          </cell>
          <cell r="T28">
            <v>0</v>
          </cell>
          <cell r="U28">
            <v>6.7748435583664834E-2</v>
          </cell>
          <cell r="V28">
            <v>0</v>
          </cell>
          <cell r="W28">
            <v>6.7748435583664834E-2</v>
          </cell>
          <cell r="X28" t="e">
            <v>#DIV/0!</v>
          </cell>
          <cell r="Y28">
            <v>6.7748435583664834E-2</v>
          </cell>
          <cell r="Z28" t="e">
            <v>#DIV/0!</v>
          </cell>
          <cell r="AA28"/>
          <cell r="AB28">
            <v>0</v>
          </cell>
          <cell r="AC28">
            <v>1054294.0409672558</v>
          </cell>
          <cell r="AD28">
            <v>0</v>
          </cell>
          <cell r="AE28">
            <v>1054294.0409672558</v>
          </cell>
          <cell r="AF28">
            <v>-1</v>
          </cell>
          <cell r="AG28">
            <v>1054294.0409672558</v>
          </cell>
          <cell r="AH28">
            <v>-1</v>
          </cell>
          <cell r="AI28"/>
          <cell r="AJ28">
            <v>0</v>
          </cell>
          <cell r="AK28">
            <v>6.7748435583664834E-2</v>
          </cell>
          <cell r="AL28">
            <v>0</v>
          </cell>
          <cell r="AM28">
            <v>6.7748435583664834E-2</v>
          </cell>
          <cell r="AN28" t="e">
            <v>#DIV/0!</v>
          </cell>
          <cell r="AO28">
            <v>6.7748435583664834E-2</v>
          </cell>
          <cell r="AP28" t="e">
            <v>#DIV/0!</v>
          </cell>
          <cell r="AQ28">
            <v>0.44907634733373597</v>
          </cell>
          <cell r="AR28">
            <v>0.15086173205492126</v>
          </cell>
        </row>
        <row r="29">
          <cell r="B29">
            <v>39479</v>
          </cell>
          <cell r="C29">
            <v>39479</v>
          </cell>
          <cell r="D29" t="str">
            <v>Global</v>
          </cell>
          <cell r="E29">
            <v>4.3174951625074176E-2</v>
          </cell>
          <cell r="F29" t="str">
            <v>c</v>
          </cell>
          <cell r="G29" t="str">
            <v>c</v>
          </cell>
          <cell r="H29" t="str">
            <v>g</v>
          </cell>
          <cell r="I29">
            <v>9.000000000000008E-2</v>
          </cell>
          <cell r="J29">
            <v>7.0000000000000062E-2</v>
          </cell>
          <cell r="K29">
            <v>5.4666805938481208E-2</v>
          </cell>
          <cell r="L29" t="str">
            <v>c</v>
          </cell>
          <cell r="M29" t="str">
            <v>c</v>
          </cell>
          <cell r="N29" t="str">
            <v>g</v>
          </cell>
          <cell r="O29">
            <v>9.000000000000008E-2</v>
          </cell>
          <cell r="P29">
            <v>7.0000000000000062E-2</v>
          </cell>
          <cell r="R29">
            <v>39479</v>
          </cell>
          <cell r="S29" t="str">
            <v>Global</v>
          </cell>
          <cell r="T29">
            <v>0</v>
          </cell>
          <cell r="U29">
            <v>4.3174951625074176E-2</v>
          </cell>
          <cell r="V29">
            <v>0</v>
          </cell>
          <cell r="W29">
            <v>4.3174951625074176E-2</v>
          </cell>
          <cell r="X29" t="e">
            <v>#DIV/0!</v>
          </cell>
          <cell r="Y29">
            <v>4.3174951625074176E-2</v>
          </cell>
          <cell r="Z29" t="e">
            <v>#DIV/0!</v>
          </cell>
          <cell r="AA29"/>
          <cell r="AB29">
            <v>0</v>
          </cell>
          <cell r="AC29">
            <v>764832.0495268791</v>
          </cell>
          <cell r="AD29">
            <v>0</v>
          </cell>
          <cell r="AE29">
            <v>764832.0495268791</v>
          </cell>
          <cell r="AF29">
            <v>-1</v>
          </cell>
          <cell r="AG29">
            <v>764832.0495268791</v>
          </cell>
          <cell r="AH29">
            <v>-1</v>
          </cell>
          <cell r="AI29"/>
          <cell r="AJ29">
            <v>0</v>
          </cell>
          <cell r="AK29">
            <v>5.4666805938481208E-2</v>
          </cell>
          <cell r="AL29">
            <v>0</v>
          </cell>
          <cell r="AM29">
            <v>5.4666805938481208E-2</v>
          </cell>
          <cell r="AN29" t="e">
            <v>#DIV/0!</v>
          </cell>
          <cell r="AO29">
            <v>5.4666805938481208E-2</v>
          </cell>
          <cell r="AP29" t="e">
            <v>#DIV/0!</v>
          </cell>
          <cell r="AQ29">
            <v>0.44907634733373597</v>
          </cell>
          <cell r="AR29">
            <v>0.12173165267565289</v>
          </cell>
        </row>
        <row r="30">
          <cell r="B30">
            <v>39508</v>
          </cell>
          <cell r="C30">
            <v>39508</v>
          </cell>
          <cell r="D30" t="str">
            <v>Global</v>
          </cell>
          <cell r="E30">
            <v>2.3074155179138314E-2</v>
          </cell>
          <cell r="F30" t="str">
            <v>c</v>
          </cell>
          <cell r="G30" t="str">
            <v>c</v>
          </cell>
          <cell r="H30" t="str">
            <v>g</v>
          </cell>
          <cell r="I30">
            <v>9.000000000000008E-2</v>
          </cell>
          <cell r="J30">
            <v>7.0000000000000062E-2</v>
          </cell>
          <cell r="K30">
            <v>4.3681919127909169E-2</v>
          </cell>
          <cell r="L30" t="str">
            <v>c</v>
          </cell>
          <cell r="M30" t="str">
            <v>c</v>
          </cell>
          <cell r="N30" t="str">
            <v>g</v>
          </cell>
          <cell r="O30">
            <v>9.000000000000008E-2</v>
          </cell>
          <cell r="P30">
            <v>7.0000000000000062E-2</v>
          </cell>
          <cell r="R30">
            <v>39508</v>
          </cell>
          <cell r="S30" t="str">
            <v>Global</v>
          </cell>
          <cell r="T30">
            <v>0</v>
          </cell>
          <cell r="U30">
            <v>2.3074155179138314E-2</v>
          </cell>
          <cell r="V30">
            <v>0</v>
          </cell>
          <cell r="W30">
            <v>2.3074155179138314E-2</v>
          </cell>
          <cell r="X30" t="e">
            <v>#DIV/0!</v>
          </cell>
          <cell r="Y30">
            <v>2.3074155179138314E-2</v>
          </cell>
          <cell r="Z30" t="e">
            <v>#DIV/0!</v>
          </cell>
          <cell r="AA30"/>
          <cell r="AB30">
            <v>0</v>
          </cell>
          <cell r="AC30">
            <v>409288.58004627936</v>
          </cell>
          <cell r="AD30">
            <v>0</v>
          </cell>
          <cell r="AE30">
            <v>409288.58004627936</v>
          </cell>
          <cell r="AF30">
            <v>-1</v>
          </cell>
          <cell r="AG30">
            <v>409288.58004627936</v>
          </cell>
          <cell r="AH30">
            <v>-1</v>
          </cell>
          <cell r="AI30"/>
          <cell r="AJ30">
            <v>0</v>
          </cell>
          <cell r="AK30">
            <v>4.3681919127909169E-2</v>
          </cell>
          <cell r="AL30">
            <v>0</v>
          </cell>
          <cell r="AM30">
            <v>4.3681919127909169E-2</v>
          </cell>
          <cell r="AN30" t="e">
            <v>#DIV/0!</v>
          </cell>
          <cell r="AO30">
            <v>4.3681919127909169E-2</v>
          </cell>
          <cell r="AP30" t="e">
            <v>#DIV/0!</v>
          </cell>
          <cell r="AQ30">
            <v>0.44907634733373597</v>
          </cell>
          <cell r="AR30">
            <v>9.7270585251835753E-2</v>
          </cell>
        </row>
        <row r="31">
          <cell r="B31">
            <v>39539</v>
          </cell>
          <cell r="C31">
            <v>39539</v>
          </cell>
          <cell r="D31" t="str">
            <v>Global</v>
          </cell>
          <cell r="E31">
            <v>0.11316034125519385</v>
          </cell>
          <cell r="F31" t="str">
            <v>g</v>
          </cell>
          <cell r="G31" t="str">
            <v>c</v>
          </cell>
          <cell r="H31" t="str">
            <v>c</v>
          </cell>
          <cell r="I31">
            <v>9.000000000000008E-2</v>
          </cell>
          <cell r="J31">
            <v>7.0000000000000062E-2</v>
          </cell>
          <cell r="K31">
            <v>6.2071586458100778E-2</v>
          </cell>
          <cell r="L31" t="str">
            <v>c</v>
          </cell>
          <cell r="M31" t="str">
            <v>c</v>
          </cell>
          <cell r="N31" t="str">
            <v>g</v>
          </cell>
          <cell r="O31">
            <v>9.000000000000008E-2</v>
          </cell>
          <cell r="P31">
            <v>7.0000000000000062E-2</v>
          </cell>
          <cell r="R31">
            <v>39539</v>
          </cell>
          <cell r="S31" t="str">
            <v>Global</v>
          </cell>
          <cell r="T31">
            <v>0</v>
          </cell>
          <cell r="U31">
            <v>0.11316034125519385</v>
          </cell>
          <cell r="V31">
            <v>0</v>
          </cell>
          <cell r="W31">
            <v>0.11316034125519385</v>
          </cell>
          <cell r="X31" t="e">
            <v>#DIV/0!</v>
          </cell>
          <cell r="Y31">
            <v>0.11316034125519385</v>
          </cell>
          <cell r="Z31" t="e">
            <v>#DIV/0!</v>
          </cell>
          <cell r="AA31"/>
          <cell r="AB31">
            <v>0</v>
          </cell>
          <cell r="AC31">
            <v>2077959.6121778633</v>
          </cell>
          <cell r="AD31">
            <v>0</v>
          </cell>
          <cell r="AE31">
            <v>2077959.6121778633</v>
          </cell>
          <cell r="AF31">
            <v>-1</v>
          </cell>
          <cell r="AG31">
            <v>2077959.6121778633</v>
          </cell>
          <cell r="AH31">
            <v>-1</v>
          </cell>
          <cell r="AI31"/>
          <cell r="AJ31">
            <v>0</v>
          </cell>
          <cell r="AK31">
            <v>6.2071586458100778E-2</v>
          </cell>
          <cell r="AL31">
            <v>0</v>
          </cell>
          <cell r="AM31">
            <v>6.2071586458100778E-2</v>
          </cell>
          <cell r="AN31" t="e">
            <v>#DIV/0!</v>
          </cell>
          <cell r="AO31">
            <v>6.2071586458100778E-2</v>
          </cell>
          <cell r="AP31" t="e">
            <v>#DIV/0!</v>
          </cell>
          <cell r="AQ31">
            <v>0.44907634733373597</v>
          </cell>
          <cell r="AR31">
            <v>0.13822056500333027</v>
          </cell>
        </row>
        <row r="32">
          <cell r="B32">
            <v>39569</v>
          </cell>
          <cell r="C32">
            <v>39569</v>
          </cell>
          <cell r="D32" t="str">
            <v>Global</v>
          </cell>
          <cell r="E32">
            <v>7.0308486308176502E-2</v>
          </cell>
          <cell r="F32" t="str">
            <v>c</v>
          </cell>
          <cell r="G32" t="str">
            <v>g</v>
          </cell>
          <cell r="H32" t="str">
            <v>c</v>
          </cell>
          <cell r="I32">
            <v>9.000000000000008E-2</v>
          </cell>
          <cell r="J32">
            <v>7.0000000000000062E-2</v>
          </cell>
          <cell r="K32">
            <v>6.3886800451820269E-2</v>
          </cell>
          <cell r="L32" t="str">
            <v>c</v>
          </cell>
          <cell r="M32" t="str">
            <v>c</v>
          </cell>
          <cell r="N32" t="str">
            <v>g</v>
          </cell>
          <cell r="O32">
            <v>9.000000000000008E-2</v>
          </cell>
          <cell r="P32">
            <v>7.0000000000000062E-2</v>
          </cell>
          <cell r="R32">
            <v>39569</v>
          </cell>
          <cell r="S32" t="str">
            <v>Global</v>
          </cell>
          <cell r="T32">
            <v>0</v>
          </cell>
          <cell r="U32">
            <v>7.0308486308176502E-2</v>
          </cell>
          <cell r="V32">
            <v>0</v>
          </cell>
          <cell r="W32">
            <v>7.0308486308176502E-2</v>
          </cell>
          <cell r="X32" t="e">
            <v>#DIV/0!</v>
          </cell>
          <cell r="Y32">
            <v>7.0308486308176502E-2</v>
          </cell>
          <cell r="Z32" t="e">
            <v>#DIV/0!</v>
          </cell>
          <cell r="AA32"/>
          <cell r="AB32">
            <v>0</v>
          </cell>
          <cell r="AC32">
            <v>1378813.256608909</v>
          </cell>
          <cell r="AD32">
            <v>0</v>
          </cell>
          <cell r="AE32">
            <v>1378813.256608909</v>
          </cell>
          <cell r="AF32">
            <v>-1</v>
          </cell>
          <cell r="AG32">
            <v>1378813.256608909</v>
          </cell>
          <cell r="AH32">
            <v>-1</v>
          </cell>
          <cell r="AI32"/>
          <cell r="AJ32">
            <v>0</v>
          </cell>
          <cell r="AK32">
            <v>6.3886800451820269E-2</v>
          </cell>
          <cell r="AL32">
            <v>0</v>
          </cell>
          <cell r="AM32">
            <v>6.3886800451820269E-2</v>
          </cell>
          <cell r="AN32" t="e">
            <v>#DIV/0!</v>
          </cell>
          <cell r="AO32">
            <v>6.3886800451820269E-2</v>
          </cell>
          <cell r="AP32" t="e">
            <v>#DIV/0!</v>
          </cell>
          <cell r="AQ32">
            <v>0.44907634733373597</v>
          </cell>
          <cell r="AR32">
            <v>0.14226267054840477</v>
          </cell>
        </row>
        <row r="33">
          <cell r="B33">
            <v>39600</v>
          </cell>
          <cell r="C33">
            <v>39600</v>
          </cell>
          <cell r="D33" t="str">
            <v>Global</v>
          </cell>
          <cell r="E33">
            <v>5.4252691937893914E-2</v>
          </cell>
          <cell r="F33" t="str">
            <v>c</v>
          </cell>
          <cell r="G33" t="str">
            <v>c</v>
          </cell>
          <cell r="H33" t="str">
            <v>g</v>
          </cell>
          <cell r="I33">
            <v>9.000000000000008E-2</v>
          </cell>
          <cell r="J33">
            <v>7.0000000000000062E-2</v>
          </cell>
          <cell r="K33">
            <v>6.2030701056589511E-2</v>
          </cell>
          <cell r="L33" t="str">
            <v>c</v>
          </cell>
          <cell r="M33" t="str">
            <v>c</v>
          </cell>
          <cell r="N33" t="str">
            <v>g</v>
          </cell>
          <cell r="O33">
            <v>9.000000000000008E-2</v>
          </cell>
          <cell r="P33">
            <v>7.0000000000000062E-2</v>
          </cell>
          <cell r="R33">
            <v>39600</v>
          </cell>
          <cell r="S33" t="str">
            <v>Global</v>
          </cell>
          <cell r="T33">
            <v>0</v>
          </cell>
          <cell r="U33">
            <v>5.4252691937893914E-2</v>
          </cell>
          <cell r="V33">
            <v>0</v>
          </cell>
          <cell r="W33">
            <v>5.4252691937893914E-2</v>
          </cell>
          <cell r="X33" t="e">
            <v>#DIV/0!</v>
          </cell>
          <cell r="Y33">
            <v>5.4252691937893914E-2</v>
          </cell>
          <cell r="Z33" t="e">
            <v>#DIV/0!</v>
          </cell>
          <cell r="AA33"/>
          <cell r="AB33">
            <v>0</v>
          </cell>
          <cell r="AC33">
            <v>1152093.5104166903</v>
          </cell>
          <cell r="AD33">
            <v>0</v>
          </cell>
          <cell r="AE33">
            <v>1152093.5104166903</v>
          </cell>
          <cell r="AF33">
            <v>-1</v>
          </cell>
          <cell r="AG33">
            <v>1152093.5104166903</v>
          </cell>
          <cell r="AH33">
            <v>-1</v>
          </cell>
          <cell r="AI33"/>
          <cell r="AJ33">
            <v>0</v>
          </cell>
          <cell r="AK33">
            <v>6.2030701056589511E-2</v>
          </cell>
          <cell r="AL33">
            <v>0</v>
          </cell>
          <cell r="AM33">
            <v>6.2030701056589511E-2</v>
          </cell>
          <cell r="AN33" t="e">
            <v>#DIV/0!</v>
          </cell>
          <cell r="AO33">
            <v>6.2030701056589511E-2</v>
          </cell>
          <cell r="AP33" t="e">
            <v>#DIV/0!</v>
          </cell>
          <cell r="AQ33">
            <v>0.44907634733373597</v>
          </cell>
          <cell r="AR33">
            <v>0.13812952168351614</v>
          </cell>
        </row>
        <row r="34">
          <cell r="B34">
            <v>39630</v>
          </cell>
          <cell r="C34">
            <v>39630</v>
          </cell>
          <cell r="D34" t="str">
            <v>Global</v>
          </cell>
          <cell r="E34">
            <v>5.5531975532146532E-2</v>
          </cell>
          <cell r="F34" t="str">
            <v>c</v>
          </cell>
          <cell r="G34" t="str">
            <v>c</v>
          </cell>
          <cell r="H34" t="str">
            <v>g</v>
          </cell>
          <cell r="I34">
            <v>9.000000000000008E-2</v>
          </cell>
          <cell r="J34">
            <v>7.0000000000000062E-2</v>
          </cell>
          <cell r="K34">
            <v>6.0960711598227885E-2</v>
          </cell>
          <cell r="L34" t="str">
            <v>c</v>
          </cell>
          <cell r="M34" t="str">
            <v>c</v>
          </cell>
          <cell r="N34" t="str">
            <v>g</v>
          </cell>
          <cell r="O34">
            <v>9.000000000000008E-2</v>
          </cell>
          <cell r="P34">
            <v>7.0000000000000062E-2</v>
          </cell>
          <cell r="R34">
            <v>39630</v>
          </cell>
          <cell r="S34" t="str">
            <v>Global</v>
          </cell>
          <cell r="T34">
            <v>0</v>
          </cell>
          <cell r="U34">
            <v>5.5531975532146532E-2</v>
          </cell>
          <cell r="V34">
            <v>0</v>
          </cell>
          <cell r="W34">
            <v>5.5531975532146532E-2</v>
          </cell>
          <cell r="X34" t="e">
            <v>#DIV/0!</v>
          </cell>
          <cell r="Y34">
            <v>5.5531975532146532E-2</v>
          </cell>
          <cell r="Z34" t="e">
            <v>#DIV/0!</v>
          </cell>
          <cell r="AA34"/>
          <cell r="AB34">
            <v>0</v>
          </cell>
          <cell r="AC34">
            <v>1206425.8594481433</v>
          </cell>
          <cell r="AD34">
            <v>0</v>
          </cell>
          <cell r="AE34">
            <v>1206425.8594481433</v>
          </cell>
          <cell r="AF34">
            <v>-1</v>
          </cell>
          <cell r="AG34">
            <v>1206425.8594481433</v>
          </cell>
          <cell r="AH34">
            <v>-1</v>
          </cell>
          <cell r="AI34"/>
          <cell r="AJ34">
            <v>0</v>
          </cell>
          <cell r="AK34">
            <v>6.0960711598227885E-2</v>
          </cell>
          <cell r="AL34">
            <v>0</v>
          </cell>
          <cell r="AM34">
            <v>6.0960711598227885E-2</v>
          </cell>
          <cell r="AN34" t="e">
            <v>#DIV/0!</v>
          </cell>
          <cell r="AO34">
            <v>6.0960711598227885E-2</v>
          </cell>
          <cell r="AP34" t="e">
            <v>#DIV/0!</v>
          </cell>
          <cell r="AQ34">
            <v>0.44907634733373597</v>
          </cell>
          <cell r="AR34">
            <v>0.13574687680650496</v>
          </cell>
        </row>
        <row r="35">
          <cell r="B35">
            <v>39661</v>
          </cell>
          <cell r="C35">
            <v>39661</v>
          </cell>
          <cell r="D35" t="str">
            <v>Global</v>
          </cell>
          <cell r="E35">
            <v>9.6448234261994198E-2</v>
          </cell>
          <cell r="F35" t="str">
            <v>g</v>
          </cell>
          <cell r="G35" t="str">
            <v>c</v>
          </cell>
          <cell r="H35" t="str">
            <v>c</v>
          </cell>
          <cell r="I35">
            <v>9.000000000000008E-2</v>
          </cell>
          <cell r="J35">
            <v>7.0000000000000062E-2</v>
          </cell>
          <cell r="K35">
            <v>6.6464271550024726E-2</v>
          </cell>
          <cell r="L35" t="str">
            <v>c</v>
          </cell>
          <cell r="M35" t="str">
            <v>c</v>
          </cell>
          <cell r="N35" t="str">
            <v>g</v>
          </cell>
          <cell r="O35">
            <v>9.000000000000008E-2</v>
          </cell>
          <cell r="P35">
            <v>7.0000000000000062E-2</v>
          </cell>
          <cell r="R35">
            <v>39661</v>
          </cell>
          <cell r="S35" t="str">
            <v>Global</v>
          </cell>
          <cell r="T35">
            <v>0</v>
          </cell>
          <cell r="U35">
            <v>9.6448234261994198E-2</v>
          </cell>
          <cell r="V35">
            <v>0</v>
          </cell>
          <cell r="W35">
            <v>9.6448234261994198E-2</v>
          </cell>
          <cell r="X35" t="e">
            <v>#DIV/0!</v>
          </cell>
          <cell r="Y35">
            <v>9.6448234261994198E-2</v>
          </cell>
          <cell r="Z35" t="e">
            <v>#DIV/0!</v>
          </cell>
          <cell r="AA35"/>
          <cell r="AB35">
            <v>0</v>
          </cell>
          <cell r="AC35">
            <v>2335904.9315748755</v>
          </cell>
          <cell r="AD35">
            <v>0</v>
          </cell>
          <cell r="AE35">
            <v>2335904.9315748755</v>
          </cell>
          <cell r="AF35">
            <v>-1</v>
          </cell>
          <cell r="AG35">
            <v>2335904.9315748755</v>
          </cell>
          <cell r="AH35">
            <v>-1</v>
          </cell>
          <cell r="AI35"/>
          <cell r="AJ35">
            <v>0</v>
          </cell>
          <cell r="AK35">
            <v>6.6464271550024726E-2</v>
          </cell>
          <cell r="AL35">
            <v>0</v>
          </cell>
          <cell r="AM35">
            <v>6.6464271550024726E-2</v>
          </cell>
          <cell r="AN35" t="e">
            <v>#DIV/0!</v>
          </cell>
          <cell r="AO35">
            <v>6.6464271550024726E-2</v>
          </cell>
          <cell r="AP35" t="e">
            <v>#DIV/0!</v>
          </cell>
          <cell r="AQ35">
            <v>0.44907634733373597</v>
          </cell>
          <cell r="AR35">
            <v>0.14800216476471667</v>
          </cell>
        </row>
        <row r="36">
          <cell r="B36">
            <v>39692</v>
          </cell>
          <cell r="C36">
            <v>39692</v>
          </cell>
          <cell r="D36" t="str">
            <v>Global</v>
          </cell>
          <cell r="E36">
            <v>9.2571431319768138E-2</v>
          </cell>
          <cell r="F36" t="str">
            <v>g</v>
          </cell>
          <cell r="G36" t="str">
            <v>c</v>
          </cell>
          <cell r="H36" t="str">
            <v>c</v>
          </cell>
          <cell r="I36">
            <v>9.000000000000008E-2</v>
          </cell>
          <cell r="J36">
            <v>7.0000000000000062E-2</v>
          </cell>
          <cell r="K36">
            <v>6.9901609746568838E-2</v>
          </cell>
          <cell r="L36" t="str">
            <v>c</v>
          </cell>
          <cell r="M36" t="str">
            <v>c</v>
          </cell>
          <cell r="N36" t="str">
            <v>g</v>
          </cell>
          <cell r="O36">
            <v>9.000000000000008E-2</v>
          </cell>
          <cell r="P36">
            <v>7.0000000000000062E-2</v>
          </cell>
          <cell r="R36">
            <v>39692</v>
          </cell>
          <cell r="S36" t="str">
            <v>Global</v>
          </cell>
          <cell r="T36">
            <v>0</v>
          </cell>
          <cell r="U36">
            <v>9.2571431319768138E-2</v>
          </cell>
          <cell r="V36">
            <v>0</v>
          </cell>
          <cell r="W36">
            <v>9.2571431319768138E-2</v>
          </cell>
          <cell r="X36" t="e">
            <v>#DIV/0!</v>
          </cell>
          <cell r="Y36">
            <v>9.2571431319768138E-2</v>
          </cell>
          <cell r="Z36" t="e">
            <v>#DIV/0!</v>
          </cell>
          <cell r="AA36"/>
          <cell r="AB36">
            <v>0</v>
          </cell>
          <cell r="AC36">
            <v>2192017.4365070537</v>
          </cell>
          <cell r="AD36">
            <v>0</v>
          </cell>
          <cell r="AE36">
            <v>2192017.4365070537</v>
          </cell>
          <cell r="AF36">
            <v>-1</v>
          </cell>
          <cell r="AG36">
            <v>2192017.4365070537</v>
          </cell>
          <cell r="AH36">
            <v>-1</v>
          </cell>
          <cell r="AI36"/>
          <cell r="AJ36">
            <v>0</v>
          </cell>
          <cell r="AK36">
            <v>6.9901609746568838E-2</v>
          </cell>
          <cell r="AL36">
            <v>0</v>
          </cell>
          <cell r="AM36">
            <v>6.9901609746568838E-2</v>
          </cell>
          <cell r="AN36" t="e">
            <v>#DIV/0!</v>
          </cell>
          <cell r="AO36">
            <v>6.9901609746568838E-2</v>
          </cell>
          <cell r="AP36" t="e">
            <v>#DIV/0!</v>
          </cell>
          <cell r="AQ36">
            <v>0.44907634733373597</v>
          </cell>
          <cell r="AR36">
            <v>0.15565640488881213</v>
          </cell>
        </row>
        <row r="37">
          <cell r="B37">
            <v>39722</v>
          </cell>
          <cell r="C37">
            <v>39722</v>
          </cell>
          <cell r="D37" t="str">
            <v>Global</v>
          </cell>
          <cell r="E37">
            <v>6.8680031350542278E-2</v>
          </cell>
          <cell r="F37" t="str">
            <v>c</v>
          </cell>
          <cell r="G37" t="str">
            <v>c</v>
          </cell>
          <cell r="H37" t="str">
            <v>g</v>
          </cell>
          <cell r="I37">
            <v>9.000000000000008E-2</v>
          </cell>
          <cell r="J37">
            <v>7.0000000000000062E-2</v>
          </cell>
          <cell r="K37">
            <v>6.9746034021997055E-2</v>
          </cell>
          <cell r="L37" t="str">
            <v>c</v>
          </cell>
          <cell r="M37" t="str">
            <v>c</v>
          </cell>
          <cell r="N37" t="str">
            <v>g</v>
          </cell>
          <cell r="O37">
            <v>9.000000000000008E-2</v>
          </cell>
          <cell r="P37">
            <v>7.0000000000000062E-2</v>
          </cell>
          <cell r="R37">
            <v>39722</v>
          </cell>
          <cell r="S37" t="str">
            <v>Global</v>
          </cell>
          <cell r="T37">
            <v>0</v>
          </cell>
          <cell r="U37">
            <v>6.8680031350542278E-2</v>
          </cell>
          <cell r="V37">
            <v>0</v>
          </cell>
          <cell r="W37">
            <v>6.8680031350542278E-2</v>
          </cell>
          <cell r="X37" t="e">
            <v>#DIV/0!</v>
          </cell>
          <cell r="Y37">
            <v>6.8680031350542278E-2</v>
          </cell>
          <cell r="Z37" t="e">
            <v>#DIV/0!</v>
          </cell>
          <cell r="AA37"/>
          <cell r="AB37">
            <v>0</v>
          </cell>
          <cell r="AC37">
            <v>1802679.0541933272</v>
          </cell>
          <cell r="AD37">
            <v>0</v>
          </cell>
          <cell r="AE37">
            <v>1802679.0541933272</v>
          </cell>
          <cell r="AF37">
            <v>-1</v>
          </cell>
          <cell r="AG37">
            <v>1802679.0541933272</v>
          </cell>
          <cell r="AH37">
            <v>-1</v>
          </cell>
          <cell r="AI37"/>
          <cell r="AJ37">
            <v>0</v>
          </cell>
          <cell r="AK37">
            <v>6.9746034021997055E-2</v>
          </cell>
          <cell r="AL37">
            <v>0</v>
          </cell>
          <cell r="AM37">
            <v>6.9746034021997055E-2</v>
          </cell>
          <cell r="AN37" t="e">
            <v>#DIV/0!</v>
          </cell>
          <cell r="AO37">
            <v>6.9746034021997055E-2</v>
          </cell>
          <cell r="AP37" t="e">
            <v>#DIV/0!</v>
          </cell>
          <cell r="AQ37">
            <v>0.44907634733373597</v>
          </cell>
          <cell r="AR37">
            <v>0.15530996997747587</v>
          </cell>
        </row>
        <row r="38">
          <cell r="B38">
            <v>39753</v>
          </cell>
          <cell r="C38">
            <v>39753</v>
          </cell>
          <cell r="D38" t="str">
            <v>Global</v>
          </cell>
          <cell r="E38">
            <v>4.7670485987002326E-2</v>
          </cell>
          <cell r="F38" t="str">
            <v>c</v>
          </cell>
          <cell r="G38" t="str">
            <v>c</v>
          </cell>
          <cell r="H38" t="str">
            <v>g</v>
          </cell>
          <cell r="I38">
            <v>9.000000000000008E-2</v>
          </cell>
          <cell r="J38">
            <v>7.0000000000000062E-2</v>
          </cell>
          <cell r="K38">
            <v>6.7850411875046174E-2</v>
          </cell>
          <cell r="L38" t="str">
            <v>c</v>
          </cell>
          <cell r="M38" t="str">
            <v>c</v>
          </cell>
          <cell r="N38" t="str">
            <v>g</v>
          </cell>
          <cell r="O38">
            <v>9.000000000000008E-2</v>
          </cell>
          <cell r="P38">
            <v>7.0000000000000062E-2</v>
          </cell>
          <cell r="R38">
            <v>39753</v>
          </cell>
          <cell r="S38" t="str">
            <v>Global</v>
          </cell>
          <cell r="T38">
            <v>0</v>
          </cell>
          <cell r="U38">
            <v>4.7670485987002326E-2</v>
          </cell>
          <cell r="V38">
            <v>0</v>
          </cell>
          <cell r="W38">
            <v>4.7670485987002326E-2</v>
          </cell>
          <cell r="X38" t="e">
            <v>#DIV/0!</v>
          </cell>
          <cell r="Y38">
            <v>4.7670485987002326E-2</v>
          </cell>
          <cell r="Z38" t="e">
            <v>#DIV/0!</v>
          </cell>
          <cell r="AA38"/>
          <cell r="AB38">
            <v>0</v>
          </cell>
          <cell r="AC38">
            <v>922888.4813367296</v>
          </cell>
          <cell r="AD38">
            <v>0</v>
          </cell>
          <cell r="AE38">
            <v>922888.4813367296</v>
          </cell>
          <cell r="AF38">
            <v>-1</v>
          </cell>
          <cell r="AG38">
            <v>922888.4813367296</v>
          </cell>
          <cell r="AH38">
            <v>-1</v>
          </cell>
          <cell r="AI38"/>
          <cell r="AJ38">
            <v>0</v>
          </cell>
          <cell r="AK38">
            <v>6.7850411875046174E-2</v>
          </cell>
          <cell r="AL38">
            <v>0</v>
          </cell>
          <cell r="AM38">
            <v>6.7850411875046174E-2</v>
          </cell>
          <cell r="AN38" t="e">
            <v>#DIV/0!</v>
          </cell>
          <cell r="AO38">
            <v>6.7850411875046174E-2</v>
          </cell>
          <cell r="AP38" t="e">
            <v>#DIV/0!</v>
          </cell>
          <cell r="AQ38">
            <v>0.44907634733373597</v>
          </cell>
          <cell r="AR38">
            <v>0.15108881213158706</v>
          </cell>
        </row>
        <row r="39">
          <cell r="B39">
            <v>39783</v>
          </cell>
          <cell r="C39">
            <v>39783</v>
          </cell>
          <cell r="D39" t="str">
            <v>Global</v>
          </cell>
          <cell r="E39">
            <v>-0.2835448730068591</v>
          </cell>
          <cell r="F39" t="str">
            <v>c</v>
          </cell>
          <cell r="G39" t="str">
            <v>c</v>
          </cell>
          <cell r="H39" t="str">
            <v>g</v>
          </cell>
          <cell r="I39">
            <v>8.9999999999999858E-2</v>
          </cell>
          <cell r="J39">
            <v>7.0000000000000062E-2</v>
          </cell>
          <cell r="K39">
            <v>3.2604882774861045E-2</v>
          </cell>
          <cell r="L39" t="str">
            <v>c</v>
          </cell>
          <cell r="M39" t="str">
            <v>c</v>
          </cell>
          <cell r="N39" t="str">
            <v>g</v>
          </cell>
          <cell r="O39">
            <v>8.9999999999999858E-2</v>
          </cell>
          <cell r="P39">
            <v>7.0000000000000062E-2</v>
          </cell>
          <cell r="R39">
            <v>39783</v>
          </cell>
          <cell r="S39" t="str">
            <v>Global</v>
          </cell>
          <cell r="T39">
            <v>0</v>
          </cell>
          <cell r="U39">
            <v>-0.2835448730068591</v>
          </cell>
          <cell r="V39">
            <v>0</v>
          </cell>
          <cell r="W39">
            <v>-0.2835448730068591</v>
          </cell>
          <cell r="X39" t="e">
            <v>#DIV/0!</v>
          </cell>
          <cell r="Y39">
            <v>-0.2835448730068591</v>
          </cell>
          <cell r="Z39" t="e">
            <v>#DIV/0!</v>
          </cell>
          <cell r="AA39"/>
          <cell r="AB39">
            <v>0</v>
          </cell>
          <cell r="AC39">
            <v>-7126763.5272589987</v>
          </cell>
          <cell r="AD39">
            <v>0</v>
          </cell>
          <cell r="AE39">
            <v>-7126763.5272589987</v>
          </cell>
          <cell r="AF39">
            <v>-1</v>
          </cell>
          <cell r="AG39">
            <v>-7126763.5272589987</v>
          </cell>
          <cell r="AH39">
            <v>-1</v>
          </cell>
          <cell r="AI39"/>
          <cell r="AJ39">
            <v>0</v>
          </cell>
          <cell r="AK39">
            <v>3.2604882774861045E-2</v>
          </cell>
          <cell r="AL39">
            <v>0</v>
          </cell>
          <cell r="AM39">
            <v>3.2604882774861045E-2</v>
          </cell>
          <cell r="AN39" t="e">
            <v>#DIV/0!</v>
          </cell>
          <cell r="AO39">
            <v>3.2604882774861045E-2</v>
          </cell>
          <cell r="AP39" t="e">
            <v>#DIV/0!</v>
          </cell>
          <cell r="AQ39">
            <v>0.44907634733373597</v>
          </cell>
          <cell r="AR39">
            <v>7.2604319885568078E-2</v>
          </cell>
        </row>
        <row r="40">
          <cell r="B40">
            <v>39814</v>
          </cell>
          <cell r="C40"/>
          <cell r="D40" t="str">
            <v>Global</v>
          </cell>
          <cell r="E40" t="str">
            <v/>
          </cell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  <cell r="L40" t="str">
            <v/>
          </cell>
          <cell r="M40" t="str">
            <v/>
          </cell>
          <cell r="N40" t="str">
            <v/>
          </cell>
          <cell r="O40" t="str">
            <v/>
          </cell>
          <cell r="P40" t="str">
            <v/>
          </cell>
          <cell r="R40">
            <v>39814</v>
          </cell>
          <cell r="S40" t="str">
            <v>Global</v>
          </cell>
          <cell r="T40">
            <v>6.7748435583664834E-2</v>
          </cell>
          <cell r="U40" t="str">
            <v/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 t="str">
            <v/>
          </cell>
          <cell r="AA40"/>
          <cell r="AB40">
            <v>1054294.0409672558</v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/>
          <cell r="AJ40">
            <v>6.7748435583664834E-2</v>
          </cell>
          <cell r="AK40" t="str">
            <v/>
          </cell>
          <cell r="AL40" t="str">
            <v/>
          </cell>
          <cell r="AM40" t="str">
            <v/>
          </cell>
          <cell r="AN40" t="str">
            <v/>
          </cell>
          <cell r="AO40" t="str">
            <v/>
          </cell>
          <cell r="AP40" t="str">
            <v/>
          </cell>
          <cell r="AQ40">
            <v>0.44907634733373597</v>
          </cell>
          <cell r="AR40" t="str">
            <v/>
          </cell>
        </row>
        <row r="41">
          <cell r="B41">
            <v>39845</v>
          </cell>
          <cell r="C41"/>
          <cell r="D41" t="str">
            <v>Global</v>
          </cell>
          <cell r="E41" t="str">
            <v/>
          </cell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  <cell r="J41" t="str">
            <v/>
          </cell>
          <cell r="K41" t="str">
            <v/>
          </cell>
          <cell r="L41" t="str">
            <v/>
          </cell>
          <cell r="M41" t="str">
            <v/>
          </cell>
          <cell r="N41" t="str">
            <v/>
          </cell>
          <cell r="O41"/>
          <cell r="P41"/>
          <cell r="R41">
            <v>39845</v>
          </cell>
          <cell r="S41" t="str">
            <v>Global</v>
          </cell>
          <cell r="T41">
            <v>4.3174951625074176E-2</v>
          </cell>
          <cell r="U41" t="str">
            <v/>
          </cell>
          <cell r="V41" t="str">
            <v/>
          </cell>
          <cell r="W41" t="str">
            <v/>
          </cell>
          <cell r="X41" t="str">
            <v/>
          </cell>
          <cell r="Y41" t="str">
            <v/>
          </cell>
          <cell r="Z41" t="str">
            <v/>
          </cell>
          <cell r="AA41"/>
          <cell r="AB41">
            <v>764832.0495268791</v>
          </cell>
          <cell r="AC41" t="str">
            <v/>
          </cell>
          <cell r="AD41" t="str">
            <v/>
          </cell>
          <cell r="AE41" t="str">
            <v/>
          </cell>
          <cell r="AF41" t="str">
            <v/>
          </cell>
          <cell r="AG41" t="str">
            <v/>
          </cell>
          <cell r="AH41" t="str">
            <v/>
          </cell>
          <cell r="AI41"/>
          <cell r="AJ41">
            <v>5.4666805938481208E-2</v>
          </cell>
          <cell r="AK41" t="str">
            <v/>
          </cell>
          <cell r="AL41" t="str">
            <v/>
          </cell>
          <cell r="AM41" t="str">
            <v/>
          </cell>
          <cell r="AN41" t="str">
            <v/>
          </cell>
          <cell r="AO41" t="str">
            <v/>
          </cell>
          <cell r="AP41" t="str">
            <v/>
          </cell>
          <cell r="AQ41">
            <v>0.44907634733373597</v>
          </cell>
          <cell r="AR41"/>
        </row>
        <row r="42">
          <cell r="B42">
            <v>39873</v>
          </cell>
          <cell r="C42"/>
          <cell r="D42" t="str">
            <v>Global</v>
          </cell>
          <cell r="E42" t="str">
            <v/>
          </cell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  <cell r="J42" t="str">
            <v/>
          </cell>
          <cell r="K42" t="str">
            <v/>
          </cell>
          <cell r="L42" t="str">
            <v/>
          </cell>
          <cell r="M42" t="str">
            <v/>
          </cell>
          <cell r="N42" t="str">
            <v/>
          </cell>
          <cell r="O42"/>
          <cell r="P42"/>
          <cell r="R42">
            <v>39873</v>
          </cell>
          <cell r="S42" t="str">
            <v>Global</v>
          </cell>
          <cell r="T42">
            <v>2.3074155179138314E-2</v>
          </cell>
          <cell r="U42" t="str">
            <v/>
          </cell>
          <cell r="V42" t="str">
            <v/>
          </cell>
          <cell r="W42" t="str">
            <v/>
          </cell>
          <cell r="X42" t="str">
            <v/>
          </cell>
          <cell r="Y42" t="str">
            <v/>
          </cell>
          <cell r="Z42" t="str">
            <v/>
          </cell>
          <cell r="AA42"/>
          <cell r="AB42">
            <v>409288.58004627936</v>
          </cell>
          <cell r="AC42" t="str">
            <v/>
          </cell>
          <cell r="AD42" t="str">
            <v/>
          </cell>
          <cell r="AE42" t="str">
            <v/>
          </cell>
          <cell r="AF42" t="str">
            <v/>
          </cell>
          <cell r="AG42" t="str">
            <v/>
          </cell>
          <cell r="AH42" t="str">
            <v/>
          </cell>
          <cell r="AI42"/>
          <cell r="AJ42">
            <v>4.3681919127909169E-2</v>
          </cell>
          <cell r="AK42" t="str">
            <v/>
          </cell>
          <cell r="AL42" t="str">
            <v/>
          </cell>
          <cell r="AM42" t="str">
            <v/>
          </cell>
          <cell r="AN42" t="str">
            <v/>
          </cell>
          <cell r="AO42" t="str">
            <v/>
          </cell>
          <cell r="AP42" t="str">
            <v/>
          </cell>
          <cell r="AQ42">
            <v>0.44907634733373597</v>
          </cell>
          <cell r="AR42"/>
        </row>
        <row r="43">
          <cell r="B43">
            <v>39904</v>
          </cell>
          <cell r="C43"/>
          <cell r="D43" t="str">
            <v>Global</v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 t="str">
            <v/>
          </cell>
          <cell r="L43" t="str">
            <v/>
          </cell>
          <cell r="M43" t="str">
            <v/>
          </cell>
          <cell r="N43" t="str">
            <v/>
          </cell>
          <cell r="O43"/>
          <cell r="P43"/>
          <cell r="R43">
            <v>39904</v>
          </cell>
          <cell r="S43" t="str">
            <v>Global</v>
          </cell>
          <cell r="T43">
            <v>0.11316034125519385</v>
          </cell>
          <cell r="U43" t="str">
            <v/>
          </cell>
          <cell r="V43" t="str">
            <v/>
          </cell>
          <cell r="W43" t="str">
            <v/>
          </cell>
          <cell r="X43" t="str">
            <v/>
          </cell>
          <cell r="Y43" t="str">
            <v/>
          </cell>
          <cell r="Z43" t="str">
            <v/>
          </cell>
          <cell r="AA43"/>
          <cell r="AB43">
            <v>2077959.6121778633</v>
          </cell>
          <cell r="AC43" t="str">
            <v/>
          </cell>
          <cell r="AD43" t="str">
            <v/>
          </cell>
          <cell r="AE43" t="str">
            <v/>
          </cell>
          <cell r="AF43" t="str">
            <v/>
          </cell>
          <cell r="AG43" t="str">
            <v/>
          </cell>
          <cell r="AH43" t="str">
            <v/>
          </cell>
          <cell r="AI43"/>
          <cell r="AJ43">
            <v>6.2071586458100778E-2</v>
          </cell>
          <cell r="AK43" t="str">
            <v/>
          </cell>
          <cell r="AL43" t="str">
            <v/>
          </cell>
          <cell r="AM43" t="str">
            <v/>
          </cell>
          <cell r="AN43" t="str">
            <v/>
          </cell>
          <cell r="AO43" t="str">
            <v/>
          </cell>
          <cell r="AP43" t="str">
            <v/>
          </cell>
          <cell r="AQ43">
            <v>0.44907634733373597</v>
          </cell>
          <cell r="AR43"/>
        </row>
        <row r="44">
          <cell r="B44">
            <v>39934</v>
          </cell>
          <cell r="C44"/>
          <cell r="D44" t="str">
            <v>Global</v>
          </cell>
          <cell r="E44" t="str">
            <v/>
          </cell>
          <cell r="F44" t="str">
            <v/>
          </cell>
          <cell r="G44" t="str">
            <v/>
          </cell>
          <cell r="H44" t="str">
            <v/>
          </cell>
          <cell r="I44" t="str">
            <v/>
          </cell>
          <cell r="J44" t="str">
            <v/>
          </cell>
          <cell r="K44" t="str">
            <v/>
          </cell>
          <cell r="L44" t="str">
            <v/>
          </cell>
          <cell r="M44" t="str">
            <v/>
          </cell>
          <cell r="N44" t="str">
            <v/>
          </cell>
          <cell r="O44"/>
          <cell r="P44"/>
          <cell r="R44">
            <v>39934</v>
          </cell>
          <cell r="S44" t="str">
            <v>Global</v>
          </cell>
          <cell r="T44">
            <v>7.0308486308176502E-2</v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  <cell r="AA44"/>
          <cell r="AB44">
            <v>1378813.256608909</v>
          </cell>
          <cell r="AC44" t="str">
            <v/>
          </cell>
          <cell r="AD44" t="str">
            <v/>
          </cell>
          <cell r="AE44" t="str">
            <v/>
          </cell>
          <cell r="AF44" t="str">
            <v/>
          </cell>
          <cell r="AG44" t="str">
            <v/>
          </cell>
          <cell r="AH44" t="str">
            <v/>
          </cell>
          <cell r="AI44"/>
          <cell r="AJ44">
            <v>6.3886800451820269E-2</v>
          </cell>
          <cell r="AK44" t="str">
            <v/>
          </cell>
          <cell r="AL44" t="str">
            <v/>
          </cell>
          <cell r="AM44" t="str">
            <v/>
          </cell>
          <cell r="AN44" t="str">
            <v/>
          </cell>
          <cell r="AO44" t="str">
            <v/>
          </cell>
          <cell r="AP44" t="str">
            <v/>
          </cell>
          <cell r="AQ44">
            <v>0</v>
          </cell>
          <cell r="AR44"/>
        </row>
        <row r="45">
          <cell r="B45">
            <v>39965</v>
          </cell>
          <cell r="C45"/>
          <cell r="D45" t="str">
            <v>Global</v>
          </cell>
          <cell r="E45" t="str">
            <v/>
          </cell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  <cell r="M45" t="str">
            <v/>
          </cell>
          <cell r="N45" t="str">
            <v/>
          </cell>
          <cell r="O45"/>
          <cell r="P45"/>
          <cell r="R45">
            <v>39965</v>
          </cell>
          <cell r="S45" t="str">
            <v>Global</v>
          </cell>
          <cell r="T45">
            <v>5.4252691937893914E-2</v>
          </cell>
          <cell r="U45" t="str">
            <v/>
          </cell>
          <cell r="V45" t="str">
            <v/>
          </cell>
          <cell r="W45" t="str">
            <v/>
          </cell>
          <cell r="X45" t="str">
            <v/>
          </cell>
          <cell r="Y45" t="str">
            <v/>
          </cell>
          <cell r="Z45" t="str">
            <v/>
          </cell>
          <cell r="AA45"/>
          <cell r="AB45">
            <v>1152093.5104166903</v>
          </cell>
          <cell r="AC45" t="str">
            <v/>
          </cell>
          <cell r="AD45" t="str">
            <v/>
          </cell>
          <cell r="AE45" t="str">
            <v/>
          </cell>
          <cell r="AF45" t="str">
            <v/>
          </cell>
          <cell r="AG45" t="str">
            <v/>
          </cell>
          <cell r="AH45" t="str">
            <v/>
          </cell>
          <cell r="AI45"/>
          <cell r="AJ45">
            <v>6.2030701056589511E-2</v>
          </cell>
          <cell r="AK45" t="str">
            <v/>
          </cell>
          <cell r="AL45" t="str">
            <v/>
          </cell>
          <cell r="AM45" t="str">
            <v/>
          </cell>
          <cell r="AN45" t="str">
            <v/>
          </cell>
          <cell r="AO45" t="str">
            <v/>
          </cell>
          <cell r="AP45" t="str">
            <v/>
          </cell>
          <cell r="AQ45">
            <v>0</v>
          </cell>
          <cell r="AR45"/>
        </row>
        <row r="46">
          <cell r="B46">
            <v>39995</v>
          </cell>
          <cell r="C46"/>
          <cell r="D46" t="str">
            <v>Global</v>
          </cell>
          <cell r="E46" t="str">
            <v/>
          </cell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  <cell r="M46" t="str">
            <v/>
          </cell>
          <cell r="N46" t="str">
            <v/>
          </cell>
          <cell r="O46"/>
          <cell r="P46"/>
          <cell r="R46">
            <v>39995</v>
          </cell>
          <cell r="S46" t="str">
            <v>Global</v>
          </cell>
          <cell r="T46">
            <v>5.5531975532146532E-2</v>
          </cell>
          <cell r="U46" t="str">
            <v/>
          </cell>
          <cell r="V46" t="str">
            <v/>
          </cell>
          <cell r="W46" t="str">
            <v/>
          </cell>
          <cell r="X46" t="str">
            <v/>
          </cell>
          <cell r="Y46" t="str">
            <v/>
          </cell>
          <cell r="Z46" t="str">
            <v/>
          </cell>
          <cell r="AA46"/>
          <cell r="AB46">
            <v>1206425.8594481433</v>
          </cell>
          <cell r="AC46" t="str">
            <v/>
          </cell>
          <cell r="AD46" t="str">
            <v/>
          </cell>
          <cell r="AE46" t="str">
            <v/>
          </cell>
          <cell r="AF46" t="str">
            <v/>
          </cell>
          <cell r="AG46" t="str">
            <v/>
          </cell>
          <cell r="AH46" t="str">
            <v/>
          </cell>
          <cell r="AI46"/>
          <cell r="AJ46">
            <v>6.0960711598227885E-2</v>
          </cell>
          <cell r="AK46" t="str">
            <v/>
          </cell>
          <cell r="AL46" t="str">
            <v/>
          </cell>
          <cell r="AM46" t="str">
            <v/>
          </cell>
          <cell r="AN46" t="str">
            <v/>
          </cell>
          <cell r="AO46" t="str">
            <v/>
          </cell>
          <cell r="AP46" t="str">
            <v/>
          </cell>
          <cell r="AQ46">
            <v>0</v>
          </cell>
          <cell r="AR46"/>
        </row>
        <row r="47">
          <cell r="B47">
            <v>40026</v>
          </cell>
          <cell r="C47"/>
          <cell r="D47" t="str">
            <v>Global</v>
          </cell>
          <cell r="E47" t="str">
            <v/>
          </cell>
          <cell r="F47" t="str">
            <v/>
          </cell>
          <cell r="G47" t="str">
            <v/>
          </cell>
          <cell r="H47" t="str">
            <v/>
          </cell>
          <cell r="I47" t="str">
            <v/>
          </cell>
          <cell r="J47" t="str">
            <v/>
          </cell>
          <cell r="K47" t="str">
            <v/>
          </cell>
          <cell r="L47" t="str">
            <v/>
          </cell>
          <cell r="M47" t="str">
            <v/>
          </cell>
          <cell r="N47" t="str">
            <v/>
          </cell>
          <cell r="O47"/>
          <cell r="P47"/>
          <cell r="R47">
            <v>40026</v>
          </cell>
          <cell r="S47" t="str">
            <v>Global</v>
          </cell>
          <cell r="T47">
            <v>9.6448234261994198E-2</v>
          </cell>
          <cell r="U47" t="str">
            <v/>
          </cell>
          <cell r="V47" t="str">
            <v/>
          </cell>
          <cell r="W47" t="str">
            <v/>
          </cell>
          <cell r="X47" t="str">
            <v/>
          </cell>
          <cell r="Y47" t="str">
            <v/>
          </cell>
          <cell r="Z47" t="str">
            <v/>
          </cell>
          <cell r="AA47"/>
          <cell r="AB47">
            <v>2335904.9315748755</v>
          </cell>
          <cell r="AC47" t="str">
            <v/>
          </cell>
          <cell r="AD47" t="str">
            <v/>
          </cell>
          <cell r="AE47" t="str">
            <v/>
          </cell>
          <cell r="AF47" t="str">
            <v/>
          </cell>
          <cell r="AG47" t="str">
            <v/>
          </cell>
          <cell r="AH47" t="str">
            <v/>
          </cell>
          <cell r="AI47"/>
          <cell r="AJ47">
            <v>6.6464271550024726E-2</v>
          </cell>
          <cell r="AK47" t="str">
            <v/>
          </cell>
          <cell r="AL47" t="str">
            <v/>
          </cell>
          <cell r="AM47" t="str">
            <v/>
          </cell>
          <cell r="AN47" t="str">
            <v/>
          </cell>
          <cell r="AO47" t="str">
            <v/>
          </cell>
          <cell r="AP47" t="str">
            <v/>
          </cell>
          <cell r="AQ47">
            <v>0</v>
          </cell>
          <cell r="AR47"/>
        </row>
        <row r="48">
          <cell r="B48">
            <v>40057</v>
          </cell>
          <cell r="C48"/>
          <cell r="D48" t="str">
            <v>Global</v>
          </cell>
          <cell r="E48" t="str">
            <v/>
          </cell>
          <cell r="F48" t="str">
            <v/>
          </cell>
          <cell r="G48" t="str">
            <v/>
          </cell>
          <cell r="H48" t="str">
            <v/>
          </cell>
          <cell r="I48" t="str">
            <v/>
          </cell>
          <cell r="J48" t="str">
            <v/>
          </cell>
          <cell r="K48" t="str">
            <v/>
          </cell>
          <cell r="L48" t="str">
            <v/>
          </cell>
          <cell r="M48" t="str">
            <v/>
          </cell>
          <cell r="N48" t="str">
            <v/>
          </cell>
          <cell r="O48"/>
          <cell r="P48"/>
          <cell r="R48">
            <v>40057</v>
          </cell>
          <cell r="S48" t="str">
            <v>Global</v>
          </cell>
          <cell r="T48">
            <v>9.2571431319768138E-2</v>
          </cell>
          <cell r="U48" t="str">
            <v/>
          </cell>
          <cell r="V48" t="str">
            <v/>
          </cell>
          <cell r="W48" t="str">
            <v/>
          </cell>
          <cell r="X48" t="str">
            <v/>
          </cell>
          <cell r="Y48" t="str">
            <v/>
          </cell>
          <cell r="Z48" t="str">
            <v/>
          </cell>
          <cell r="AA48"/>
          <cell r="AB48">
            <v>2192017.4365070537</v>
          </cell>
          <cell r="AC48" t="str">
            <v/>
          </cell>
          <cell r="AD48" t="str">
            <v/>
          </cell>
          <cell r="AE48" t="str">
            <v/>
          </cell>
          <cell r="AF48" t="str">
            <v/>
          </cell>
          <cell r="AG48" t="str">
            <v/>
          </cell>
          <cell r="AH48" t="str">
            <v/>
          </cell>
          <cell r="AI48"/>
          <cell r="AJ48">
            <v>6.9901609746568838E-2</v>
          </cell>
          <cell r="AK48" t="str">
            <v/>
          </cell>
          <cell r="AL48" t="str">
            <v/>
          </cell>
          <cell r="AM48" t="str">
            <v/>
          </cell>
          <cell r="AN48" t="str">
            <v/>
          </cell>
          <cell r="AO48" t="str">
            <v/>
          </cell>
          <cell r="AP48" t="str">
            <v/>
          </cell>
          <cell r="AQ48">
            <v>0</v>
          </cell>
          <cell r="AR48"/>
        </row>
        <row r="49">
          <cell r="B49">
            <v>40087</v>
          </cell>
          <cell r="C49"/>
          <cell r="D49" t="str">
            <v>Global</v>
          </cell>
          <cell r="E49" t="str">
            <v/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  <cell r="L49" t="str">
            <v/>
          </cell>
          <cell r="M49" t="str">
            <v/>
          </cell>
          <cell r="N49" t="str">
            <v/>
          </cell>
          <cell r="O49"/>
          <cell r="P49"/>
          <cell r="R49">
            <v>40087</v>
          </cell>
          <cell r="S49" t="str">
            <v>Global</v>
          </cell>
          <cell r="T49">
            <v>6.8680031350542278E-2</v>
          </cell>
          <cell r="U49" t="str">
            <v/>
          </cell>
          <cell r="V49" t="str">
            <v/>
          </cell>
          <cell r="W49" t="str">
            <v/>
          </cell>
          <cell r="X49" t="str">
            <v/>
          </cell>
          <cell r="Y49" t="str">
            <v/>
          </cell>
          <cell r="Z49" t="str">
            <v/>
          </cell>
          <cell r="AA49"/>
          <cell r="AB49">
            <v>1802679.0541933272</v>
          </cell>
          <cell r="AC49" t="str">
            <v/>
          </cell>
          <cell r="AD49" t="str">
            <v/>
          </cell>
          <cell r="AE49" t="str">
            <v/>
          </cell>
          <cell r="AF49" t="str">
            <v/>
          </cell>
          <cell r="AG49" t="str">
            <v/>
          </cell>
          <cell r="AH49" t="str">
            <v/>
          </cell>
          <cell r="AI49"/>
          <cell r="AJ49">
            <v>6.9746034021997055E-2</v>
          </cell>
          <cell r="AK49" t="str">
            <v/>
          </cell>
          <cell r="AL49" t="str">
            <v/>
          </cell>
          <cell r="AM49" t="str">
            <v/>
          </cell>
          <cell r="AN49" t="str">
            <v/>
          </cell>
          <cell r="AO49" t="str">
            <v/>
          </cell>
          <cell r="AP49" t="str">
            <v/>
          </cell>
          <cell r="AQ49">
            <v>0</v>
          </cell>
          <cell r="AR49"/>
        </row>
        <row r="50">
          <cell r="R50">
            <v>40118</v>
          </cell>
          <cell r="S50"/>
          <cell r="T50"/>
          <cell r="U50"/>
          <cell r="V50"/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 t="str">
            <v/>
          </cell>
          <cell r="AL50" t="str">
            <v/>
          </cell>
          <cell r="AM50"/>
          <cell r="AN50"/>
          <cell r="AO50"/>
          <cell r="AP50"/>
          <cell r="AQ50">
            <v>0</v>
          </cell>
          <cell r="AR50"/>
        </row>
        <row r="51">
          <cell r="R51">
            <v>40148</v>
          </cell>
          <cell r="S51"/>
          <cell r="T51"/>
          <cell r="U51"/>
          <cell r="V51"/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 t="str">
            <v/>
          </cell>
          <cell r="AL51" t="str">
            <v/>
          </cell>
          <cell r="AM51"/>
          <cell r="AN51"/>
          <cell r="AO51"/>
          <cell r="AP51"/>
          <cell r="AQ51">
            <v>0</v>
          </cell>
          <cell r="AR51"/>
        </row>
        <row r="52">
          <cell r="R52"/>
          <cell r="S52"/>
          <cell r="T52"/>
          <cell r="U52"/>
          <cell r="V52"/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 t="str">
            <v/>
          </cell>
          <cell r="AM52"/>
          <cell r="AN52"/>
          <cell r="AO52"/>
          <cell r="AP52"/>
          <cell r="AQ52"/>
          <cell r="AR52"/>
        </row>
      </sheetData>
      <sheetData sheetId="68"/>
      <sheetData sheetId="69">
        <row r="16">
          <cell r="B16">
            <v>39083</v>
          </cell>
          <cell r="C16">
            <v>39083</v>
          </cell>
          <cell r="D16" t="str">
            <v>DINAMITAS</v>
          </cell>
          <cell r="E16">
            <v>1.0241447929913887</v>
          </cell>
          <cell r="F16" t="str">
            <v>c</v>
          </cell>
          <cell r="G16" t="str">
            <v>c</v>
          </cell>
          <cell r="H16" t="str">
            <v>g</v>
          </cell>
          <cell r="I16" t="str">
            <v>c</v>
          </cell>
          <cell r="J16" t="str">
            <v>c</v>
          </cell>
          <cell r="K16">
            <v>1.1000000000000001</v>
          </cell>
          <cell r="L16">
            <v>1.05</v>
          </cell>
          <cell r="M16">
            <v>0.95</v>
          </cell>
          <cell r="N16">
            <v>0.9</v>
          </cell>
          <cell r="O16">
            <v>1.2594146636931802</v>
          </cell>
          <cell r="P16" t="str">
            <v>g</v>
          </cell>
          <cell r="Q16" t="str">
            <v>c</v>
          </cell>
          <cell r="R16" t="str">
            <v>c</v>
          </cell>
          <cell r="S16" t="str">
            <v>c</v>
          </cell>
          <cell r="T16" t="str">
            <v>c</v>
          </cell>
          <cell r="U16">
            <v>1.1000000000000001</v>
          </cell>
          <cell r="V16">
            <v>1.05</v>
          </cell>
          <cell r="W16">
            <v>0.95</v>
          </cell>
          <cell r="X16">
            <v>0.9</v>
          </cell>
          <cell r="Y16">
            <v>1.0241447929913887</v>
          </cell>
          <cell r="Z16" t="str">
            <v>c</v>
          </cell>
          <cell r="AA16" t="str">
            <v>c</v>
          </cell>
          <cell r="AB16" t="str">
            <v>g</v>
          </cell>
          <cell r="AC16" t="str">
            <v>c</v>
          </cell>
          <cell r="AD16" t="str">
            <v>c</v>
          </cell>
          <cell r="AE16">
            <v>1.1000000000000001</v>
          </cell>
          <cell r="AF16">
            <v>1.05</v>
          </cell>
          <cell r="AG16">
            <v>0.95</v>
          </cell>
          <cell r="AH16">
            <v>0.9</v>
          </cell>
          <cell r="AI16">
            <v>1.2594146636931802</v>
          </cell>
          <cell r="AJ16" t="str">
            <v>c</v>
          </cell>
          <cell r="AK16" t="str">
            <v>c</v>
          </cell>
          <cell r="AL16" t="str">
            <v>c</v>
          </cell>
          <cell r="AM16" t="str">
            <v>c</v>
          </cell>
          <cell r="AN16" t="str">
            <v>c</v>
          </cell>
          <cell r="AO16">
            <v>1.1000000000000001</v>
          </cell>
          <cell r="AP16">
            <v>1.05</v>
          </cell>
          <cell r="AQ16">
            <v>0.95</v>
          </cell>
          <cell r="AR16">
            <v>0.9</v>
          </cell>
          <cell r="AT16">
            <v>39083</v>
          </cell>
          <cell r="AU16" t="str">
            <v>DINAMITAS</v>
          </cell>
          <cell r="AV16"/>
          <cell r="AW16">
            <v>1753168.95</v>
          </cell>
          <cell r="AX16">
            <v>0</v>
          </cell>
          <cell r="AY16">
            <v>1753168.95</v>
          </cell>
          <cell r="AZ16"/>
          <cell r="BA16">
            <v>1753168.95</v>
          </cell>
          <cell r="BB16" t="e">
            <v>#DIV/0!</v>
          </cell>
          <cell r="BC16"/>
          <cell r="BD16"/>
          <cell r="BE16">
            <v>1143580</v>
          </cell>
          <cell r="BF16">
            <v>0</v>
          </cell>
          <cell r="BG16">
            <v>1143580</v>
          </cell>
          <cell r="BH16"/>
          <cell r="BI16">
            <v>1143580</v>
          </cell>
          <cell r="BJ16">
            <v>-1</v>
          </cell>
          <cell r="BK16"/>
          <cell r="BL16"/>
          <cell r="BM16">
            <v>1753168.95</v>
          </cell>
          <cell r="BN16">
            <v>0</v>
          </cell>
          <cell r="BO16">
            <v>1753168.95</v>
          </cell>
          <cell r="BP16"/>
          <cell r="BQ16">
            <v>1753168.95</v>
          </cell>
          <cell r="BR16" t="str">
            <v/>
          </cell>
          <cell r="BS16">
            <v>0</v>
          </cell>
          <cell r="BT16" t="e">
            <v>#DIV/0!</v>
          </cell>
          <cell r="BU16"/>
          <cell r="BV16">
            <v>1143580</v>
          </cell>
          <cell r="BW16">
            <v>0</v>
          </cell>
          <cell r="BX16">
            <v>1143580</v>
          </cell>
          <cell r="BY16"/>
          <cell r="BZ16">
            <v>1143580</v>
          </cell>
          <cell r="CA16" t="str">
            <v/>
          </cell>
          <cell r="CB16">
            <v>0</v>
          </cell>
          <cell r="CC16" t="str">
            <v/>
          </cell>
        </row>
        <row r="17">
          <cell r="B17">
            <v>39114</v>
          </cell>
          <cell r="C17">
            <v>39114</v>
          </cell>
          <cell r="D17" t="str">
            <v>DINAMITAS</v>
          </cell>
          <cell r="E17">
            <v>0.82190442566190369</v>
          </cell>
          <cell r="F17" t="str">
            <v>c</v>
          </cell>
          <cell r="G17" t="str">
            <v>c</v>
          </cell>
          <cell r="H17" t="str">
            <v>c</v>
          </cell>
          <cell r="I17" t="str">
            <v>c</v>
          </cell>
          <cell r="J17" t="str">
            <v>g</v>
          </cell>
          <cell r="K17">
            <v>1.1000000000000001</v>
          </cell>
          <cell r="L17">
            <v>1.05</v>
          </cell>
          <cell r="M17">
            <v>0.95</v>
          </cell>
          <cell r="N17">
            <v>0.9</v>
          </cell>
          <cell r="O17">
            <v>0.84673902959458203</v>
          </cell>
          <cell r="P17" t="str">
            <v>c</v>
          </cell>
          <cell r="Q17" t="str">
            <v>c</v>
          </cell>
          <cell r="R17" t="str">
            <v>c</v>
          </cell>
          <cell r="S17" t="str">
            <v>c</v>
          </cell>
          <cell r="T17" t="str">
            <v>g</v>
          </cell>
          <cell r="U17">
            <v>1.1000000000000001</v>
          </cell>
          <cell r="V17">
            <v>1.05</v>
          </cell>
          <cell r="W17">
            <v>0.95</v>
          </cell>
          <cell r="X17">
            <v>0.9</v>
          </cell>
          <cell r="Y17">
            <v>0.92932289935906209</v>
          </cell>
          <cell r="Z17" t="str">
            <v>c</v>
          </cell>
          <cell r="AA17" t="str">
            <v>c</v>
          </cell>
          <cell r="AB17" t="str">
            <v>c</v>
          </cell>
          <cell r="AC17" t="str">
            <v>g</v>
          </cell>
          <cell r="AD17" t="str">
            <v>c</v>
          </cell>
          <cell r="AE17">
            <v>1.1000000000000001</v>
          </cell>
          <cell r="AF17">
            <v>1.05</v>
          </cell>
          <cell r="AG17">
            <v>0.95</v>
          </cell>
          <cell r="AH17">
            <v>0.9</v>
          </cell>
          <cell r="AI17">
            <v>1.0650499577616592</v>
          </cell>
          <cell r="AJ17" t="str">
            <v>g</v>
          </cell>
          <cell r="AK17" t="str">
            <v>g</v>
          </cell>
          <cell r="AL17" t="str">
            <v>c</v>
          </cell>
          <cell r="AM17" t="str">
            <v>c</v>
          </cell>
          <cell r="AN17" t="str">
            <v>c</v>
          </cell>
          <cell r="AO17">
            <v>1.1000000000000001</v>
          </cell>
          <cell r="AP17">
            <v>1.05</v>
          </cell>
          <cell r="AQ17">
            <v>0.95</v>
          </cell>
          <cell r="AR17">
            <v>0.9</v>
          </cell>
          <cell r="AT17">
            <v>39114</v>
          </cell>
          <cell r="AU17" t="str">
            <v>DINAMITAS</v>
          </cell>
          <cell r="AV17"/>
          <cell r="AW17">
            <v>1241976.49</v>
          </cell>
          <cell r="AX17">
            <v>0</v>
          </cell>
          <cell r="AY17">
            <v>1241976.49</v>
          </cell>
          <cell r="AZ17"/>
          <cell r="BA17">
            <v>1241976.49</v>
          </cell>
          <cell r="BB17" t="e">
            <v>#DIV/0!</v>
          </cell>
          <cell r="BC17"/>
          <cell r="BD17"/>
          <cell r="BE17">
            <v>684525</v>
          </cell>
          <cell r="BF17">
            <v>0</v>
          </cell>
          <cell r="BG17">
            <v>684525</v>
          </cell>
          <cell r="BH17"/>
          <cell r="BI17">
            <v>684525</v>
          </cell>
          <cell r="BJ17">
            <v>-1</v>
          </cell>
          <cell r="BK17"/>
          <cell r="BL17"/>
          <cell r="BM17">
            <v>2995145.44</v>
          </cell>
          <cell r="BN17">
            <v>0</v>
          </cell>
          <cell r="BO17">
            <v>2995145.44</v>
          </cell>
          <cell r="BP17"/>
          <cell r="BQ17">
            <v>2995145.44</v>
          </cell>
          <cell r="BR17" t="str">
            <v/>
          </cell>
          <cell r="BS17">
            <v>0</v>
          </cell>
          <cell r="BT17" t="e">
            <v>#DIV/0!</v>
          </cell>
          <cell r="BU17"/>
          <cell r="BV17">
            <v>1828105</v>
          </cell>
          <cell r="BW17">
            <v>0</v>
          </cell>
          <cell r="BX17">
            <v>1828105</v>
          </cell>
          <cell r="BY17"/>
          <cell r="BZ17">
            <v>1828105</v>
          </cell>
          <cell r="CA17" t="str">
            <v/>
          </cell>
          <cell r="CB17">
            <v>0</v>
          </cell>
          <cell r="CC17" t="str">
            <v/>
          </cell>
        </row>
        <row r="18">
          <cell r="B18">
            <v>39142</v>
          </cell>
          <cell r="C18">
            <v>39142</v>
          </cell>
          <cell r="D18" t="str">
            <v>DINAMITAS</v>
          </cell>
          <cell r="E18">
            <v>1.0196157370297412</v>
          </cell>
          <cell r="F18" t="str">
            <v>c</v>
          </cell>
          <cell r="G18" t="str">
            <v>c</v>
          </cell>
          <cell r="H18" t="str">
            <v>g</v>
          </cell>
          <cell r="I18" t="str">
            <v>c</v>
          </cell>
          <cell r="J18" t="str">
            <v>c</v>
          </cell>
          <cell r="K18">
            <v>1.1000000000000001</v>
          </cell>
          <cell r="L18">
            <v>1.0500000000000003</v>
          </cell>
          <cell r="M18">
            <v>0.94999999999999973</v>
          </cell>
          <cell r="N18">
            <v>0.90000000000000013</v>
          </cell>
          <cell r="O18">
            <v>0.99105487295474459</v>
          </cell>
          <cell r="P18" t="str">
            <v>c</v>
          </cell>
          <cell r="Q18" t="str">
            <v>c</v>
          </cell>
          <cell r="R18" t="str">
            <v>g</v>
          </cell>
          <cell r="S18" t="str">
            <v>c</v>
          </cell>
          <cell r="T18" t="str">
            <v>c</v>
          </cell>
          <cell r="U18">
            <v>1.1000000000000001</v>
          </cell>
          <cell r="V18">
            <v>1.0500000000000003</v>
          </cell>
          <cell r="W18">
            <v>0.94999999999999973</v>
          </cell>
          <cell r="X18">
            <v>0.90000000000000013</v>
          </cell>
          <cell r="Y18">
            <v>0.96643694223146159</v>
          </cell>
          <cell r="Z18" t="str">
            <v>c</v>
          </cell>
          <cell r="AA18" t="str">
            <v>c</v>
          </cell>
          <cell r="AB18" t="str">
            <v>g</v>
          </cell>
          <cell r="AC18" t="str">
            <v>c</v>
          </cell>
          <cell r="AD18" t="str">
            <v>c</v>
          </cell>
          <cell r="AE18">
            <v>1.1000000000000001</v>
          </cell>
          <cell r="AF18">
            <v>1.0500000000000003</v>
          </cell>
          <cell r="AG18">
            <v>0.94999999999999973</v>
          </cell>
          <cell r="AH18">
            <v>0.90000000000000013</v>
          </cell>
          <cell r="AI18">
            <v>1.0342056312906103</v>
          </cell>
          <cell r="AJ18" t="str">
            <v>c</v>
          </cell>
          <cell r="AK18" t="str">
            <v>c</v>
          </cell>
          <cell r="AL18" t="str">
            <v>g</v>
          </cell>
          <cell r="AM18" t="str">
            <v>c</v>
          </cell>
          <cell r="AN18" t="str">
            <v>c</v>
          </cell>
          <cell r="AO18">
            <v>1.1000000000000001</v>
          </cell>
          <cell r="AP18">
            <v>1.0500000000000003</v>
          </cell>
          <cell r="AQ18">
            <v>0.94999999999999973</v>
          </cell>
          <cell r="AR18">
            <v>0.90000000000000013</v>
          </cell>
          <cell r="AT18">
            <v>39142</v>
          </cell>
          <cell r="AU18" t="str">
            <v>DINAMITAS</v>
          </cell>
          <cell r="AV18"/>
          <cell r="AW18">
            <v>2293441.0500000003</v>
          </cell>
          <cell r="AX18">
            <v>0</v>
          </cell>
          <cell r="AY18">
            <v>2293441.0500000003</v>
          </cell>
          <cell r="AZ18"/>
          <cell r="BA18">
            <v>2293441.0500000003</v>
          </cell>
          <cell r="BB18" t="e">
            <v>#DIV/0!</v>
          </cell>
          <cell r="BC18"/>
          <cell r="BD18"/>
          <cell r="BE18">
            <v>1215950</v>
          </cell>
          <cell r="BF18">
            <v>0</v>
          </cell>
          <cell r="BG18">
            <v>1215950</v>
          </cell>
          <cell r="BH18"/>
          <cell r="BI18">
            <v>1215950</v>
          </cell>
          <cell r="BJ18">
            <v>-1</v>
          </cell>
          <cell r="BK18"/>
          <cell r="BL18"/>
          <cell r="BM18">
            <v>5288586.49</v>
          </cell>
          <cell r="BN18">
            <v>0</v>
          </cell>
          <cell r="BO18">
            <v>5288586.49</v>
          </cell>
          <cell r="BP18"/>
          <cell r="BQ18">
            <v>5288586.49</v>
          </cell>
          <cell r="BR18" t="str">
            <v/>
          </cell>
          <cell r="BS18">
            <v>0</v>
          </cell>
          <cell r="BT18" t="e">
            <v>#DIV/0!</v>
          </cell>
          <cell r="BU18"/>
          <cell r="BV18">
            <v>3044055</v>
          </cell>
          <cell r="BW18">
            <v>0</v>
          </cell>
          <cell r="BX18">
            <v>3044055</v>
          </cell>
          <cell r="BY18"/>
          <cell r="BZ18">
            <v>3044055</v>
          </cell>
          <cell r="CA18" t="str">
            <v/>
          </cell>
          <cell r="CB18">
            <v>0</v>
          </cell>
          <cell r="CC18" t="str">
            <v/>
          </cell>
        </row>
        <row r="19">
          <cell r="B19">
            <v>39173</v>
          </cell>
          <cell r="C19">
            <v>39173</v>
          </cell>
          <cell r="D19" t="str">
            <v>DINAMITAS</v>
          </cell>
          <cell r="E19">
            <v>0.94852804351003872</v>
          </cell>
          <cell r="F19" t="str">
            <v>c</v>
          </cell>
          <cell r="G19" t="str">
            <v>c</v>
          </cell>
          <cell r="H19" t="str">
            <v>c</v>
          </cell>
          <cell r="I19" t="str">
            <v>g</v>
          </cell>
          <cell r="J19" t="str">
            <v>c</v>
          </cell>
          <cell r="K19">
            <v>1.1000000000000001</v>
          </cell>
          <cell r="L19">
            <v>1.0499999999999998</v>
          </cell>
          <cell r="M19">
            <v>0.95000000000000018</v>
          </cell>
          <cell r="N19">
            <v>0.89999999999999991</v>
          </cell>
          <cell r="O19">
            <v>0.95642356267711548</v>
          </cell>
          <cell r="P19" t="str">
            <v>c</v>
          </cell>
          <cell r="Q19" t="str">
            <v>c</v>
          </cell>
          <cell r="R19" t="str">
            <v>g</v>
          </cell>
          <cell r="S19" t="str">
            <v>c</v>
          </cell>
          <cell r="T19" t="str">
            <v>c</v>
          </cell>
          <cell r="U19">
            <v>1.1000000000000001</v>
          </cell>
          <cell r="V19">
            <v>1.0499999999999998</v>
          </cell>
          <cell r="W19">
            <v>0.95000000000000018</v>
          </cell>
          <cell r="X19">
            <v>0.89999999999999991</v>
          </cell>
          <cell r="Y19">
            <v>0.96201844320121177</v>
          </cell>
          <cell r="Z19" t="str">
            <v>c</v>
          </cell>
          <cell r="AA19" t="str">
            <v>c</v>
          </cell>
          <cell r="AB19" t="str">
            <v>g</v>
          </cell>
          <cell r="AC19" t="str">
            <v>c</v>
          </cell>
          <cell r="AD19" t="str">
            <v>c</v>
          </cell>
          <cell r="AE19">
            <v>1.1000000000000001</v>
          </cell>
          <cell r="AF19">
            <v>1.0499999999999998</v>
          </cell>
          <cell r="AG19">
            <v>0.95000000000000018</v>
          </cell>
          <cell r="AH19">
            <v>0.89999999999999991</v>
          </cell>
          <cell r="AI19">
            <v>1.01517405472986</v>
          </cell>
          <cell r="AJ19" t="str">
            <v>c</v>
          </cell>
          <cell r="AK19" t="str">
            <v>c</v>
          </cell>
          <cell r="AL19" t="str">
            <v>g</v>
          </cell>
          <cell r="AM19" t="str">
            <v>c</v>
          </cell>
          <cell r="AN19" t="str">
            <v>c</v>
          </cell>
          <cell r="AO19">
            <v>1.1000000000000001</v>
          </cell>
          <cell r="AP19">
            <v>1.0499999999999998</v>
          </cell>
          <cell r="AQ19">
            <v>0.95000000000000018</v>
          </cell>
          <cell r="AR19">
            <v>0.89999999999999991</v>
          </cell>
          <cell r="AT19">
            <v>39173</v>
          </cell>
          <cell r="AU19" t="str">
            <v>DINAMITAS</v>
          </cell>
          <cell r="AV19"/>
          <cell r="AW19">
            <v>1700067.6799999997</v>
          </cell>
          <cell r="AX19">
            <v>0</v>
          </cell>
          <cell r="AY19">
            <v>1700067.6799999997</v>
          </cell>
          <cell r="AZ19"/>
          <cell r="BA19">
            <v>1700067.6799999997</v>
          </cell>
          <cell r="BB19" t="e">
            <v>#DIV/0!</v>
          </cell>
          <cell r="BC19"/>
          <cell r="BD19"/>
          <cell r="BE19">
            <v>911925</v>
          </cell>
          <cell r="BF19">
            <v>0</v>
          </cell>
          <cell r="BG19">
            <v>911925</v>
          </cell>
          <cell r="BH19"/>
          <cell r="BI19">
            <v>911925</v>
          </cell>
          <cell r="BJ19">
            <v>-1</v>
          </cell>
          <cell r="BK19"/>
          <cell r="BL19"/>
          <cell r="BM19">
            <v>6988654.1699999999</v>
          </cell>
          <cell r="BN19">
            <v>0</v>
          </cell>
          <cell r="BO19">
            <v>6988654.1699999999</v>
          </cell>
          <cell r="BP19"/>
          <cell r="BQ19">
            <v>6988654.1699999999</v>
          </cell>
          <cell r="BR19" t="str">
            <v/>
          </cell>
          <cell r="BS19">
            <v>0</v>
          </cell>
          <cell r="BT19" t="e">
            <v>#DIV/0!</v>
          </cell>
          <cell r="BU19"/>
          <cell r="BV19">
            <v>3955980</v>
          </cell>
          <cell r="BW19">
            <v>0</v>
          </cell>
          <cell r="BX19">
            <v>3955980</v>
          </cell>
          <cell r="BY19"/>
          <cell r="BZ19">
            <v>3955980</v>
          </cell>
          <cell r="CA19" t="str">
            <v/>
          </cell>
          <cell r="CB19">
            <v>0</v>
          </cell>
          <cell r="CC19" t="str">
            <v/>
          </cell>
        </row>
        <row r="20">
          <cell r="B20">
            <v>39203</v>
          </cell>
          <cell r="C20">
            <v>39203</v>
          </cell>
          <cell r="D20" t="str">
            <v>DINAMITAS</v>
          </cell>
          <cell r="E20">
            <v>1.0676766577406127</v>
          </cell>
          <cell r="F20" t="str">
            <v>c</v>
          </cell>
          <cell r="G20" t="str">
            <v>g</v>
          </cell>
          <cell r="H20" t="str">
            <v>c</v>
          </cell>
          <cell r="I20" t="str">
            <v>c</v>
          </cell>
          <cell r="J20" t="str">
            <v>c</v>
          </cell>
          <cell r="K20">
            <v>1.0999999999999996</v>
          </cell>
          <cell r="L20">
            <v>1.0499999999999998</v>
          </cell>
          <cell r="M20">
            <v>0.95000000000000018</v>
          </cell>
          <cell r="N20">
            <v>0.89999999999999991</v>
          </cell>
          <cell r="O20">
            <v>1.0900333961878366</v>
          </cell>
          <cell r="P20" t="str">
            <v>c</v>
          </cell>
          <cell r="Q20" t="str">
            <v>g</v>
          </cell>
          <cell r="R20" t="str">
            <v>c</v>
          </cell>
          <cell r="S20" t="str">
            <v>c</v>
          </cell>
          <cell r="T20" t="str">
            <v>c</v>
          </cell>
          <cell r="U20">
            <v>1.0999999999999996</v>
          </cell>
          <cell r="V20">
            <v>1.0499999999999998</v>
          </cell>
          <cell r="W20">
            <v>0.95000000000000018</v>
          </cell>
          <cell r="X20">
            <v>0.89999999999999991</v>
          </cell>
          <cell r="Y20">
            <v>0.98519777592548075</v>
          </cell>
          <cell r="Z20" t="str">
            <v>c</v>
          </cell>
          <cell r="AA20" t="str">
            <v>c</v>
          </cell>
          <cell r="AB20" t="str">
            <v>g</v>
          </cell>
          <cell r="AC20" t="str">
            <v>c</v>
          </cell>
          <cell r="AD20" t="str">
            <v>c</v>
          </cell>
          <cell r="AE20">
            <v>1.0999999999999996</v>
          </cell>
          <cell r="AF20">
            <v>1.0499999999999998</v>
          </cell>
          <cell r="AG20">
            <v>0.95000000000000018</v>
          </cell>
          <cell r="AH20">
            <v>0.89999999999999991</v>
          </cell>
          <cell r="AI20">
            <v>1.031658460192497</v>
          </cell>
          <cell r="AJ20" t="str">
            <v>c</v>
          </cell>
          <cell r="AK20" t="str">
            <v>c</v>
          </cell>
          <cell r="AL20" t="str">
            <v>g</v>
          </cell>
          <cell r="AM20" t="str">
            <v>c</v>
          </cell>
          <cell r="AN20" t="str">
            <v>c</v>
          </cell>
          <cell r="AO20">
            <v>1.0999999999999996</v>
          </cell>
          <cell r="AP20">
            <v>1.0499999999999998</v>
          </cell>
          <cell r="AQ20">
            <v>0.95000000000000018</v>
          </cell>
          <cell r="AR20">
            <v>0.89999999999999991</v>
          </cell>
          <cell r="AT20">
            <v>39203</v>
          </cell>
          <cell r="AU20" t="str">
            <v>DINAMITAS</v>
          </cell>
          <cell r="AV20"/>
          <cell r="AW20">
            <v>2179756.92</v>
          </cell>
          <cell r="AX20">
            <v>0</v>
          </cell>
          <cell r="AY20">
            <v>2179756.92</v>
          </cell>
          <cell r="AZ20"/>
          <cell r="BA20">
            <v>2179756.92</v>
          </cell>
          <cell r="BB20" t="e">
            <v>#DIV/0!</v>
          </cell>
          <cell r="BC20"/>
          <cell r="BD20"/>
          <cell r="BE20">
            <v>1199500</v>
          </cell>
          <cell r="BF20">
            <v>0</v>
          </cell>
          <cell r="BG20">
            <v>1199500</v>
          </cell>
          <cell r="BH20"/>
          <cell r="BI20">
            <v>1199500</v>
          </cell>
          <cell r="BJ20">
            <v>-1</v>
          </cell>
          <cell r="BK20"/>
          <cell r="BL20"/>
          <cell r="BM20">
            <v>9168411.0899999999</v>
          </cell>
          <cell r="BN20">
            <v>0</v>
          </cell>
          <cell r="BO20">
            <v>9168411.0899999999</v>
          </cell>
          <cell r="BP20"/>
          <cell r="BQ20">
            <v>9168411.0899999999</v>
          </cell>
          <cell r="BR20" t="str">
            <v/>
          </cell>
          <cell r="BS20">
            <v>0</v>
          </cell>
          <cell r="BT20" t="e">
            <v>#DIV/0!</v>
          </cell>
          <cell r="BU20"/>
          <cell r="BV20">
            <v>5155480</v>
          </cell>
          <cell r="BW20">
            <v>0</v>
          </cell>
          <cell r="BX20">
            <v>5155480</v>
          </cell>
          <cell r="BY20"/>
          <cell r="BZ20">
            <v>5155480</v>
          </cell>
          <cell r="CA20" t="str">
            <v/>
          </cell>
          <cell r="CB20">
            <v>0</v>
          </cell>
          <cell r="CC20" t="str">
            <v/>
          </cell>
        </row>
        <row r="21">
          <cell r="B21">
            <v>39234</v>
          </cell>
          <cell r="C21">
            <v>39234</v>
          </cell>
          <cell r="D21" t="str">
            <v>DINAMITAS</v>
          </cell>
          <cell r="E21">
            <v>1.1450843543863809</v>
          </cell>
          <cell r="F21" t="str">
            <v>g</v>
          </cell>
          <cell r="G21" t="str">
            <v>c</v>
          </cell>
          <cell r="H21" t="str">
            <v>c</v>
          </cell>
          <cell r="I21" t="str">
            <v>c</v>
          </cell>
          <cell r="J21" t="str">
            <v>c</v>
          </cell>
          <cell r="K21">
            <v>1.0999999999999996</v>
          </cell>
          <cell r="L21">
            <v>1.0499999999999998</v>
          </cell>
          <cell r="M21">
            <v>0.95000000000000018</v>
          </cell>
          <cell r="N21">
            <v>0.90000000000000036</v>
          </cell>
          <cell r="O21">
            <v>1.0213482758620689</v>
          </cell>
          <cell r="P21" t="str">
            <v>c</v>
          </cell>
          <cell r="Q21" t="str">
            <v>c</v>
          </cell>
          <cell r="R21" t="str">
            <v>g</v>
          </cell>
          <cell r="S21" t="str">
            <v>c</v>
          </cell>
          <cell r="T21" t="str">
            <v>c</v>
          </cell>
          <cell r="U21">
            <v>1.0999999999999996</v>
          </cell>
          <cell r="V21">
            <v>1.0499999999999998</v>
          </cell>
          <cell r="W21">
            <v>0.95000000000000018</v>
          </cell>
          <cell r="X21">
            <v>0.90000000000000036</v>
          </cell>
          <cell r="Y21">
            <v>1.0193918572972167</v>
          </cell>
          <cell r="Z21" t="str">
            <v>c</v>
          </cell>
          <cell r="AA21" t="str">
            <v>c</v>
          </cell>
          <cell r="AB21" t="str">
            <v>g</v>
          </cell>
          <cell r="AC21" t="str">
            <v>c</v>
          </cell>
          <cell r="AD21" t="str">
            <v>c</v>
          </cell>
          <cell r="AE21">
            <v>1.0999999999999996</v>
          </cell>
          <cell r="AF21">
            <v>1.0499999999999998</v>
          </cell>
          <cell r="AG21">
            <v>0.95000000000000018</v>
          </cell>
          <cell r="AH21">
            <v>0.90000000000000036</v>
          </cell>
          <cell r="AI21">
            <v>1.0293396868195768</v>
          </cell>
          <cell r="AJ21" t="str">
            <v>c</v>
          </cell>
          <cell r="AK21" t="str">
            <v>c</v>
          </cell>
          <cell r="AL21" t="str">
            <v>g</v>
          </cell>
          <cell r="AM21" t="str">
            <v>c</v>
          </cell>
          <cell r="AN21" t="str">
            <v>c</v>
          </cell>
          <cell r="AO21">
            <v>1.0999999999999996</v>
          </cell>
          <cell r="AP21">
            <v>1.0499999999999998</v>
          </cell>
          <cell r="AQ21">
            <v>0.95000000000000018</v>
          </cell>
          <cell r="AR21">
            <v>0.90000000000000036</v>
          </cell>
          <cell r="AT21">
            <v>39234</v>
          </cell>
          <cell r="AU21" t="str">
            <v>DINAMITAS</v>
          </cell>
          <cell r="AV21"/>
          <cell r="AW21">
            <v>2899010.0600000005</v>
          </cell>
          <cell r="AX21">
            <v>0</v>
          </cell>
          <cell r="AY21">
            <v>2899010.0600000005</v>
          </cell>
          <cell r="AZ21"/>
          <cell r="BA21">
            <v>2899010.0600000005</v>
          </cell>
          <cell r="BB21" t="e">
            <v>#DIV/0!</v>
          </cell>
          <cell r="BC21"/>
          <cell r="BD21"/>
          <cell r="BE21">
            <v>1480955</v>
          </cell>
          <cell r="BF21">
            <v>0</v>
          </cell>
          <cell r="BG21">
            <v>1480955</v>
          </cell>
          <cell r="BH21"/>
          <cell r="BI21">
            <v>1480955</v>
          </cell>
          <cell r="BJ21">
            <v>-1</v>
          </cell>
          <cell r="BK21"/>
          <cell r="BL21"/>
          <cell r="BM21">
            <v>12067421.15</v>
          </cell>
          <cell r="BN21">
            <v>0</v>
          </cell>
          <cell r="BO21">
            <v>12067421.15</v>
          </cell>
          <cell r="BP21"/>
          <cell r="BQ21">
            <v>12067421.15</v>
          </cell>
          <cell r="BR21" t="str">
            <v/>
          </cell>
          <cell r="BS21">
            <v>0</v>
          </cell>
          <cell r="BT21" t="e">
            <v>#DIV/0!</v>
          </cell>
          <cell r="BU21"/>
          <cell r="BV21">
            <v>6636435</v>
          </cell>
          <cell r="BW21">
            <v>0</v>
          </cell>
          <cell r="BX21">
            <v>6636435</v>
          </cell>
          <cell r="BY21"/>
          <cell r="BZ21">
            <v>6636435</v>
          </cell>
          <cell r="CA21" t="str">
            <v/>
          </cell>
          <cell r="CB21">
            <v>0</v>
          </cell>
          <cell r="CC21" t="str">
            <v/>
          </cell>
        </row>
        <row r="22">
          <cell r="B22">
            <v>39264</v>
          </cell>
          <cell r="C22">
            <v>39264</v>
          </cell>
          <cell r="D22" t="str">
            <v>DINAMITAS</v>
          </cell>
          <cell r="E22">
            <v>1.0427130791845363</v>
          </cell>
          <cell r="F22" t="str">
            <v>c</v>
          </cell>
          <cell r="G22" t="str">
            <v>c</v>
          </cell>
          <cell r="H22" t="str">
            <v>g</v>
          </cell>
          <cell r="I22" t="str">
            <v>c</v>
          </cell>
          <cell r="J22" t="str">
            <v>c</v>
          </cell>
          <cell r="K22">
            <v>1.0999999999999996</v>
          </cell>
          <cell r="L22">
            <v>1.0499999999999998</v>
          </cell>
          <cell r="M22">
            <v>0.95000000000000018</v>
          </cell>
          <cell r="N22">
            <v>0.90000000000000036</v>
          </cell>
          <cell r="O22">
            <v>1.260135929040433</v>
          </cell>
          <cell r="P22" t="str">
            <v>g</v>
          </cell>
          <cell r="Q22" t="str">
            <v>c</v>
          </cell>
          <cell r="R22" t="str">
            <v>c</v>
          </cell>
          <cell r="S22" t="str">
            <v>c</v>
          </cell>
          <cell r="T22" t="str">
            <v>c</v>
          </cell>
          <cell r="U22">
            <v>1.0999999999999996</v>
          </cell>
          <cell r="V22">
            <v>1.0499999999999998</v>
          </cell>
          <cell r="W22">
            <v>0.95000000000000018</v>
          </cell>
          <cell r="X22">
            <v>0.90000000000000036</v>
          </cell>
          <cell r="Y22">
            <v>1.0229232482983437</v>
          </cell>
          <cell r="Z22" t="str">
            <v>c</v>
          </cell>
          <cell r="AA22" t="str">
            <v>c</v>
          </cell>
          <cell r="AB22" t="str">
            <v>g</v>
          </cell>
          <cell r="AC22" t="str">
            <v>c</v>
          </cell>
          <cell r="AD22" t="str">
            <v>c</v>
          </cell>
          <cell r="AE22">
            <v>1.0999999999999996</v>
          </cell>
          <cell r="AF22">
            <v>1.0499999999999998</v>
          </cell>
          <cell r="AG22">
            <v>0.95000000000000018</v>
          </cell>
          <cell r="AH22">
            <v>0.90000000000000036</v>
          </cell>
          <cell r="AI22">
            <v>1.0625884263433203</v>
          </cell>
          <cell r="AJ22" t="str">
            <v>c</v>
          </cell>
          <cell r="AK22" t="str">
            <v>g</v>
          </cell>
          <cell r="AL22" t="str">
            <v>c</v>
          </cell>
          <cell r="AM22" t="str">
            <v>c</v>
          </cell>
          <cell r="AN22" t="str">
            <v>c</v>
          </cell>
          <cell r="AO22">
            <v>1.0999999999999996</v>
          </cell>
          <cell r="AP22">
            <v>1.0499999999999998</v>
          </cell>
          <cell r="AQ22">
            <v>0.95000000000000018</v>
          </cell>
          <cell r="AR22">
            <v>0.90000000000000036</v>
          </cell>
          <cell r="AT22">
            <v>39264</v>
          </cell>
          <cell r="AU22" t="str">
            <v>DINAMITAS</v>
          </cell>
          <cell r="AV22"/>
          <cell r="AW22">
            <v>2202631.540000001</v>
          </cell>
          <cell r="AX22">
            <v>0</v>
          </cell>
          <cell r="AY22">
            <v>2202631.540000001</v>
          </cell>
          <cell r="AZ22"/>
          <cell r="BA22">
            <v>2202631.540000001</v>
          </cell>
          <cell r="BB22" t="e">
            <v>#DIV/0!</v>
          </cell>
          <cell r="BC22"/>
          <cell r="BD22"/>
          <cell r="BE22">
            <v>1367405</v>
          </cell>
          <cell r="BF22">
            <v>0</v>
          </cell>
          <cell r="BG22">
            <v>1367405</v>
          </cell>
          <cell r="BH22"/>
          <cell r="BI22">
            <v>1367405</v>
          </cell>
          <cell r="BJ22">
            <v>-1</v>
          </cell>
          <cell r="BK22"/>
          <cell r="BL22"/>
          <cell r="BM22">
            <v>14270052.690000001</v>
          </cell>
          <cell r="BN22">
            <v>0</v>
          </cell>
          <cell r="BO22">
            <v>14270052.690000001</v>
          </cell>
          <cell r="BP22"/>
          <cell r="BQ22">
            <v>14270052.690000001</v>
          </cell>
          <cell r="BR22" t="str">
            <v/>
          </cell>
          <cell r="BS22">
            <v>0</v>
          </cell>
          <cell r="BT22" t="e">
            <v>#DIV/0!</v>
          </cell>
          <cell r="BU22"/>
          <cell r="BV22">
            <v>8003840</v>
          </cell>
          <cell r="BW22">
            <v>0</v>
          </cell>
          <cell r="BX22">
            <v>8003840</v>
          </cell>
          <cell r="BY22"/>
          <cell r="BZ22">
            <v>8003840</v>
          </cell>
          <cell r="CA22" t="str">
            <v/>
          </cell>
          <cell r="CB22">
            <v>0</v>
          </cell>
          <cell r="CC22" t="str">
            <v/>
          </cell>
        </row>
        <row r="23">
          <cell r="B23">
            <v>39295</v>
          </cell>
          <cell r="C23">
            <v>39295</v>
          </cell>
          <cell r="D23" t="str">
            <v>DINAMITAS</v>
          </cell>
          <cell r="E23">
            <v>1.05347408536722</v>
          </cell>
          <cell r="F23" t="str">
            <v>c</v>
          </cell>
          <cell r="G23" t="str">
            <v>g</v>
          </cell>
          <cell r="H23" t="str">
            <v>c</v>
          </cell>
          <cell r="I23" t="str">
            <v>c</v>
          </cell>
          <cell r="J23" t="str">
            <v>c</v>
          </cell>
          <cell r="K23">
            <v>1.0999999999999996</v>
          </cell>
          <cell r="L23">
            <v>1.0500000000000007</v>
          </cell>
          <cell r="M23">
            <v>0.95000000000000018</v>
          </cell>
          <cell r="N23">
            <v>0.90000000000000036</v>
          </cell>
          <cell r="O23">
            <v>1.0539719626168225</v>
          </cell>
          <cell r="P23" t="str">
            <v>c</v>
          </cell>
          <cell r="Q23" t="str">
            <v>g</v>
          </cell>
          <cell r="R23" t="str">
            <v>c</v>
          </cell>
          <cell r="S23" t="str">
            <v>c</v>
          </cell>
          <cell r="T23" t="str">
            <v>c</v>
          </cell>
          <cell r="U23">
            <v>1.0999999999999996</v>
          </cell>
          <cell r="V23">
            <v>1.0500000000000007</v>
          </cell>
          <cell r="W23">
            <v>0.95000000000000018</v>
          </cell>
          <cell r="X23">
            <v>0.90000000000000036</v>
          </cell>
          <cell r="Y23">
            <v>1.0271361790782394</v>
          </cell>
          <cell r="Z23" t="str">
            <v>c</v>
          </cell>
          <cell r="AA23" t="str">
            <v>c</v>
          </cell>
          <cell r="AB23" t="str">
            <v>g</v>
          </cell>
          <cell r="AC23" t="str">
            <v>c</v>
          </cell>
          <cell r="AD23" t="str">
            <v>c</v>
          </cell>
          <cell r="AE23">
            <v>1.0999999999999996</v>
          </cell>
          <cell r="AF23">
            <v>1.0500000000000007</v>
          </cell>
          <cell r="AG23">
            <v>0.95000000000000018</v>
          </cell>
          <cell r="AH23">
            <v>0.90000000000000036</v>
          </cell>
          <cell r="AI23">
            <v>1.0615166769176831</v>
          </cell>
          <cell r="AJ23" t="str">
            <v>c</v>
          </cell>
          <cell r="AK23" t="str">
            <v>g</v>
          </cell>
          <cell r="AL23" t="str">
            <v>c</v>
          </cell>
          <cell r="AM23" t="str">
            <v>c</v>
          </cell>
          <cell r="AN23" t="str">
            <v>c</v>
          </cell>
          <cell r="AO23">
            <v>1.0999999999999996</v>
          </cell>
          <cell r="AP23">
            <v>1.0500000000000007</v>
          </cell>
          <cell r="AQ23">
            <v>0.95000000000000018</v>
          </cell>
          <cell r="AR23">
            <v>0.90000000000000036</v>
          </cell>
          <cell r="AT23">
            <v>39295</v>
          </cell>
          <cell r="AU23" t="str">
            <v>DINAMITAS</v>
          </cell>
          <cell r="AV23"/>
          <cell r="AW23">
            <v>2350766.3200000003</v>
          </cell>
          <cell r="AX23">
            <v>0</v>
          </cell>
          <cell r="AY23">
            <v>2350766.3200000003</v>
          </cell>
          <cell r="AZ23"/>
          <cell r="BA23">
            <v>2350766.3200000003</v>
          </cell>
          <cell r="BB23" t="e">
            <v>#DIV/0!</v>
          </cell>
          <cell r="BC23"/>
          <cell r="BD23"/>
          <cell r="BE23">
            <v>1127750</v>
          </cell>
          <cell r="BF23">
            <v>0</v>
          </cell>
          <cell r="BG23">
            <v>1127750</v>
          </cell>
          <cell r="BH23"/>
          <cell r="BI23">
            <v>1127750</v>
          </cell>
          <cell r="BJ23">
            <v>-1</v>
          </cell>
          <cell r="BK23"/>
          <cell r="BL23"/>
          <cell r="BM23">
            <v>16620819.010000002</v>
          </cell>
          <cell r="BN23">
            <v>0</v>
          </cell>
          <cell r="BO23">
            <v>16620819.010000002</v>
          </cell>
          <cell r="BP23"/>
          <cell r="BQ23">
            <v>16620819.010000002</v>
          </cell>
          <cell r="BR23" t="str">
            <v/>
          </cell>
          <cell r="BS23">
            <v>0</v>
          </cell>
          <cell r="BT23" t="e">
            <v>#DIV/0!</v>
          </cell>
          <cell r="BU23"/>
          <cell r="BV23">
            <v>9131590</v>
          </cell>
          <cell r="BW23">
            <v>0</v>
          </cell>
          <cell r="BX23">
            <v>9131590</v>
          </cell>
          <cell r="BY23"/>
          <cell r="BZ23">
            <v>9131590</v>
          </cell>
          <cell r="CA23" t="str">
            <v/>
          </cell>
          <cell r="CB23">
            <v>0</v>
          </cell>
          <cell r="CC23" t="str">
            <v/>
          </cell>
        </row>
        <row r="24">
          <cell r="B24">
            <v>39326</v>
          </cell>
          <cell r="C24">
            <v>39326</v>
          </cell>
          <cell r="D24" t="str">
            <v>DINAMITAS</v>
          </cell>
          <cell r="E24">
            <v>1.0009875715294503</v>
          </cell>
          <cell r="F24" t="str">
            <v>c</v>
          </cell>
          <cell r="G24" t="str">
            <v>c</v>
          </cell>
          <cell r="H24" t="str">
            <v>g</v>
          </cell>
          <cell r="I24" t="str">
            <v>c</v>
          </cell>
          <cell r="J24" t="str">
            <v>c</v>
          </cell>
          <cell r="K24">
            <v>1.0999999999999996</v>
          </cell>
          <cell r="L24">
            <v>1.0500000000000007</v>
          </cell>
          <cell r="M24">
            <v>0.95000000000000018</v>
          </cell>
          <cell r="N24">
            <v>0.90000000000000036</v>
          </cell>
          <cell r="O24">
            <v>1.0007270163688837</v>
          </cell>
          <cell r="P24" t="str">
            <v>c</v>
          </cell>
          <cell r="Q24" t="str">
            <v>c</v>
          </cell>
          <cell r="R24" t="str">
            <v>g</v>
          </cell>
          <cell r="S24" t="str">
            <v>c</v>
          </cell>
          <cell r="T24" t="str">
            <v>c</v>
          </cell>
          <cell r="U24">
            <v>1.0999999999999996</v>
          </cell>
          <cell r="V24">
            <v>1.0500000000000007</v>
          </cell>
          <cell r="W24">
            <v>0.95000000000000018</v>
          </cell>
          <cell r="X24">
            <v>0.90000000000000036</v>
          </cell>
          <cell r="Y24">
            <v>1.0237688396372666</v>
          </cell>
          <cell r="Z24" t="str">
            <v>c</v>
          </cell>
          <cell r="AA24" t="str">
            <v>c</v>
          </cell>
          <cell r="AB24" t="str">
            <v>g</v>
          </cell>
          <cell r="AC24" t="str">
            <v>c</v>
          </cell>
          <cell r="AD24" t="str">
            <v>c</v>
          </cell>
          <cell r="AE24">
            <v>1.0999999999999996</v>
          </cell>
          <cell r="AF24">
            <v>1.0500000000000007</v>
          </cell>
          <cell r="AG24">
            <v>0.95000000000000018</v>
          </cell>
          <cell r="AH24">
            <v>0.90000000000000036</v>
          </cell>
          <cell r="AI24">
            <v>1.0544322202725349</v>
          </cell>
          <cell r="AJ24" t="str">
            <v>c</v>
          </cell>
          <cell r="AK24" t="str">
            <v>g</v>
          </cell>
          <cell r="AL24" t="str">
            <v>c</v>
          </cell>
          <cell r="AM24" t="str">
            <v>c</v>
          </cell>
          <cell r="AN24" t="str">
            <v>c</v>
          </cell>
          <cell r="AO24">
            <v>1.0999999999999996</v>
          </cell>
          <cell r="AP24">
            <v>1.0500000000000007</v>
          </cell>
          <cell r="AQ24">
            <v>0.95000000000000018</v>
          </cell>
          <cell r="AR24">
            <v>0.90000000000000036</v>
          </cell>
          <cell r="AT24">
            <v>39326</v>
          </cell>
          <cell r="AU24" t="str">
            <v>DINAMITAS</v>
          </cell>
          <cell r="AV24"/>
          <cell r="AW24">
            <v>2394209.120000001</v>
          </cell>
          <cell r="AX24">
            <v>0</v>
          </cell>
          <cell r="AY24">
            <v>2394209.120000001</v>
          </cell>
          <cell r="AZ24"/>
          <cell r="BA24">
            <v>2394209.120000001</v>
          </cell>
          <cell r="BB24" t="e">
            <v>#DIV/0!</v>
          </cell>
          <cell r="BC24"/>
          <cell r="BD24"/>
          <cell r="BE24">
            <v>1135600</v>
          </cell>
          <cell r="BF24">
            <v>0</v>
          </cell>
          <cell r="BG24">
            <v>1135600</v>
          </cell>
          <cell r="BH24"/>
          <cell r="BI24">
            <v>1135600</v>
          </cell>
          <cell r="BJ24">
            <v>-1</v>
          </cell>
          <cell r="BK24"/>
          <cell r="BL24"/>
          <cell r="BM24">
            <v>19015028.130000003</v>
          </cell>
          <cell r="BN24">
            <v>0</v>
          </cell>
          <cell r="BO24">
            <v>19015028.130000003</v>
          </cell>
          <cell r="BP24"/>
          <cell r="BQ24">
            <v>19015028.130000003</v>
          </cell>
          <cell r="BR24" t="str">
            <v/>
          </cell>
          <cell r="BS24">
            <v>0</v>
          </cell>
          <cell r="BT24" t="e">
            <v>#DIV/0!</v>
          </cell>
          <cell r="BU24"/>
          <cell r="BV24">
            <v>10267190</v>
          </cell>
          <cell r="BW24">
            <v>0</v>
          </cell>
          <cell r="BX24">
            <v>10267190</v>
          </cell>
          <cell r="BY24"/>
          <cell r="BZ24">
            <v>10267190</v>
          </cell>
          <cell r="CA24" t="str">
            <v/>
          </cell>
          <cell r="CB24">
            <v>0</v>
          </cell>
          <cell r="CC24" t="str">
            <v/>
          </cell>
        </row>
        <row r="25">
          <cell r="B25">
            <v>39356</v>
          </cell>
          <cell r="C25">
            <v>39356</v>
          </cell>
          <cell r="D25" t="str">
            <v>DINAMITAS</v>
          </cell>
          <cell r="E25">
            <v>1.1499014712300244</v>
          </cell>
          <cell r="F25" t="str">
            <v>g</v>
          </cell>
          <cell r="G25" t="str">
            <v>c</v>
          </cell>
          <cell r="H25" t="str">
            <v>c</v>
          </cell>
          <cell r="I25" t="str">
            <v>c</v>
          </cell>
          <cell r="J25" t="str">
            <v>c</v>
          </cell>
          <cell r="K25">
            <v>1.0999999999999996</v>
          </cell>
          <cell r="L25">
            <v>1.0500000000000007</v>
          </cell>
          <cell r="M25">
            <v>0.94999999999999929</v>
          </cell>
          <cell r="N25">
            <v>0.90000000000000036</v>
          </cell>
          <cell r="O25">
            <v>1.1544949204523673</v>
          </cell>
          <cell r="P25" t="str">
            <v>g</v>
          </cell>
          <cell r="Q25" t="str">
            <v>c</v>
          </cell>
          <cell r="R25" t="str">
            <v>c</v>
          </cell>
          <cell r="S25" t="str">
            <v>c</v>
          </cell>
          <cell r="T25" t="str">
            <v>c</v>
          </cell>
          <cell r="U25">
            <v>1.0999999999999996</v>
          </cell>
          <cell r="V25">
            <v>1.0500000000000007</v>
          </cell>
          <cell r="W25">
            <v>0.94999999999999929</v>
          </cell>
          <cell r="X25">
            <v>0.90000000000000036</v>
          </cell>
          <cell r="Y25">
            <v>1.0384530031448318</v>
          </cell>
          <cell r="Z25" t="str">
            <v>c</v>
          </cell>
          <cell r="AA25" t="str">
            <v>c</v>
          </cell>
          <cell r="AB25" t="str">
            <v>g</v>
          </cell>
          <cell r="AC25" t="str">
            <v>c</v>
          </cell>
          <cell r="AD25" t="str">
            <v>c</v>
          </cell>
          <cell r="AE25">
            <v>1.0999999999999996</v>
          </cell>
          <cell r="AF25">
            <v>1.0500000000000007</v>
          </cell>
          <cell r="AG25">
            <v>0.94999999999999929</v>
          </cell>
          <cell r="AH25">
            <v>0.90000000000000036</v>
          </cell>
          <cell r="AI25">
            <v>1.0651971464757719</v>
          </cell>
          <cell r="AJ25" t="str">
            <v>c</v>
          </cell>
          <cell r="AK25" t="str">
            <v>g</v>
          </cell>
          <cell r="AL25" t="str">
            <v>c</v>
          </cell>
          <cell r="AM25" t="str">
            <v>c</v>
          </cell>
          <cell r="AN25" t="str">
            <v>c</v>
          </cell>
          <cell r="AO25">
            <v>1.0999999999999996</v>
          </cell>
          <cell r="AP25">
            <v>1.0500000000000007</v>
          </cell>
          <cell r="AQ25">
            <v>0.94999999999999929</v>
          </cell>
          <cell r="AR25">
            <v>0.90000000000000036</v>
          </cell>
          <cell r="AT25">
            <v>39356</v>
          </cell>
          <cell r="AU25" t="str">
            <v>DINAMITAS</v>
          </cell>
          <cell r="AV25"/>
          <cell r="AW25">
            <v>2814043.4800000004</v>
          </cell>
          <cell r="AX25">
            <v>0</v>
          </cell>
          <cell r="AY25">
            <v>2814043.4800000004</v>
          </cell>
          <cell r="AZ25"/>
          <cell r="BA25">
            <v>2814043.4800000004</v>
          </cell>
          <cell r="BB25" t="e">
            <v>#DIV/0!</v>
          </cell>
          <cell r="BC25"/>
          <cell r="BD25"/>
          <cell r="BE25">
            <v>1355175</v>
          </cell>
          <cell r="BF25">
            <v>0</v>
          </cell>
          <cell r="BG25">
            <v>1355175</v>
          </cell>
          <cell r="BH25"/>
          <cell r="BI25">
            <v>1355175</v>
          </cell>
          <cell r="BJ25">
            <v>-1</v>
          </cell>
          <cell r="BK25"/>
          <cell r="BL25"/>
          <cell r="BM25">
            <v>21829071.610000003</v>
          </cell>
          <cell r="BN25">
            <v>0</v>
          </cell>
          <cell r="BO25">
            <v>21829071.610000003</v>
          </cell>
          <cell r="BP25"/>
          <cell r="BQ25">
            <v>21829071.610000003</v>
          </cell>
          <cell r="BR25" t="str">
            <v/>
          </cell>
          <cell r="BS25">
            <v>0</v>
          </cell>
          <cell r="BT25" t="e">
            <v>#DIV/0!</v>
          </cell>
          <cell r="BU25"/>
          <cell r="BV25">
            <v>11622365</v>
          </cell>
          <cell r="BW25">
            <v>0</v>
          </cell>
          <cell r="BX25">
            <v>11622365</v>
          </cell>
          <cell r="BY25"/>
          <cell r="BZ25">
            <v>11622365</v>
          </cell>
          <cell r="CA25" t="str">
            <v/>
          </cell>
          <cell r="CB25">
            <v>0</v>
          </cell>
          <cell r="CC25" t="str">
            <v/>
          </cell>
        </row>
        <row r="26">
          <cell r="B26">
            <v>39387</v>
          </cell>
          <cell r="C26">
            <v>39387</v>
          </cell>
          <cell r="D26" t="str">
            <v>DINAMITAS</v>
          </cell>
          <cell r="E26">
            <v>1.0515777117898442</v>
          </cell>
          <cell r="F26" t="str">
            <v>c</v>
          </cell>
          <cell r="G26" t="str">
            <v>g</v>
          </cell>
          <cell r="H26" t="str">
            <v>c</v>
          </cell>
          <cell r="I26" t="str">
            <v>c</v>
          </cell>
          <cell r="J26" t="str">
            <v>c</v>
          </cell>
          <cell r="K26">
            <v>1.0999999999999996</v>
          </cell>
          <cell r="L26">
            <v>1.0500000000000007</v>
          </cell>
          <cell r="M26">
            <v>0.94999999999999929</v>
          </cell>
          <cell r="N26">
            <v>0.90000000000000036</v>
          </cell>
          <cell r="O26">
            <v>1.0307980769230769</v>
          </cell>
          <cell r="P26" t="str">
            <v>c</v>
          </cell>
          <cell r="Q26" t="str">
            <v>c</v>
          </cell>
          <cell r="R26" t="str">
            <v>g</v>
          </cell>
          <cell r="S26" t="str">
            <v>c</v>
          </cell>
          <cell r="T26" t="str">
            <v>c</v>
          </cell>
          <cell r="U26">
            <v>1.0999999999999996</v>
          </cell>
          <cell r="V26">
            <v>1.0500000000000007</v>
          </cell>
          <cell r="W26">
            <v>0.94999999999999929</v>
          </cell>
          <cell r="X26">
            <v>0.90000000000000036</v>
          </cell>
          <cell r="Y26">
            <v>1.0401787312051534</v>
          </cell>
          <cell r="Z26" t="str">
            <v>c</v>
          </cell>
          <cell r="AA26" t="str">
            <v>c</v>
          </cell>
          <cell r="AB26" t="str">
            <v>g</v>
          </cell>
          <cell r="AC26" t="str">
            <v>c</v>
          </cell>
          <cell r="AD26" t="str">
            <v>c</v>
          </cell>
          <cell r="AE26">
            <v>1.0999999999999996</v>
          </cell>
          <cell r="AF26">
            <v>1.0500000000000007</v>
          </cell>
          <cell r="AG26">
            <v>0.94999999999999929</v>
          </cell>
          <cell r="AH26">
            <v>0.90000000000000036</v>
          </cell>
          <cell r="AI26">
            <v>1.0608941593211578</v>
          </cell>
          <cell r="AJ26" t="str">
            <v>c</v>
          </cell>
          <cell r="AK26" t="str">
            <v>g</v>
          </cell>
          <cell r="AL26" t="str">
            <v>c</v>
          </cell>
          <cell r="AM26" t="str">
            <v>c</v>
          </cell>
          <cell r="AN26" t="str">
            <v>c</v>
          </cell>
          <cell r="AO26">
            <v>1.0999999999999996</v>
          </cell>
          <cell r="AP26">
            <v>1.0500000000000007</v>
          </cell>
          <cell r="AQ26">
            <v>0.94999999999999929</v>
          </cell>
          <cell r="AR26">
            <v>0.90000000000000036</v>
          </cell>
          <cell r="AT26">
            <v>39387</v>
          </cell>
          <cell r="AU26" t="str">
            <v>DINAMITAS</v>
          </cell>
          <cell r="AV26"/>
          <cell r="AW26">
            <v>3346540.91</v>
          </cell>
          <cell r="AX26">
            <v>0</v>
          </cell>
          <cell r="AY26">
            <v>3346540.91</v>
          </cell>
          <cell r="AZ26"/>
          <cell r="BA26">
            <v>3346540.91</v>
          </cell>
          <cell r="BB26" t="e">
            <v>#DIV/0!</v>
          </cell>
          <cell r="BC26"/>
          <cell r="BD26"/>
          <cell r="BE26">
            <v>1608045</v>
          </cell>
          <cell r="BF26">
            <v>0</v>
          </cell>
          <cell r="BG26">
            <v>1608045</v>
          </cell>
          <cell r="BH26"/>
          <cell r="BI26">
            <v>1608045</v>
          </cell>
          <cell r="BJ26">
            <v>-1</v>
          </cell>
          <cell r="BK26"/>
          <cell r="BL26"/>
          <cell r="BM26">
            <v>25175612.520000003</v>
          </cell>
          <cell r="BN26">
            <v>0</v>
          </cell>
          <cell r="BO26">
            <v>25175612.520000003</v>
          </cell>
          <cell r="BP26"/>
          <cell r="BQ26">
            <v>25175612.520000003</v>
          </cell>
          <cell r="BR26" t="str">
            <v/>
          </cell>
          <cell r="BS26">
            <v>0</v>
          </cell>
          <cell r="BT26" t="e">
            <v>#DIV/0!</v>
          </cell>
          <cell r="BU26"/>
          <cell r="BV26">
            <v>13230410</v>
          </cell>
          <cell r="BW26">
            <v>0</v>
          </cell>
          <cell r="BX26">
            <v>13230410</v>
          </cell>
          <cell r="BY26"/>
          <cell r="BZ26">
            <v>13230410</v>
          </cell>
          <cell r="CA26" t="str">
            <v/>
          </cell>
          <cell r="CB26">
            <v>0</v>
          </cell>
          <cell r="CC26" t="str">
            <v/>
          </cell>
        </row>
        <row r="27">
          <cell r="B27">
            <v>39417</v>
          </cell>
          <cell r="C27">
            <v>39417</v>
          </cell>
          <cell r="D27" t="str">
            <v>DINAMITAS</v>
          </cell>
          <cell r="E27">
            <v>1.0473445972697408</v>
          </cell>
          <cell r="F27" t="str">
            <v>c</v>
          </cell>
          <cell r="G27" t="str">
            <v>c</v>
          </cell>
          <cell r="H27" t="str">
            <v>g</v>
          </cell>
          <cell r="I27" t="str">
            <v>c</v>
          </cell>
          <cell r="J27" t="str">
            <v>c</v>
          </cell>
          <cell r="K27">
            <v>1.0999999999999996</v>
          </cell>
          <cell r="L27">
            <v>1.0500000000000007</v>
          </cell>
          <cell r="M27">
            <v>0.94999999999999929</v>
          </cell>
          <cell r="N27">
            <v>0.90000000000000036</v>
          </cell>
          <cell r="O27">
            <v>1.0397069597069597</v>
          </cell>
          <cell r="P27" t="str">
            <v>c</v>
          </cell>
          <cell r="Q27" t="str">
            <v>c</v>
          </cell>
          <cell r="R27" t="str">
            <v>g</v>
          </cell>
          <cell r="S27" t="str">
            <v>c</v>
          </cell>
          <cell r="T27" t="str">
            <v>c</v>
          </cell>
          <cell r="U27">
            <v>1.0999999999999996</v>
          </cell>
          <cell r="V27">
            <v>1.0500000000000007</v>
          </cell>
          <cell r="W27">
            <v>0.94999999999999929</v>
          </cell>
          <cell r="X27">
            <v>0.90000000000000036</v>
          </cell>
          <cell r="Y27">
            <v>1.0409393966099025</v>
          </cell>
          <cell r="Z27" t="str">
            <v>c</v>
          </cell>
          <cell r="AA27" t="str">
            <v>c</v>
          </cell>
          <cell r="AB27" t="str">
            <v>g</v>
          </cell>
          <cell r="AC27" t="str">
            <v>c</v>
          </cell>
          <cell r="AD27" t="str">
            <v>c</v>
          </cell>
          <cell r="AE27">
            <v>1.0999999999999996</v>
          </cell>
          <cell r="AF27">
            <v>1.0500000000000007</v>
          </cell>
          <cell r="AG27">
            <v>0.94999999999999929</v>
          </cell>
          <cell r="AH27">
            <v>0.90000000000000036</v>
          </cell>
          <cell r="AI27">
            <v>1.0588039215672103</v>
          </cell>
          <cell r="AJ27" t="str">
            <v>c</v>
          </cell>
          <cell r="AK27" t="str">
            <v>g</v>
          </cell>
          <cell r="AL27" t="str">
            <v>c</v>
          </cell>
          <cell r="AM27" t="str">
            <v>c</v>
          </cell>
          <cell r="AN27" t="str">
            <v>c</v>
          </cell>
          <cell r="AO27">
            <v>1.0999999999999996</v>
          </cell>
          <cell r="AP27">
            <v>1.0500000000000007</v>
          </cell>
          <cell r="AQ27">
            <v>0.94999999999999929</v>
          </cell>
          <cell r="AR27">
            <v>0.90000000000000036</v>
          </cell>
          <cell r="AT27">
            <v>39417</v>
          </cell>
          <cell r="AU27" t="str">
            <v>DINAMITAS</v>
          </cell>
          <cell r="AV27"/>
          <cell r="AW27">
            <v>3010388.8599999994</v>
          </cell>
          <cell r="AX27">
            <v>0</v>
          </cell>
          <cell r="AY27">
            <v>3010388.8599999994</v>
          </cell>
          <cell r="AZ27"/>
          <cell r="BA27">
            <v>3010388.8599999994</v>
          </cell>
          <cell r="BB27" t="e">
            <v>#DIV/0!</v>
          </cell>
          <cell r="BC27"/>
          <cell r="BD27"/>
          <cell r="BE27">
            <v>1419200</v>
          </cell>
          <cell r="BF27">
            <v>0</v>
          </cell>
          <cell r="BG27">
            <v>1419200</v>
          </cell>
          <cell r="BH27"/>
          <cell r="BI27">
            <v>1419200</v>
          </cell>
          <cell r="BJ27">
            <v>-1</v>
          </cell>
          <cell r="BK27"/>
          <cell r="BL27"/>
          <cell r="BM27">
            <v>28186001.380000003</v>
          </cell>
          <cell r="BN27">
            <v>0</v>
          </cell>
          <cell r="BO27">
            <v>28186001.380000003</v>
          </cell>
          <cell r="BP27"/>
          <cell r="BQ27">
            <v>28186001.380000003</v>
          </cell>
          <cell r="BR27" t="str">
            <v/>
          </cell>
          <cell r="BS27">
            <v>0</v>
          </cell>
          <cell r="BT27" t="e">
            <v>#DIV/0!</v>
          </cell>
          <cell r="BU27"/>
          <cell r="BV27">
            <v>14649610</v>
          </cell>
          <cell r="BW27">
            <v>0</v>
          </cell>
          <cell r="BX27">
            <v>14649610</v>
          </cell>
          <cell r="BY27"/>
          <cell r="BZ27">
            <v>14649610</v>
          </cell>
          <cell r="CA27" t="str">
            <v/>
          </cell>
          <cell r="CB27">
            <v>0</v>
          </cell>
          <cell r="CC27" t="str">
            <v/>
          </cell>
        </row>
        <row r="28">
          <cell r="B28">
            <v>39448</v>
          </cell>
          <cell r="C28">
            <v>39448</v>
          </cell>
          <cell r="D28" t="str">
            <v>DINAMITAS</v>
          </cell>
          <cell r="E28">
            <v>1</v>
          </cell>
          <cell r="F28" t="str">
            <v>c</v>
          </cell>
          <cell r="G28" t="str">
            <v>c</v>
          </cell>
          <cell r="H28" t="str">
            <v>g</v>
          </cell>
          <cell r="I28" t="str">
            <v>c</v>
          </cell>
          <cell r="J28" t="str">
            <v>c</v>
          </cell>
          <cell r="K28">
            <v>1.0999999999999996</v>
          </cell>
          <cell r="L28">
            <v>1.0500000000000007</v>
          </cell>
          <cell r="M28">
            <v>0.94999999999999929</v>
          </cell>
          <cell r="N28">
            <v>0.90000000000000036</v>
          </cell>
          <cell r="O28">
            <v>1</v>
          </cell>
          <cell r="P28" t="str">
            <v>c</v>
          </cell>
          <cell r="Q28" t="str">
            <v>c</v>
          </cell>
          <cell r="R28" t="str">
            <v>g</v>
          </cell>
          <cell r="S28" t="str">
            <v>c</v>
          </cell>
          <cell r="T28" t="str">
            <v>c</v>
          </cell>
          <cell r="U28">
            <v>1.0999999999999996</v>
          </cell>
          <cell r="V28">
            <v>1.0500000000000007</v>
          </cell>
          <cell r="W28">
            <v>0.94999999999999929</v>
          </cell>
          <cell r="X28">
            <v>0.90000000000000036</v>
          </cell>
          <cell r="Y28">
            <v>1</v>
          </cell>
          <cell r="Z28" t="str">
            <v>c</v>
          </cell>
          <cell r="AA28" t="str">
            <v>c</v>
          </cell>
          <cell r="AB28" t="str">
            <v>g</v>
          </cell>
          <cell r="AC28" t="str">
            <v>c</v>
          </cell>
          <cell r="AD28" t="str">
            <v>c</v>
          </cell>
          <cell r="AE28">
            <v>1.0999999999999996</v>
          </cell>
          <cell r="AF28">
            <v>1.0500000000000007</v>
          </cell>
          <cell r="AG28">
            <v>0.94999999999999929</v>
          </cell>
          <cell r="AH28">
            <v>0.90000000000000036</v>
          </cell>
          <cell r="AI28">
            <v>1</v>
          </cell>
          <cell r="AJ28" t="str">
            <v>c</v>
          </cell>
          <cell r="AK28" t="str">
            <v>c</v>
          </cell>
          <cell r="AL28" t="str">
            <v>g</v>
          </cell>
          <cell r="AM28" t="str">
            <v>c</v>
          </cell>
          <cell r="AN28" t="str">
            <v>c</v>
          </cell>
          <cell r="AO28">
            <v>1.0999999999999996</v>
          </cell>
          <cell r="AP28">
            <v>1.0500000000000007</v>
          </cell>
          <cell r="AQ28">
            <v>0.94999999999999929</v>
          </cell>
          <cell r="AR28">
            <v>0.90000000000000036</v>
          </cell>
          <cell r="AT28">
            <v>39448</v>
          </cell>
          <cell r="AU28" t="str">
            <v>DINAMITAS</v>
          </cell>
          <cell r="AV28">
            <v>1753168.95</v>
          </cell>
          <cell r="AW28">
            <v>2405434.8099999987</v>
          </cell>
          <cell r="AX28">
            <v>0</v>
          </cell>
          <cell r="AY28">
            <v>652265.85999999871</v>
          </cell>
          <cell r="AZ28">
            <v>0.37204963047058226</v>
          </cell>
          <cell r="BA28">
            <v>2405434.8099999987</v>
          </cell>
          <cell r="BB28" t="e">
            <v>#DIV/0!</v>
          </cell>
          <cell r="BC28"/>
          <cell r="BD28">
            <v>1143580</v>
          </cell>
          <cell r="BE28">
            <v>1118650</v>
          </cell>
          <cell r="BF28">
            <v>0</v>
          </cell>
          <cell r="BG28">
            <v>-24930</v>
          </cell>
          <cell r="BH28">
            <v>-2.1799961524335831E-2</v>
          </cell>
          <cell r="BI28">
            <v>1118650</v>
          </cell>
          <cell r="BJ28">
            <v>-1</v>
          </cell>
          <cell r="BK28"/>
          <cell r="BL28">
            <v>1753168.95</v>
          </cell>
          <cell r="BM28">
            <v>2405434.8099999987</v>
          </cell>
          <cell r="BN28">
            <v>0</v>
          </cell>
          <cell r="BO28">
            <v>652265.85999999871</v>
          </cell>
          <cell r="BP28">
            <v>0.37204963047058226</v>
          </cell>
          <cell r="BQ28">
            <v>2405434.8099999987</v>
          </cell>
          <cell r="BR28" t="str">
            <v/>
          </cell>
          <cell r="BS28">
            <v>0</v>
          </cell>
          <cell r="BT28" t="e">
            <v>#DIV/0!</v>
          </cell>
          <cell r="BU28">
            <v>1143580</v>
          </cell>
          <cell r="BV28">
            <v>1118650</v>
          </cell>
          <cell r="BW28">
            <v>0</v>
          </cell>
          <cell r="BX28">
            <v>-24930</v>
          </cell>
          <cell r="BY28">
            <v>-2.1799961524335831E-2</v>
          </cell>
          <cell r="BZ28">
            <v>1118650</v>
          </cell>
          <cell r="CA28" t="str">
            <v/>
          </cell>
          <cell r="CB28">
            <v>0</v>
          </cell>
          <cell r="CC28" t="str">
            <v/>
          </cell>
        </row>
        <row r="29">
          <cell r="B29">
            <v>39479</v>
          </cell>
          <cell r="C29">
            <v>39479</v>
          </cell>
          <cell r="D29" t="str">
            <v>DINAMITAS</v>
          </cell>
          <cell r="E29">
            <v>1</v>
          </cell>
          <cell r="F29" t="str">
            <v>c</v>
          </cell>
          <cell r="G29" t="str">
            <v>c</v>
          </cell>
          <cell r="H29" t="str">
            <v>g</v>
          </cell>
          <cell r="I29" t="str">
            <v>c</v>
          </cell>
          <cell r="J29" t="str">
            <v>c</v>
          </cell>
          <cell r="K29">
            <v>1.0999999999999996</v>
          </cell>
          <cell r="L29">
            <v>1.0500000000000007</v>
          </cell>
          <cell r="M29">
            <v>0.94999999999999929</v>
          </cell>
          <cell r="N29">
            <v>0.90000000000000036</v>
          </cell>
          <cell r="O29">
            <v>1</v>
          </cell>
          <cell r="P29" t="str">
            <v>c</v>
          </cell>
          <cell r="Q29" t="str">
            <v>c</v>
          </cell>
          <cell r="R29" t="str">
            <v>g</v>
          </cell>
          <cell r="S29" t="str">
            <v>c</v>
          </cell>
          <cell r="T29" t="str">
            <v>c</v>
          </cell>
          <cell r="U29">
            <v>1.0999999999999996</v>
          </cell>
          <cell r="V29">
            <v>1.0500000000000007</v>
          </cell>
          <cell r="W29">
            <v>0.94999999999999929</v>
          </cell>
          <cell r="X29">
            <v>0.90000000000000036</v>
          </cell>
          <cell r="Y29">
            <v>1</v>
          </cell>
          <cell r="Z29" t="str">
            <v>c</v>
          </cell>
          <cell r="AA29" t="str">
            <v>c</v>
          </cell>
          <cell r="AB29" t="str">
            <v>g</v>
          </cell>
          <cell r="AC29" t="str">
            <v>c</v>
          </cell>
          <cell r="AD29" t="str">
            <v>c</v>
          </cell>
          <cell r="AE29">
            <v>1.0999999999999996</v>
          </cell>
          <cell r="AF29">
            <v>1.0500000000000007</v>
          </cell>
          <cell r="AG29">
            <v>0.94999999999999929</v>
          </cell>
          <cell r="AH29">
            <v>0.90000000000000036</v>
          </cell>
          <cell r="AI29">
            <v>1</v>
          </cell>
          <cell r="AJ29" t="str">
            <v>c</v>
          </cell>
          <cell r="AK29" t="str">
            <v>c</v>
          </cell>
          <cell r="AL29" t="str">
            <v>g</v>
          </cell>
          <cell r="AM29" t="str">
            <v>c</v>
          </cell>
          <cell r="AN29" t="str">
            <v>c</v>
          </cell>
          <cell r="AO29">
            <v>1.0999999999999996</v>
          </cell>
          <cell r="AP29">
            <v>1.0500000000000007</v>
          </cell>
          <cell r="AQ29">
            <v>0.94999999999999929</v>
          </cell>
          <cell r="AR29">
            <v>0.90000000000000036</v>
          </cell>
          <cell r="AT29">
            <v>39479</v>
          </cell>
          <cell r="AU29" t="str">
            <v>DINAMITAS</v>
          </cell>
          <cell r="AV29">
            <v>1241976.49</v>
          </cell>
          <cell r="AW29">
            <v>2299885.870000001</v>
          </cell>
          <cell r="AX29">
            <v>0</v>
          </cell>
          <cell r="AY29">
            <v>1057909.3800000011</v>
          </cell>
          <cell r="AZ29">
            <v>0.85179501264150415</v>
          </cell>
          <cell r="BA29">
            <v>2299885.870000001</v>
          </cell>
          <cell r="BB29" t="e">
            <v>#DIV/0!</v>
          </cell>
          <cell r="BC29"/>
          <cell r="BD29">
            <v>684525</v>
          </cell>
          <cell r="BE29">
            <v>1093350</v>
          </cell>
          <cell r="BF29">
            <v>0</v>
          </cell>
          <cell r="BG29">
            <v>408825</v>
          </cell>
          <cell r="BH29">
            <v>0.59723896132354559</v>
          </cell>
          <cell r="BI29">
            <v>1093350</v>
          </cell>
          <cell r="BJ29">
            <v>-1</v>
          </cell>
          <cell r="BK29"/>
          <cell r="BL29">
            <v>2995145.44</v>
          </cell>
          <cell r="BM29">
            <v>4705320.68</v>
          </cell>
          <cell r="BN29">
            <v>0</v>
          </cell>
          <cell r="BO29">
            <v>1710175.2399999998</v>
          </cell>
          <cell r="BP29">
            <v>0.5709823693903826</v>
          </cell>
          <cell r="BQ29">
            <v>4705320.68</v>
          </cell>
          <cell r="BR29" t="str">
            <v/>
          </cell>
          <cell r="BS29">
            <v>0</v>
          </cell>
          <cell r="BT29" t="e">
            <v>#DIV/0!</v>
          </cell>
          <cell r="BU29">
            <v>1828105</v>
          </cell>
          <cell r="BV29">
            <v>2212000</v>
          </cell>
          <cell r="BW29">
            <v>0</v>
          </cell>
          <cell r="BX29">
            <v>383895</v>
          </cell>
          <cell r="BY29">
            <v>0.20999614354755325</v>
          </cell>
          <cell r="BZ29">
            <v>2212000</v>
          </cell>
          <cell r="CA29" t="str">
            <v/>
          </cell>
          <cell r="CB29">
            <v>0</v>
          </cell>
          <cell r="CC29" t="str">
            <v/>
          </cell>
        </row>
        <row r="30">
          <cell r="B30">
            <v>39508</v>
          </cell>
          <cell r="C30">
            <v>39508</v>
          </cell>
          <cell r="D30" t="str">
            <v>DINAMITAS</v>
          </cell>
          <cell r="E30">
            <v>1</v>
          </cell>
          <cell r="F30" t="str">
            <v>c</v>
          </cell>
          <cell r="G30" t="str">
            <v>c</v>
          </cell>
          <cell r="H30" t="str">
            <v>g</v>
          </cell>
          <cell r="I30" t="str">
            <v>c</v>
          </cell>
          <cell r="J30" t="str">
            <v>c</v>
          </cell>
          <cell r="K30">
            <v>1.0999999999999996</v>
          </cell>
          <cell r="L30">
            <v>1.0500000000000007</v>
          </cell>
          <cell r="M30">
            <v>0.94999999999999929</v>
          </cell>
          <cell r="N30">
            <v>0.90000000000000036</v>
          </cell>
          <cell r="O30">
            <v>1</v>
          </cell>
          <cell r="P30" t="str">
            <v>c</v>
          </cell>
          <cell r="Q30" t="str">
            <v>c</v>
          </cell>
          <cell r="R30" t="str">
            <v>g</v>
          </cell>
          <cell r="S30" t="str">
            <v>c</v>
          </cell>
          <cell r="T30" t="str">
            <v>c</v>
          </cell>
          <cell r="U30">
            <v>1.0999999999999996</v>
          </cell>
          <cell r="V30">
            <v>1.0500000000000007</v>
          </cell>
          <cell r="W30">
            <v>0.94999999999999929</v>
          </cell>
          <cell r="X30">
            <v>0.90000000000000036</v>
          </cell>
          <cell r="Y30">
            <v>1</v>
          </cell>
          <cell r="Z30" t="str">
            <v>c</v>
          </cell>
          <cell r="AA30" t="str">
            <v>c</v>
          </cell>
          <cell r="AB30" t="str">
            <v>g</v>
          </cell>
          <cell r="AC30" t="str">
            <v>c</v>
          </cell>
          <cell r="AD30" t="str">
            <v>c</v>
          </cell>
          <cell r="AE30">
            <v>1.0999999999999996</v>
          </cell>
          <cell r="AF30">
            <v>1.0500000000000007</v>
          </cell>
          <cell r="AG30">
            <v>0.94999999999999929</v>
          </cell>
          <cell r="AH30">
            <v>0.90000000000000036</v>
          </cell>
          <cell r="AI30">
            <v>1</v>
          </cell>
          <cell r="AJ30" t="str">
            <v>c</v>
          </cell>
          <cell r="AK30" t="str">
            <v>c</v>
          </cell>
          <cell r="AL30" t="str">
            <v>g</v>
          </cell>
          <cell r="AM30" t="str">
            <v>c</v>
          </cell>
          <cell r="AN30" t="str">
            <v>c</v>
          </cell>
          <cell r="AO30">
            <v>1.0999999999999996</v>
          </cell>
          <cell r="AP30">
            <v>1.0500000000000007</v>
          </cell>
          <cell r="AQ30">
            <v>0.94999999999999929</v>
          </cell>
          <cell r="AR30">
            <v>0.90000000000000036</v>
          </cell>
          <cell r="AT30">
            <v>39508</v>
          </cell>
          <cell r="AU30" t="str">
            <v>DINAMITAS</v>
          </cell>
          <cell r="AV30">
            <v>2293441.0500000003</v>
          </cell>
          <cell r="AW30">
            <v>2379388.6099999994</v>
          </cell>
          <cell r="AX30">
            <v>0</v>
          </cell>
          <cell r="AY30">
            <v>85947.559999999125</v>
          </cell>
          <cell r="AZ30">
            <v>3.7475373522244615E-2</v>
          </cell>
          <cell r="BA30">
            <v>2379388.6099999994</v>
          </cell>
          <cell r="BB30" t="e">
            <v>#DIV/0!</v>
          </cell>
          <cell r="BC30"/>
          <cell r="BD30">
            <v>1215950</v>
          </cell>
          <cell r="BE30">
            <v>1069125</v>
          </cell>
          <cell r="BF30">
            <v>0</v>
          </cell>
          <cell r="BG30">
            <v>-146825</v>
          </cell>
          <cell r="BH30">
            <v>-0.12074920843784698</v>
          </cell>
          <cell r="BI30">
            <v>1069125</v>
          </cell>
          <cell r="BJ30">
            <v>-1</v>
          </cell>
          <cell r="BK30"/>
          <cell r="BL30">
            <v>5288586.49</v>
          </cell>
          <cell r="BM30">
            <v>7084709.2899999991</v>
          </cell>
          <cell r="BN30">
            <v>0</v>
          </cell>
          <cell r="BO30">
            <v>1796122.7999999989</v>
          </cell>
          <cell r="BP30">
            <v>0.33962246876291502</v>
          </cell>
          <cell r="BQ30">
            <v>7084709.2899999991</v>
          </cell>
          <cell r="BR30" t="str">
            <v/>
          </cell>
          <cell r="BS30">
            <v>0</v>
          </cell>
          <cell r="BT30" t="e">
            <v>#DIV/0!</v>
          </cell>
          <cell r="BU30">
            <v>3044055</v>
          </cell>
          <cell r="BV30">
            <v>3281125</v>
          </cell>
          <cell r="BW30">
            <v>0</v>
          </cell>
          <cell r="BX30">
            <v>237070</v>
          </cell>
          <cell r="BY30">
            <v>7.7879670373892651E-2</v>
          </cell>
          <cell r="BZ30">
            <v>3281125</v>
          </cell>
          <cell r="CA30" t="str">
            <v/>
          </cell>
          <cell r="CB30">
            <v>0</v>
          </cell>
          <cell r="CC30" t="str">
            <v/>
          </cell>
        </row>
        <row r="31">
          <cell r="B31">
            <v>39539</v>
          </cell>
          <cell r="C31">
            <v>39539</v>
          </cell>
          <cell r="D31" t="str">
            <v>DINAMITAS</v>
          </cell>
          <cell r="E31">
            <v>1.0689923124918066</v>
          </cell>
          <cell r="F31" t="str">
            <v>c</v>
          </cell>
          <cell r="G31" t="str">
            <v>g</v>
          </cell>
          <cell r="H31" t="str">
            <v>c</v>
          </cell>
          <cell r="I31" t="str">
            <v>c</v>
          </cell>
          <cell r="J31" t="str">
            <v>c</v>
          </cell>
          <cell r="K31">
            <v>1.1000000000000014</v>
          </cell>
          <cell r="L31">
            <v>1.0499999999999989</v>
          </cell>
          <cell r="M31">
            <v>0.94999999999999929</v>
          </cell>
          <cell r="N31">
            <v>0.90000000000000036</v>
          </cell>
          <cell r="O31">
            <v>1.0799520373423548</v>
          </cell>
          <cell r="P31" t="str">
            <v>c</v>
          </cell>
          <cell r="Q31" t="str">
            <v>g</v>
          </cell>
          <cell r="R31" t="str">
            <v>c</v>
          </cell>
          <cell r="S31" t="str">
            <v>c</v>
          </cell>
          <cell r="T31" t="str">
            <v>c</v>
          </cell>
          <cell r="U31">
            <v>1.1000000000000014</v>
          </cell>
          <cell r="V31">
            <v>1.0499999999999989</v>
          </cell>
          <cell r="W31">
            <v>0.94999999999999929</v>
          </cell>
          <cell r="X31">
            <v>0.90000000000000036</v>
          </cell>
          <cell r="Y31">
            <v>1.019658898645768</v>
          </cell>
          <cell r="Z31" t="str">
            <v>c</v>
          </cell>
          <cell r="AA31" t="str">
            <v>c</v>
          </cell>
          <cell r="AB31" t="str">
            <v>g</v>
          </cell>
          <cell r="AC31" t="str">
            <v>c</v>
          </cell>
          <cell r="AD31" t="str">
            <v>c</v>
          </cell>
          <cell r="AE31">
            <v>1.1000000000000014</v>
          </cell>
          <cell r="AF31">
            <v>1.0499999999999989</v>
          </cell>
          <cell r="AG31">
            <v>0.94999999999999929</v>
          </cell>
          <cell r="AH31">
            <v>0.90000000000000036</v>
          </cell>
          <cell r="AI31">
            <v>1.0209836581473239</v>
          </cell>
          <cell r="AJ31" t="str">
            <v>c</v>
          </cell>
          <cell r="AK31" t="str">
            <v>c</v>
          </cell>
          <cell r="AL31" t="str">
            <v>g</v>
          </cell>
          <cell r="AM31" t="str">
            <v>c</v>
          </cell>
          <cell r="AN31" t="str">
            <v>c</v>
          </cell>
          <cell r="AO31">
            <v>1.1000000000000014</v>
          </cell>
          <cell r="AP31">
            <v>1.0499999999999989</v>
          </cell>
          <cell r="AQ31">
            <v>0.94999999999999929</v>
          </cell>
          <cell r="AR31">
            <v>0.90000000000000036</v>
          </cell>
          <cell r="AT31">
            <v>39539</v>
          </cell>
          <cell r="AU31" t="str">
            <v>DINAMITAS</v>
          </cell>
          <cell r="AV31">
            <v>1700067.6799999997</v>
          </cell>
          <cell r="AW31">
            <v>3017968</v>
          </cell>
          <cell r="AX31">
            <v>0</v>
          </cell>
          <cell r="AY31">
            <v>1317900.3200000003</v>
          </cell>
          <cell r="AZ31">
            <v>0.7752046200890077</v>
          </cell>
          <cell r="BA31">
            <v>3017968</v>
          </cell>
          <cell r="BB31" t="e">
            <v>#DIV/0!</v>
          </cell>
          <cell r="BC31"/>
          <cell r="BD31">
            <v>911925</v>
          </cell>
          <cell r="BE31">
            <v>1260925</v>
          </cell>
          <cell r="BF31">
            <v>0</v>
          </cell>
          <cell r="BG31">
            <v>349000</v>
          </cell>
          <cell r="BH31">
            <v>0.38270691120432043</v>
          </cell>
          <cell r="BI31">
            <v>1260925</v>
          </cell>
          <cell r="BJ31">
            <v>-1</v>
          </cell>
          <cell r="BK31"/>
          <cell r="BL31">
            <v>6988654.1699999999</v>
          </cell>
          <cell r="BM31">
            <v>10102677.289999999</v>
          </cell>
          <cell r="BN31">
            <v>0</v>
          </cell>
          <cell r="BO31">
            <v>3114023.1199999992</v>
          </cell>
          <cell r="BP31">
            <v>0.4455826607313722</v>
          </cell>
          <cell r="BQ31">
            <v>10102677.289999999</v>
          </cell>
          <cell r="BR31" t="str">
            <v/>
          </cell>
          <cell r="BS31">
            <v>0</v>
          </cell>
          <cell r="BT31" t="e">
            <v>#DIV/0!</v>
          </cell>
          <cell r="BU31">
            <v>3955980</v>
          </cell>
          <cell r="BV31">
            <v>4542050</v>
          </cell>
          <cell r="BW31">
            <v>0</v>
          </cell>
          <cell r="BX31">
            <v>586070</v>
          </cell>
          <cell r="BY31">
            <v>0.14814786727940987</v>
          </cell>
          <cell r="BZ31">
            <v>4542050</v>
          </cell>
          <cell r="CA31" t="str">
            <v/>
          </cell>
          <cell r="CB31">
            <v>0</v>
          </cell>
          <cell r="CC31" t="str">
            <v/>
          </cell>
        </row>
        <row r="32">
          <cell r="B32">
            <v>39569</v>
          </cell>
          <cell r="C32">
            <v>39569</v>
          </cell>
          <cell r="D32" t="str">
            <v>DINAMITAS</v>
          </cell>
          <cell r="E32">
            <v>1.0654520556278588</v>
          </cell>
          <cell r="F32" t="str">
            <v>c</v>
          </cell>
          <cell r="G32" t="str">
            <v>g</v>
          </cell>
          <cell r="H32" t="str">
            <v>c</v>
          </cell>
          <cell r="I32" t="str">
            <v>c</v>
          </cell>
          <cell r="J32" t="str">
            <v>c</v>
          </cell>
          <cell r="K32">
            <v>1.1000000000000014</v>
          </cell>
          <cell r="L32">
            <v>1.0500000000000007</v>
          </cell>
          <cell r="M32">
            <v>0.94999999999999929</v>
          </cell>
          <cell r="N32">
            <v>0.90000000000000036</v>
          </cell>
          <cell r="O32">
            <v>1.0555986954496039</v>
          </cell>
          <cell r="P32" t="str">
            <v>c</v>
          </cell>
          <cell r="Q32" t="str">
            <v>g</v>
          </cell>
          <cell r="R32" t="str">
            <v>c</v>
          </cell>
          <cell r="S32" t="str">
            <v>c</v>
          </cell>
          <cell r="T32" t="str">
            <v>c</v>
          </cell>
          <cell r="U32">
            <v>1.1000000000000014</v>
          </cell>
          <cell r="V32">
            <v>1.0500000000000007</v>
          </cell>
          <cell r="W32">
            <v>0.94999999999999929</v>
          </cell>
          <cell r="X32">
            <v>0.90000000000000036</v>
          </cell>
          <cell r="Y32">
            <v>1.0295196234308392</v>
          </cell>
          <cell r="Z32" t="str">
            <v>c</v>
          </cell>
          <cell r="AA32" t="str">
            <v>c</v>
          </cell>
          <cell r="AB32" t="str">
            <v>g</v>
          </cell>
          <cell r="AC32" t="str">
            <v>c</v>
          </cell>
          <cell r="AD32" t="str">
            <v>c</v>
          </cell>
          <cell r="AE32">
            <v>1.1000000000000014</v>
          </cell>
          <cell r="AF32">
            <v>1.0500000000000007</v>
          </cell>
          <cell r="AG32">
            <v>0.94999999999999929</v>
          </cell>
          <cell r="AH32">
            <v>0.90000000000000036</v>
          </cell>
          <cell r="AI32">
            <v>1.0279794279462473</v>
          </cell>
          <cell r="AJ32" t="str">
            <v>c</v>
          </cell>
          <cell r="AK32" t="str">
            <v>c</v>
          </cell>
          <cell r="AL32" t="str">
            <v>g</v>
          </cell>
          <cell r="AM32" t="str">
            <v>c</v>
          </cell>
          <cell r="AN32" t="str">
            <v>c</v>
          </cell>
          <cell r="AO32">
            <v>1.1000000000000014</v>
          </cell>
          <cell r="AP32">
            <v>1.0500000000000007</v>
          </cell>
          <cell r="AQ32">
            <v>0.94999999999999929</v>
          </cell>
          <cell r="AR32">
            <v>0.90000000000000036</v>
          </cell>
          <cell r="AT32">
            <v>39569</v>
          </cell>
          <cell r="AU32" t="str">
            <v>DINAMITAS</v>
          </cell>
          <cell r="AV32">
            <v>2179756.92</v>
          </cell>
          <cell r="AW32">
            <v>2896928</v>
          </cell>
          <cell r="AX32">
            <v>0</v>
          </cell>
          <cell r="AY32">
            <v>717171.08000000007</v>
          </cell>
          <cell r="AZ32">
            <v>0.32901424623072195</v>
          </cell>
          <cell r="BA32">
            <v>2896928</v>
          </cell>
          <cell r="BB32" t="e">
            <v>#DIV/0!</v>
          </cell>
          <cell r="BC32"/>
          <cell r="BD32">
            <v>1199500</v>
          </cell>
          <cell r="BE32">
            <v>1189475</v>
          </cell>
          <cell r="BF32">
            <v>0</v>
          </cell>
          <cell r="BG32">
            <v>-10025</v>
          </cell>
          <cell r="BH32">
            <v>-8.3576490204251286E-3</v>
          </cell>
          <cell r="BI32">
            <v>1189475</v>
          </cell>
          <cell r="BJ32">
            <v>-1</v>
          </cell>
          <cell r="BK32"/>
          <cell r="BL32">
            <v>9168411.0899999999</v>
          </cell>
          <cell r="BM32">
            <v>12999605.289999999</v>
          </cell>
          <cell r="BN32">
            <v>0</v>
          </cell>
          <cell r="BO32">
            <v>3831194.1999999993</v>
          </cell>
          <cell r="BP32">
            <v>0.41786893741912268</v>
          </cell>
          <cell r="BQ32">
            <v>12999605.289999999</v>
          </cell>
          <cell r="BR32" t="str">
            <v/>
          </cell>
          <cell r="BS32">
            <v>0</v>
          </cell>
          <cell r="BT32" t="e">
            <v>#DIV/0!</v>
          </cell>
          <cell r="BU32">
            <v>5155480</v>
          </cell>
          <cell r="BV32">
            <v>5731525</v>
          </cell>
          <cell r="BW32">
            <v>0</v>
          </cell>
          <cell r="BX32">
            <v>576045</v>
          </cell>
          <cell r="BY32">
            <v>0.1117345038677291</v>
          </cell>
          <cell r="BZ32">
            <v>5731525</v>
          </cell>
          <cell r="CA32" t="str">
            <v/>
          </cell>
          <cell r="CB32">
            <v>0</v>
          </cell>
          <cell r="CC32" t="str">
            <v/>
          </cell>
        </row>
        <row r="33">
          <cell r="B33">
            <v>39600</v>
          </cell>
          <cell r="C33">
            <v>39600</v>
          </cell>
          <cell r="D33" t="str">
            <v>DINAMITAS</v>
          </cell>
          <cell r="E33">
            <v>1.0851063865222379</v>
          </cell>
          <cell r="F33" t="str">
            <v>c</v>
          </cell>
          <cell r="G33" t="str">
            <v>g</v>
          </cell>
          <cell r="H33" t="str">
            <v>c</v>
          </cell>
          <cell r="I33" t="str">
            <v>c</v>
          </cell>
          <cell r="J33" t="str">
            <v>c</v>
          </cell>
          <cell r="K33">
            <v>1.1000000000000014</v>
          </cell>
          <cell r="L33">
            <v>1.0500000000000007</v>
          </cell>
          <cell r="M33">
            <v>0.94999999999999929</v>
          </cell>
          <cell r="N33">
            <v>0.89999999999999858</v>
          </cell>
          <cell r="O33">
            <v>1.0809524798969394</v>
          </cell>
          <cell r="P33" t="str">
            <v>c</v>
          </cell>
          <cell r="Q33" t="str">
            <v>g</v>
          </cell>
          <cell r="R33" t="str">
            <v>c</v>
          </cell>
          <cell r="S33" t="str">
            <v>c</v>
          </cell>
          <cell r="T33" t="str">
            <v>c</v>
          </cell>
          <cell r="U33">
            <v>1.1000000000000014</v>
          </cell>
          <cell r="V33">
            <v>1.0500000000000007</v>
          </cell>
          <cell r="W33">
            <v>0.94999999999999929</v>
          </cell>
          <cell r="X33">
            <v>0.89999999999999858</v>
          </cell>
          <cell r="Y33">
            <v>1.0399410298376512</v>
          </cell>
          <cell r="Z33" t="str">
            <v>c</v>
          </cell>
          <cell r="AA33" t="str">
            <v>c</v>
          </cell>
          <cell r="AB33" t="str">
            <v>g</v>
          </cell>
          <cell r="AC33" t="str">
            <v>c</v>
          </cell>
          <cell r="AD33" t="str">
            <v>c</v>
          </cell>
          <cell r="AE33">
            <v>1.1000000000000014</v>
          </cell>
          <cell r="AF33">
            <v>1.0500000000000007</v>
          </cell>
          <cell r="AG33">
            <v>0.94999999999999929</v>
          </cell>
          <cell r="AH33">
            <v>0.89999999999999858</v>
          </cell>
          <cell r="AI33">
            <v>1.0373817988699898</v>
          </cell>
          <cell r="AJ33" t="str">
            <v>c</v>
          </cell>
          <cell r="AK33" t="str">
            <v>c</v>
          </cell>
          <cell r="AL33" t="str">
            <v>g</v>
          </cell>
          <cell r="AM33" t="str">
            <v>c</v>
          </cell>
          <cell r="AN33" t="str">
            <v>c</v>
          </cell>
          <cell r="AO33">
            <v>1.1000000000000014</v>
          </cell>
          <cell r="AP33">
            <v>1.0500000000000007</v>
          </cell>
          <cell r="AQ33">
            <v>0.94999999999999929</v>
          </cell>
          <cell r="AR33">
            <v>0.89999999999999858</v>
          </cell>
          <cell r="AT33">
            <v>39600</v>
          </cell>
          <cell r="AU33" t="str">
            <v>DINAMITAS</v>
          </cell>
          <cell r="AV33">
            <v>2899010.0600000005</v>
          </cell>
          <cell r="AW33">
            <v>3161467.6680332571</v>
          </cell>
          <cell r="AX33">
            <v>0</v>
          </cell>
          <cell r="AY33">
            <v>262457.60803325661</v>
          </cell>
          <cell r="AZ33">
            <v>9.0533527859940177E-2</v>
          </cell>
          <cell r="BA33">
            <v>3161467.6680332571</v>
          </cell>
          <cell r="BB33" t="e">
            <v>#DIV/0!</v>
          </cell>
          <cell r="BC33"/>
          <cell r="BD33">
            <v>1480955</v>
          </cell>
          <cell r="BE33">
            <v>1300575</v>
          </cell>
          <cell r="BF33">
            <v>0</v>
          </cell>
          <cell r="BG33">
            <v>-180380</v>
          </cell>
          <cell r="BH33">
            <v>-0.12179978459845164</v>
          </cell>
          <cell r="BI33">
            <v>1300575</v>
          </cell>
          <cell r="BJ33">
            <v>-1</v>
          </cell>
          <cell r="BK33"/>
          <cell r="BL33">
            <v>12067421.15</v>
          </cell>
          <cell r="BM33">
            <v>16161072.958033256</v>
          </cell>
          <cell r="BN33">
            <v>0</v>
          </cell>
          <cell r="BO33">
            <v>4093651.8080332559</v>
          </cell>
          <cell r="BP33">
            <v>0.33923170138412351</v>
          </cell>
          <cell r="BQ33">
            <v>16161072.958033256</v>
          </cell>
          <cell r="BR33" t="str">
            <v/>
          </cell>
          <cell r="BS33">
            <v>0</v>
          </cell>
          <cell r="BT33" t="e">
            <v>#DIV/0!</v>
          </cell>
          <cell r="BU33">
            <v>6636435</v>
          </cell>
          <cell r="BV33">
            <v>7032100</v>
          </cell>
          <cell r="BW33">
            <v>0</v>
          </cell>
          <cell r="BX33">
            <v>395665</v>
          </cell>
          <cell r="BY33">
            <v>5.9620112304271888E-2</v>
          </cell>
          <cell r="BZ33">
            <v>7032100</v>
          </cell>
          <cell r="CA33" t="str">
            <v/>
          </cell>
          <cell r="CB33">
            <v>0</v>
          </cell>
          <cell r="CC33" t="str">
            <v/>
          </cell>
        </row>
        <row r="34">
          <cell r="B34">
            <v>39630</v>
          </cell>
          <cell r="C34">
            <v>39630</v>
          </cell>
          <cell r="D34" t="str">
            <v>DINAMITAS</v>
          </cell>
          <cell r="E34">
            <v>0.89129356119611436</v>
          </cell>
          <cell r="F34" t="str">
            <v>c</v>
          </cell>
          <cell r="G34" t="str">
            <v>c</v>
          </cell>
          <cell r="H34" t="str">
            <v>c</v>
          </cell>
          <cell r="I34" t="str">
            <v>c</v>
          </cell>
          <cell r="J34" t="str">
            <v>g</v>
          </cell>
          <cell r="K34">
            <v>1.1000000000000014</v>
          </cell>
          <cell r="L34">
            <v>1.0500000000000007</v>
          </cell>
          <cell r="M34">
            <v>0.94999999999999929</v>
          </cell>
          <cell r="N34">
            <v>0.89999999999999858</v>
          </cell>
          <cell r="O34">
            <v>0.85451881312470568</v>
          </cell>
          <cell r="P34" t="str">
            <v>c</v>
          </cell>
          <cell r="Q34" t="str">
            <v>c</v>
          </cell>
          <cell r="R34" t="str">
            <v>c</v>
          </cell>
          <cell r="S34" t="str">
            <v>c</v>
          </cell>
          <cell r="T34" t="str">
            <v>g</v>
          </cell>
          <cell r="U34">
            <v>1.1000000000000014</v>
          </cell>
          <cell r="V34">
            <v>1.0500000000000007</v>
          </cell>
          <cell r="W34">
            <v>0.94999999999999929</v>
          </cell>
          <cell r="X34">
            <v>0.89999999999999858</v>
          </cell>
          <cell r="Y34">
            <v>1.0140238843876079</v>
          </cell>
          <cell r="Z34" t="str">
            <v>c</v>
          </cell>
          <cell r="AA34" t="str">
            <v>c</v>
          </cell>
          <cell r="AB34" t="str">
            <v>g</v>
          </cell>
          <cell r="AC34" t="str">
            <v>c</v>
          </cell>
          <cell r="AD34" t="str">
            <v>c</v>
          </cell>
          <cell r="AE34">
            <v>1.1000000000000014</v>
          </cell>
          <cell r="AF34">
            <v>1.0500000000000007</v>
          </cell>
          <cell r="AG34">
            <v>0.94999999999999929</v>
          </cell>
          <cell r="AH34">
            <v>0.89999999999999858</v>
          </cell>
          <cell r="AI34">
            <v>1.005467691605145</v>
          </cell>
          <cell r="AJ34" t="str">
            <v>c</v>
          </cell>
          <cell r="AK34" t="str">
            <v>c</v>
          </cell>
          <cell r="AL34" t="str">
            <v>g</v>
          </cell>
          <cell r="AM34" t="str">
            <v>c</v>
          </cell>
          <cell r="AN34" t="str">
            <v>c</v>
          </cell>
          <cell r="AO34">
            <v>1.1000000000000014</v>
          </cell>
          <cell r="AP34">
            <v>1.0500000000000007</v>
          </cell>
          <cell r="AQ34">
            <v>0.94999999999999929</v>
          </cell>
          <cell r="AR34">
            <v>0.89999999999999858</v>
          </cell>
          <cell r="AT34">
            <v>39630</v>
          </cell>
          <cell r="AU34" t="str">
            <v>DINAMITAS</v>
          </cell>
          <cell r="AV34">
            <v>2202631.540000001</v>
          </cell>
          <cell r="AW34">
            <v>2924943.8608482331</v>
          </cell>
          <cell r="AX34">
            <v>0</v>
          </cell>
          <cell r="AY34">
            <v>722312.32084823214</v>
          </cell>
          <cell r="AZ34">
            <v>0.32793152541901405</v>
          </cell>
          <cell r="BA34">
            <v>2924943.8608482331</v>
          </cell>
          <cell r="BB34" t="e">
            <v>#DIV/0!</v>
          </cell>
          <cell r="BC34"/>
          <cell r="BD34">
            <v>1367405</v>
          </cell>
          <cell r="BE34">
            <v>1224675</v>
          </cell>
          <cell r="BF34">
            <v>0</v>
          </cell>
          <cell r="BG34">
            <v>-142730</v>
          </cell>
          <cell r="BH34">
            <v>-0.1043801946021844</v>
          </cell>
          <cell r="BI34">
            <v>1224675</v>
          </cell>
          <cell r="BJ34">
            <v>-1</v>
          </cell>
          <cell r="BK34"/>
          <cell r="BL34">
            <v>14270052.690000001</v>
          </cell>
          <cell r="BM34">
            <v>19086016.818881489</v>
          </cell>
          <cell r="BN34">
            <v>0</v>
          </cell>
          <cell r="BO34">
            <v>4815964.128881488</v>
          </cell>
          <cell r="BP34">
            <v>0.33748748049517441</v>
          </cell>
          <cell r="BQ34">
            <v>19086016.818881489</v>
          </cell>
          <cell r="BR34" t="str">
            <v/>
          </cell>
          <cell r="BS34">
            <v>0</v>
          </cell>
          <cell r="BT34" t="e">
            <v>#DIV/0!</v>
          </cell>
          <cell r="BU34">
            <v>8003840</v>
          </cell>
          <cell r="BV34">
            <v>8256775</v>
          </cell>
          <cell r="BW34">
            <v>0</v>
          </cell>
          <cell r="BX34">
            <v>252935</v>
          </cell>
          <cell r="BY34">
            <v>3.1601706181033196E-2</v>
          </cell>
          <cell r="BZ34">
            <v>8256775</v>
          </cell>
          <cell r="CA34" t="str">
            <v/>
          </cell>
          <cell r="CB34">
            <v>0</v>
          </cell>
          <cell r="CC34" t="str">
            <v/>
          </cell>
        </row>
        <row r="35">
          <cell r="B35">
            <v>39661</v>
          </cell>
          <cell r="C35">
            <v>39661</v>
          </cell>
          <cell r="D35" t="str">
            <v>DINAMITAS</v>
          </cell>
          <cell r="E35">
            <v>1.0218141799469422</v>
          </cell>
          <cell r="F35" t="str">
            <v>c</v>
          </cell>
          <cell r="G35" t="str">
            <v>c</v>
          </cell>
          <cell r="H35" t="str">
            <v>g</v>
          </cell>
          <cell r="I35" t="str">
            <v>c</v>
          </cell>
          <cell r="J35" t="str">
            <v>c</v>
          </cell>
          <cell r="K35">
            <v>1.1000000000000014</v>
          </cell>
          <cell r="L35">
            <v>1.0500000000000007</v>
          </cell>
          <cell r="M35">
            <v>0.94999999999999929</v>
          </cell>
          <cell r="N35">
            <v>0.89999999999999858</v>
          </cell>
          <cell r="O35">
            <v>1.0475525377111179</v>
          </cell>
          <cell r="P35" t="str">
            <v>c</v>
          </cell>
          <cell r="Q35" t="str">
            <v>c</v>
          </cell>
          <cell r="R35" t="str">
            <v>g</v>
          </cell>
          <cell r="S35" t="str">
            <v>c</v>
          </cell>
          <cell r="T35" t="str">
            <v>c</v>
          </cell>
          <cell r="U35">
            <v>1.1000000000000014</v>
          </cell>
          <cell r="V35">
            <v>1.0500000000000007</v>
          </cell>
          <cell r="W35">
            <v>0.94999999999999929</v>
          </cell>
          <cell r="X35">
            <v>0.89999999999999858</v>
          </cell>
          <cell r="Y35">
            <v>1.0150507173903618</v>
          </cell>
          <cell r="Z35" t="str">
            <v>c</v>
          </cell>
          <cell r="AA35" t="str">
            <v>c</v>
          </cell>
          <cell r="AB35" t="str">
            <v>g</v>
          </cell>
          <cell r="AC35" t="str">
            <v>c</v>
          </cell>
          <cell r="AD35" t="str">
            <v>c</v>
          </cell>
          <cell r="AE35">
            <v>1.1000000000000014</v>
          </cell>
          <cell r="AF35">
            <v>1.0500000000000007</v>
          </cell>
          <cell r="AG35">
            <v>0.94999999999999929</v>
          </cell>
          <cell r="AH35">
            <v>0.89999999999999858</v>
          </cell>
          <cell r="AI35">
            <v>1.0106902960697361</v>
          </cell>
          <cell r="AJ35" t="str">
            <v>c</v>
          </cell>
          <cell r="AK35" t="str">
            <v>c</v>
          </cell>
          <cell r="AL35" t="str">
            <v>g</v>
          </cell>
          <cell r="AM35" t="str">
            <v>c</v>
          </cell>
          <cell r="AN35" t="str">
            <v>c</v>
          </cell>
          <cell r="AO35">
            <v>1.1000000000000014</v>
          </cell>
          <cell r="AP35">
            <v>1.0500000000000007</v>
          </cell>
          <cell r="AQ35">
            <v>0.94999999999999929</v>
          </cell>
          <cell r="AR35">
            <v>0.89999999999999858</v>
          </cell>
          <cell r="AT35">
            <v>39661</v>
          </cell>
          <cell r="AU35" t="str">
            <v>DINAMITAS</v>
          </cell>
          <cell r="AV35">
            <v>2350766.3200000003</v>
          </cell>
          <cell r="AW35">
            <v>2919912.0570150539</v>
          </cell>
          <cell r="AX35">
            <v>0</v>
          </cell>
          <cell r="AY35">
            <v>569145.73701505363</v>
          </cell>
          <cell r="AZ35">
            <v>0.24211072456366201</v>
          </cell>
          <cell r="BA35">
            <v>2919912.0570150539</v>
          </cell>
          <cell r="BB35" t="e">
            <v>#DIV/0!</v>
          </cell>
          <cell r="BC35"/>
          <cell r="BD35">
            <v>1127750</v>
          </cell>
          <cell r="BE35">
            <v>1218775</v>
          </cell>
          <cell r="BF35">
            <v>0</v>
          </cell>
          <cell r="BG35">
            <v>91025</v>
          </cell>
          <cell r="BH35">
            <v>8.0713810684992282E-2</v>
          </cell>
          <cell r="BI35">
            <v>1218775</v>
          </cell>
          <cell r="BJ35">
            <v>-1</v>
          </cell>
          <cell r="BK35"/>
          <cell r="BL35">
            <v>16620819.010000002</v>
          </cell>
          <cell r="BM35">
            <v>22005928.875896543</v>
          </cell>
          <cell r="BN35">
            <v>0</v>
          </cell>
          <cell r="BO35">
            <v>5385109.8658965416</v>
          </cell>
          <cell r="BP35">
            <v>0.32399786452500101</v>
          </cell>
          <cell r="BQ35">
            <v>22005928.875896543</v>
          </cell>
          <cell r="BR35" t="str">
            <v/>
          </cell>
          <cell r="BS35">
            <v>0</v>
          </cell>
          <cell r="BT35" t="e">
            <v>#DIV/0!</v>
          </cell>
          <cell r="BU35">
            <v>9131590</v>
          </cell>
          <cell r="BV35">
            <v>9475550</v>
          </cell>
          <cell r="BW35">
            <v>0</v>
          </cell>
          <cell r="BX35">
            <v>343960</v>
          </cell>
          <cell r="BY35">
            <v>3.7667043745941209E-2</v>
          </cell>
          <cell r="BZ35">
            <v>9475550</v>
          </cell>
          <cell r="CA35" t="str">
            <v/>
          </cell>
          <cell r="CB35">
            <v>0</v>
          </cell>
          <cell r="CC35" t="str">
            <v/>
          </cell>
        </row>
        <row r="36">
          <cell r="B36">
            <v>39692</v>
          </cell>
          <cell r="C36">
            <v>39692</v>
          </cell>
          <cell r="D36" t="str">
            <v>DINAMITAS</v>
          </cell>
          <cell r="E36">
            <v>1.0915671483259184</v>
          </cell>
          <cell r="F36" t="str">
            <v>c</v>
          </cell>
          <cell r="G36" t="str">
            <v>g</v>
          </cell>
          <cell r="H36" t="str">
            <v>c</v>
          </cell>
          <cell r="I36" t="str">
            <v>c</v>
          </cell>
          <cell r="J36" t="str">
            <v>c</v>
          </cell>
          <cell r="K36">
            <v>1.1000000000000014</v>
          </cell>
          <cell r="L36">
            <v>1.0500000000000007</v>
          </cell>
          <cell r="M36">
            <v>0.94999999999999929</v>
          </cell>
          <cell r="N36">
            <v>0.89999999999999858</v>
          </cell>
          <cell r="O36">
            <v>1.114728843551577</v>
          </cell>
          <cell r="P36" t="str">
            <v>g</v>
          </cell>
          <cell r="Q36" t="str">
            <v>c</v>
          </cell>
          <cell r="R36" t="str">
            <v>c</v>
          </cell>
          <cell r="S36" t="str">
            <v>c</v>
          </cell>
          <cell r="T36" t="str">
            <v>c</v>
          </cell>
          <cell r="U36">
            <v>1.1000000000000014</v>
          </cell>
          <cell r="V36">
            <v>1.0500000000000007</v>
          </cell>
          <cell r="W36">
            <v>0.94999999999999929</v>
          </cell>
          <cell r="X36">
            <v>0.89999999999999858</v>
          </cell>
          <cell r="Y36">
            <v>1.024140716669077</v>
          </cell>
          <cell r="Z36" t="str">
            <v>c</v>
          </cell>
          <cell r="AA36" t="str">
            <v>c</v>
          </cell>
          <cell r="AB36" t="str">
            <v>g</v>
          </cell>
          <cell r="AC36" t="str">
            <v>c</v>
          </cell>
          <cell r="AD36" t="str">
            <v>c</v>
          </cell>
          <cell r="AE36">
            <v>1.1000000000000014</v>
          </cell>
          <cell r="AF36">
            <v>1.0500000000000007</v>
          </cell>
          <cell r="AG36">
            <v>0.94999999999999929</v>
          </cell>
          <cell r="AH36">
            <v>0.89999999999999858</v>
          </cell>
          <cell r="AI36">
            <v>1.0225033565931052</v>
          </cell>
          <cell r="AJ36" t="str">
            <v>c</v>
          </cell>
          <cell r="AK36" t="str">
            <v>c</v>
          </cell>
          <cell r="AL36" t="str">
            <v>g</v>
          </cell>
          <cell r="AM36" t="str">
            <v>c</v>
          </cell>
          <cell r="AN36" t="str">
            <v>c</v>
          </cell>
          <cell r="AO36">
            <v>1.1000000000000014</v>
          </cell>
          <cell r="AP36">
            <v>1.0500000000000007</v>
          </cell>
          <cell r="AQ36">
            <v>0.94999999999999929</v>
          </cell>
          <cell r="AR36">
            <v>0.89999999999999858</v>
          </cell>
          <cell r="AT36">
            <v>39692</v>
          </cell>
          <cell r="AU36" t="str">
            <v>DINAMITAS</v>
          </cell>
          <cell r="AV36">
            <v>2394209.120000001</v>
          </cell>
          <cell r="AW36">
            <v>3190333.553108342</v>
          </cell>
          <cell r="AX36">
            <v>0</v>
          </cell>
          <cell r="AY36">
            <v>796124.43310834095</v>
          </cell>
          <cell r="AZ36">
            <v>0.33252084225138212</v>
          </cell>
          <cell r="BA36">
            <v>3190333.553108342</v>
          </cell>
          <cell r="BB36" t="e">
            <v>#DIV/0!</v>
          </cell>
          <cell r="BC36"/>
          <cell r="BD36">
            <v>1135600</v>
          </cell>
          <cell r="BE36">
            <v>1338650</v>
          </cell>
          <cell r="BF36">
            <v>0</v>
          </cell>
          <cell r="BG36">
            <v>203050</v>
          </cell>
          <cell r="BH36">
            <v>0.17880415639309621</v>
          </cell>
          <cell r="BI36">
            <v>1338650</v>
          </cell>
          <cell r="BJ36">
            <v>-1</v>
          </cell>
          <cell r="BK36"/>
          <cell r="BL36">
            <v>19015028.130000003</v>
          </cell>
          <cell r="BM36">
            <v>25196262.429004885</v>
          </cell>
          <cell r="BN36">
            <v>0</v>
          </cell>
          <cell r="BO36">
            <v>6181234.2990048826</v>
          </cell>
          <cell r="BP36">
            <v>0.32507100472035333</v>
          </cell>
          <cell r="BQ36">
            <v>25196262.429004885</v>
          </cell>
          <cell r="BR36" t="str">
            <v/>
          </cell>
          <cell r="BS36">
            <v>0</v>
          </cell>
          <cell r="BT36" t="e">
            <v>#DIV/0!</v>
          </cell>
          <cell r="BU36">
            <v>10267190</v>
          </cell>
          <cell r="BV36">
            <v>10814200</v>
          </cell>
          <cell r="BW36">
            <v>0</v>
          </cell>
          <cell r="BX36">
            <v>547010</v>
          </cell>
          <cell r="BY36">
            <v>5.32774790375945E-2</v>
          </cell>
          <cell r="BZ36">
            <v>10814200</v>
          </cell>
          <cell r="CA36" t="str">
            <v/>
          </cell>
          <cell r="CB36">
            <v>0</v>
          </cell>
          <cell r="CC36" t="str">
            <v/>
          </cell>
        </row>
        <row r="37">
          <cell r="B37">
            <v>39722</v>
          </cell>
          <cell r="C37">
            <v>39722</v>
          </cell>
          <cell r="D37" t="str">
            <v>DINAMITAS</v>
          </cell>
          <cell r="E37">
            <v>1.1305762510814663</v>
          </cell>
          <cell r="F37" t="str">
            <v>g</v>
          </cell>
          <cell r="G37" t="str">
            <v>c</v>
          </cell>
          <cell r="H37" t="str">
            <v>c</v>
          </cell>
          <cell r="I37" t="str">
            <v>c</v>
          </cell>
          <cell r="J37" t="str">
            <v>c</v>
          </cell>
          <cell r="K37">
            <v>1.1000000000000014</v>
          </cell>
          <cell r="L37">
            <v>1.0500000000000007</v>
          </cell>
          <cell r="M37">
            <v>0.94999999999999929</v>
          </cell>
          <cell r="N37">
            <v>0.89999999999999858</v>
          </cell>
          <cell r="O37">
            <v>1.103903512346182</v>
          </cell>
          <cell r="P37" t="str">
            <v>g</v>
          </cell>
          <cell r="Q37" t="str">
            <v>c</v>
          </cell>
          <cell r="R37" t="str">
            <v>c</v>
          </cell>
          <cell r="S37" t="str">
            <v>c</v>
          </cell>
          <cell r="T37" t="str">
            <v>c</v>
          </cell>
          <cell r="U37">
            <v>1.1000000000000014</v>
          </cell>
          <cell r="V37">
            <v>1.0500000000000007</v>
          </cell>
          <cell r="W37">
            <v>0.94999999999999929</v>
          </cell>
          <cell r="X37">
            <v>0.89999999999999858</v>
          </cell>
          <cell r="Y37">
            <v>1.0356971922616787</v>
          </cell>
          <cell r="Z37" t="str">
            <v>c</v>
          </cell>
          <cell r="AA37" t="str">
            <v>c</v>
          </cell>
          <cell r="AB37" t="str">
            <v>g</v>
          </cell>
          <cell r="AC37" t="str">
            <v>c</v>
          </cell>
          <cell r="AD37" t="str">
            <v>c</v>
          </cell>
          <cell r="AE37">
            <v>1.1000000000000014</v>
          </cell>
          <cell r="AF37">
            <v>1.0500000000000007</v>
          </cell>
          <cell r="AG37">
            <v>0.94999999999999929</v>
          </cell>
          <cell r="AH37">
            <v>0.89999999999999858</v>
          </cell>
          <cell r="AI37">
            <v>1.0309659163115399</v>
          </cell>
          <cell r="AJ37" t="str">
            <v>c</v>
          </cell>
          <cell r="AK37" t="str">
            <v>c</v>
          </cell>
          <cell r="AL37" t="str">
            <v>g</v>
          </cell>
          <cell r="AM37" t="str">
            <v>c</v>
          </cell>
          <cell r="AN37" t="str">
            <v>c</v>
          </cell>
          <cell r="AO37">
            <v>1.1000000000000014</v>
          </cell>
          <cell r="AP37">
            <v>1.0500000000000007</v>
          </cell>
          <cell r="AQ37">
            <v>0.94999999999999929</v>
          </cell>
          <cell r="AR37">
            <v>0.89999999999999858</v>
          </cell>
          <cell r="AT37">
            <v>39722</v>
          </cell>
          <cell r="AU37" t="str">
            <v>DINAMITAS</v>
          </cell>
          <cell r="AV37">
            <v>2814043.4800000004</v>
          </cell>
          <cell r="AW37">
            <v>3387906.2749394923</v>
          </cell>
          <cell r="AX37">
            <v>0</v>
          </cell>
          <cell r="AY37">
            <v>573862.7949394919</v>
          </cell>
          <cell r="AZ37">
            <v>0.20392819052656996</v>
          </cell>
          <cell r="BA37">
            <v>3387906.2749394923</v>
          </cell>
          <cell r="BB37" t="e">
            <v>#DIV/0!</v>
          </cell>
          <cell r="BC37"/>
          <cell r="BD37">
            <v>1355175</v>
          </cell>
          <cell r="BE37">
            <v>1354600</v>
          </cell>
          <cell r="BF37">
            <v>0</v>
          </cell>
          <cell r="BG37">
            <v>-575</v>
          </cell>
          <cell r="BH37">
            <v>-4.2429944472111014E-4</v>
          </cell>
          <cell r="BI37">
            <v>1354600</v>
          </cell>
          <cell r="BJ37">
            <v>-1</v>
          </cell>
          <cell r="BK37"/>
          <cell r="BL37">
            <v>21829071.610000003</v>
          </cell>
          <cell r="BM37">
            <v>28584168.703944378</v>
          </cell>
          <cell r="BN37">
            <v>0</v>
          </cell>
          <cell r="BO37">
            <v>6755097.0939443745</v>
          </cell>
          <cell r="BP37">
            <v>0.30945416344916077</v>
          </cell>
          <cell r="BQ37">
            <v>28584168.703944378</v>
          </cell>
          <cell r="BR37" t="str">
            <v/>
          </cell>
          <cell r="BS37">
            <v>0</v>
          </cell>
          <cell r="BT37" t="e">
            <v>#DIV/0!</v>
          </cell>
          <cell r="BU37">
            <v>11622365</v>
          </cell>
          <cell r="BV37">
            <v>12168800</v>
          </cell>
          <cell r="BW37">
            <v>0</v>
          </cell>
          <cell r="BX37">
            <v>546435</v>
          </cell>
          <cell r="BY37">
            <v>4.7015818209116711E-2</v>
          </cell>
          <cell r="BZ37">
            <v>12168800</v>
          </cell>
          <cell r="CA37" t="str">
            <v/>
          </cell>
          <cell r="CB37">
            <v>0</v>
          </cell>
          <cell r="CC37" t="str">
            <v/>
          </cell>
        </row>
        <row r="38">
          <cell r="B38">
            <v>39753</v>
          </cell>
          <cell r="C38">
            <v>39753</v>
          </cell>
          <cell r="D38" t="str">
            <v>DINAMITAS</v>
          </cell>
          <cell r="E38">
            <v>0.67040808800807594</v>
          </cell>
          <cell r="F38" t="str">
            <v>c</v>
          </cell>
          <cell r="G38" t="str">
            <v>c</v>
          </cell>
          <cell r="H38" t="str">
            <v>c</v>
          </cell>
          <cell r="I38" t="str">
            <v>c</v>
          </cell>
          <cell r="J38" t="str">
            <v>g</v>
          </cell>
          <cell r="K38">
            <v>1.1000000000000014</v>
          </cell>
          <cell r="L38">
            <v>1.0500000000000007</v>
          </cell>
          <cell r="M38">
            <v>0.94999999999999929</v>
          </cell>
          <cell r="N38">
            <v>0.89999999999999858</v>
          </cell>
          <cell r="O38">
            <v>0.609833635315434</v>
          </cell>
          <cell r="P38" t="str">
            <v>c</v>
          </cell>
          <cell r="Q38" t="str">
            <v>c</v>
          </cell>
          <cell r="R38" t="str">
            <v>c</v>
          </cell>
          <cell r="S38" t="str">
            <v>c</v>
          </cell>
          <cell r="T38" t="str">
            <v>g</v>
          </cell>
          <cell r="U38">
            <v>1.1000000000000014</v>
          </cell>
          <cell r="V38">
            <v>1.0500000000000007</v>
          </cell>
          <cell r="W38">
            <v>0.94999999999999929</v>
          </cell>
          <cell r="X38">
            <v>0.89999999999999858</v>
          </cell>
          <cell r="Y38">
            <v>0.99444802399918486</v>
          </cell>
          <cell r="Z38" t="str">
            <v>c</v>
          </cell>
          <cell r="AA38" t="str">
            <v>c</v>
          </cell>
          <cell r="AB38" t="str">
            <v>g</v>
          </cell>
          <cell r="AC38" t="str">
            <v>c</v>
          </cell>
          <cell r="AD38" t="str">
            <v>c</v>
          </cell>
          <cell r="AE38">
            <v>1.1000000000000014</v>
          </cell>
          <cell r="AF38">
            <v>1.0500000000000007</v>
          </cell>
          <cell r="AG38">
            <v>0.94999999999999929</v>
          </cell>
          <cell r="AH38">
            <v>0.89999999999999858</v>
          </cell>
          <cell r="AI38">
            <v>0.98298369873245728</v>
          </cell>
          <cell r="AJ38" t="str">
            <v>c</v>
          </cell>
          <cell r="AK38" t="str">
            <v>c</v>
          </cell>
          <cell r="AL38" t="str">
            <v>g</v>
          </cell>
          <cell r="AM38" t="str">
            <v>c</v>
          </cell>
          <cell r="AN38" t="str">
            <v>c</v>
          </cell>
          <cell r="AO38">
            <v>1.1000000000000014</v>
          </cell>
          <cell r="AP38">
            <v>1.0500000000000007</v>
          </cell>
          <cell r="AQ38">
            <v>0.94999999999999929</v>
          </cell>
          <cell r="AR38">
            <v>0.89999999999999858</v>
          </cell>
          <cell r="AT38">
            <v>39753</v>
          </cell>
          <cell r="AU38" t="str">
            <v>DINAMITAS</v>
          </cell>
          <cell r="AV38">
            <v>3346540.91</v>
          </cell>
          <cell r="AW38">
            <v>2355313.2264186367</v>
          </cell>
          <cell r="AX38">
            <v>0</v>
          </cell>
          <cell r="AY38">
            <v>-991227.68358136341</v>
          </cell>
          <cell r="AZ38">
            <v>-0.29619470080865185</v>
          </cell>
          <cell r="BA38">
            <v>2355313.2264186367</v>
          </cell>
          <cell r="BB38" t="e">
            <v>#DIV/0!</v>
          </cell>
          <cell r="BC38"/>
          <cell r="BD38">
            <v>1608045</v>
          </cell>
          <cell r="BE38">
            <v>925575</v>
          </cell>
          <cell r="BF38">
            <v>0</v>
          </cell>
          <cell r="BG38">
            <v>-682470</v>
          </cell>
          <cell r="BH38">
            <v>-0.42440976465210867</v>
          </cell>
          <cell r="BI38">
            <v>925575</v>
          </cell>
          <cell r="BJ38">
            <v>-1</v>
          </cell>
          <cell r="BK38"/>
          <cell r="BL38">
            <v>25175612.520000003</v>
          </cell>
          <cell r="BM38">
            <v>30939481.930363014</v>
          </cell>
          <cell r="BN38">
            <v>0</v>
          </cell>
          <cell r="BO38">
            <v>5763869.4103630111</v>
          </cell>
          <cell r="BP38">
            <v>0.22894654125233616</v>
          </cell>
          <cell r="BQ38">
            <v>30939481.930363014</v>
          </cell>
          <cell r="BR38" t="str">
            <v/>
          </cell>
          <cell r="BS38">
            <v>0</v>
          </cell>
          <cell r="BT38" t="e">
            <v>#DIV/0!</v>
          </cell>
          <cell r="BU38">
            <v>13230410</v>
          </cell>
          <cell r="BV38">
            <v>13094375</v>
          </cell>
          <cell r="BW38">
            <v>0</v>
          </cell>
          <cell r="BX38">
            <v>-136035</v>
          </cell>
          <cell r="BY38">
            <v>-1.0281994284379703E-2</v>
          </cell>
          <cell r="BZ38">
            <v>13094375</v>
          </cell>
          <cell r="CA38" t="str">
            <v/>
          </cell>
          <cell r="CB38">
            <v>0</v>
          </cell>
          <cell r="CC38" t="str">
            <v/>
          </cell>
        </row>
        <row r="39">
          <cell r="B39">
            <v>39783</v>
          </cell>
          <cell r="C39">
            <v>39783</v>
          </cell>
          <cell r="D39" t="str">
            <v>DINAMITAS</v>
          </cell>
          <cell r="E39">
            <v>0.68020317020701537</v>
          </cell>
          <cell r="F39" t="str">
            <v>c</v>
          </cell>
          <cell r="G39" t="str">
            <v>c</v>
          </cell>
          <cell r="H39" t="str">
            <v>c</v>
          </cell>
          <cell r="I39" t="str">
            <v>c</v>
          </cell>
          <cell r="J39" t="str">
            <v>g</v>
          </cell>
          <cell r="K39">
            <v>1.1000000000000014</v>
          </cell>
          <cell r="L39">
            <v>1.0500000000000007</v>
          </cell>
          <cell r="M39">
            <v>0.94999999999999929</v>
          </cell>
          <cell r="N39">
            <v>0.89999999999999858</v>
          </cell>
          <cell r="O39">
            <v>0.6429618035898631</v>
          </cell>
          <cell r="P39" t="str">
            <v>c</v>
          </cell>
          <cell r="Q39" t="str">
            <v>c</v>
          </cell>
          <cell r="R39" t="str">
            <v>c</v>
          </cell>
          <cell r="S39" t="str">
            <v>c</v>
          </cell>
          <cell r="T39" t="str">
            <v>g</v>
          </cell>
          <cell r="U39">
            <v>1.1000000000000014</v>
          </cell>
          <cell r="V39">
            <v>1.0500000000000007</v>
          </cell>
          <cell r="W39">
            <v>0.94999999999999929</v>
          </cell>
          <cell r="X39">
            <v>0.89999999999999858</v>
          </cell>
          <cell r="Y39">
            <v>0.96234746644526714</v>
          </cell>
          <cell r="Z39" t="str">
            <v>c</v>
          </cell>
          <cell r="AA39" t="str">
            <v>c</v>
          </cell>
          <cell r="AB39" t="str">
            <v>g</v>
          </cell>
          <cell r="AC39" t="str">
            <v>c</v>
          </cell>
          <cell r="AD39" t="str">
            <v>c</v>
          </cell>
          <cell r="AE39">
            <v>1.1000000000000014</v>
          </cell>
          <cell r="AF39">
            <v>1.0500000000000007</v>
          </cell>
          <cell r="AG39">
            <v>0.94999999999999929</v>
          </cell>
          <cell r="AH39">
            <v>0.89999999999999858</v>
          </cell>
          <cell r="AI39">
            <v>0.94854106932029014</v>
          </cell>
          <cell r="AJ39" t="str">
            <v>c</v>
          </cell>
          <cell r="AK39" t="str">
            <v>c</v>
          </cell>
          <cell r="AL39" t="str">
            <v>c</v>
          </cell>
          <cell r="AM39" t="str">
            <v>g</v>
          </cell>
          <cell r="AN39" t="str">
            <v>c</v>
          </cell>
          <cell r="AO39">
            <v>1.1000000000000014</v>
          </cell>
          <cell r="AP39">
            <v>1.0500000000000007</v>
          </cell>
          <cell r="AQ39">
            <v>0.94999999999999929</v>
          </cell>
          <cell r="AR39">
            <v>0.89999999999999858</v>
          </cell>
          <cell r="AT39">
            <v>39783</v>
          </cell>
          <cell r="AU39" t="str">
            <v>DINAMITAS</v>
          </cell>
          <cell r="AV39">
            <v>3010388.8599999994</v>
          </cell>
          <cell r="AW39">
            <v>2407747.2778083906</v>
          </cell>
          <cell r="AX39">
            <v>0</v>
          </cell>
          <cell r="AY39">
            <v>-602641.58219160885</v>
          </cell>
          <cell r="AZ39">
            <v>-0.20018728816037701</v>
          </cell>
          <cell r="BA39">
            <v>2407747.2778083906</v>
          </cell>
          <cell r="BB39" t="e">
            <v>#DIV/0!</v>
          </cell>
          <cell r="BC39"/>
          <cell r="BD39">
            <v>1419200</v>
          </cell>
          <cell r="BE39">
            <v>965375</v>
          </cell>
          <cell r="BF39">
            <v>0</v>
          </cell>
          <cell r="BG39">
            <v>-453825</v>
          </cell>
          <cell r="BH39">
            <v>-0.31977522547914317</v>
          </cell>
          <cell r="BI39">
            <v>965375</v>
          </cell>
          <cell r="BJ39">
            <v>-1</v>
          </cell>
          <cell r="BK39"/>
          <cell r="BL39">
            <v>28186001.380000003</v>
          </cell>
          <cell r="BM39">
            <v>33347229.208171405</v>
          </cell>
          <cell r="BN39">
            <v>0</v>
          </cell>
          <cell r="BO39">
            <v>5161227.8281714022</v>
          </cell>
          <cell r="BP39">
            <v>0.18311316169287006</v>
          </cell>
          <cell r="BQ39">
            <v>33347229.208171405</v>
          </cell>
          <cell r="BR39" t="str">
            <v/>
          </cell>
          <cell r="BS39">
            <v>0</v>
          </cell>
          <cell r="BT39" t="e">
            <v>#DIV/0!</v>
          </cell>
          <cell r="BU39">
            <v>14649610</v>
          </cell>
          <cell r="BV39">
            <v>14059750</v>
          </cell>
          <cell r="BW39">
            <v>0</v>
          </cell>
          <cell r="BX39">
            <v>-589860</v>
          </cell>
          <cell r="BY39">
            <v>-4.0264553117796309E-2</v>
          </cell>
          <cell r="BZ39">
            <v>14059750</v>
          </cell>
          <cell r="CA39" t="str">
            <v/>
          </cell>
          <cell r="CB39">
            <v>0</v>
          </cell>
          <cell r="CC39" t="str">
            <v/>
          </cell>
        </row>
        <row r="40">
          <cell r="B40">
            <v>39814</v>
          </cell>
          <cell r="C40"/>
          <cell r="D40" t="str">
            <v>DINAMITAS</v>
          </cell>
          <cell r="E40" t="str">
            <v/>
          </cell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  <cell r="L40" t="str">
            <v/>
          </cell>
          <cell r="M40" t="str">
            <v/>
          </cell>
          <cell r="N40" t="str">
            <v/>
          </cell>
          <cell r="O40" t="str">
            <v/>
          </cell>
          <cell r="P40" t="str">
            <v/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 t="str">
            <v/>
          </cell>
          <cell r="AA40" t="str">
            <v/>
          </cell>
          <cell r="AB40" t="str">
            <v/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 t="str">
            <v/>
          </cell>
          <cell r="AJ40" t="str">
            <v/>
          </cell>
          <cell r="AK40" t="str">
            <v/>
          </cell>
          <cell r="AL40" t="str">
            <v/>
          </cell>
          <cell r="AM40" t="str">
            <v/>
          </cell>
          <cell r="AN40" t="str">
            <v/>
          </cell>
          <cell r="AO40" t="str">
            <v/>
          </cell>
          <cell r="AP40" t="str">
            <v/>
          </cell>
          <cell r="AQ40" t="str">
            <v/>
          </cell>
          <cell r="AR40" t="str">
            <v/>
          </cell>
          <cell r="AT40">
            <v>39814</v>
          </cell>
          <cell r="AU40" t="str">
            <v>DINAMITAS</v>
          </cell>
          <cell r="AV40">
            <v>2405434.8099999987</v>
          </cell>
          <cell r="AW40" t="str">
            <v/>
          </cell>
          <cell r="AX40" t="str">
            <v/>
          </cell>
          <cell r="AY40" t="str">
            <v/>
          </cell>
          <cell r="AZ40" t="str">
            <v/>
          </cell>
          <cell r="BA40" t="str">
            <v/>
          </cell>
          <cell r="BB40" t="str">
            <v/>
          </cell>
          <cell r="BC40"/>
          <cell r="BD40">
            <v>1118650</v>
          </cell>
          <cell r="BE40" t="str">
            <v/>
          </cell>
          <cell r="BF40" t="str">
            <v/>
          </cell>
          <cell r="BG40" t="str">
            <v/>
          </cell>
          <cell r="BH40" t="str">
            <v/>
          </cell>
          <cell r="BI40" t="str">
            <v/>
          </cell>
          <cell r="BJ40" t="str">
            <v/>
          </cell>
          <cell r="BK40"/>
          <cell r="BL40">
            <v>2405434.8099999987</v>
          </cell>
          <cell r="BM40" t="str">
            <v/>
          </cell>
          <cell r="BN40" t="str">
            <v/>
          </cell>
          <cell r="BO40" t="str">
            <v/>
          </cell>
          <cell r="BP40" t="str">
            <v/>
          </cell>
          <cell r="BQ40" t="str">
            <v/>
          </cell>
          <cell r="BR40" t="str">
            <v/>
          </cell>
          <cell r="BS40">
            <v>0</v>
          </cell>
          <cell r="BT40" t="str">
            <v/>
          </cell>
          <cell r="BU40">
            <v>1118650</v>
          </cell>
          <cell r="BV40" t="str">
            <v/>
          </cell>
          <cell r="BW40" t="str">
            <v/>
          </cell>
          <cell r="BX40" t="str">
            <v/>
          </cell>
          <cell r="BY40" t="str">
            <v/>
          </cell>
          <cell r="BZ40" t="str">
            <v/>
          </cell>
          <cell r="CA40" t="str">
            <v/>
          </cell>
          <cell r="CB40">
            <v>0</v>
          </cell>
          <cell r="CC40" t="str">
            <v/>
          </cell>
        </row>
        <row r="41">
          <cell r="B41">
            <v>39845</v>
          </cell>
          <cell r="C41"/>
          <cell r="D41" t="str">
            <v>DINAMITAS</v>
          </cell>
          <cell r="E41" t="str">
            <v/>
          </cell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  <cell r="J41" t="str">
            <v/>
          </cell>
          <cell r="K41" t="str">
            <v/>
          </cell>
          <cell r="L41" t="str">
            <v/>
          </cell>
          <cell r="M41" t="str">
            <v/>
          </cell>
          <cell r="N41" t="str">
            <v/>
          </cell>
          <cell r="O41" t="str">
            <v/>
          </cell>
          <cell r="P41" t="str">
            <v/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 t="str">
            <v/>
          </cell>
          <cell r="V41" t="str">
            <v/>
          </cell>
          <cell r="W41" t="str">
            <v/>
          </cell>
          <cell r="X41" t="str">
            <v/>
          </cell>
          <cell r="Y41" t="str">
            <v/>
          </cell>
          <cell r="Z41" t="str">
            <v/>
          </cell>
          <cell r="AA41" t="str">
            <v/>
          </cell>
          <cell r="AB41" t="str">
            <v/>
          </cell>
          <cell r="AC41" t="str">
            <v/>
          </cell>
          <cell r="AD41" t="str">
            <v/>
          </cell>
          <cell r="AE41"/>
          <cell r="AF41"/>
          <cell r="AG41"/>
          <cell r="AH41"/>
          <cell r="AI41" t="str">
            <v/>
          </cell>
          <cell r="AJ41" t="str">
            <v/>
          </cell>
          <cell r="AK41" t="str">
            <v/>
          </cell>
          <cell r="AL41" t="str">
            <v/>
          </cell>
          <cell r="AM41" t="str">
            <v/>
          </cell>
          <cell r="AN41" t="str">
            <v/>
          </cell>
          <cell r="AO41"/>
          <cell r="AP41"/>
          <cell r="AQ41"/>
          <cell r="AR41"/>
          <cell r="AT41">
            <v>39845</v>
          </cell>
          <cell r="AU41" t="str">
            <v>DINAMITAS</v>
          </cell>
          <cell r="AV41">
            <v>2299885.870000001</v>
          </cell>
          <cell r="AW41" t="str">
            <v/>
          </cell>
          <cell r="AX41" t="str">
            <v/>
          </cell>
          <cell r="AY41" t="str">
            <v/>
          </cell>
          <cell r="AZ41" t="str">
            <v/>
          </cell>
          <cell r="BA41" t="str">
            <v/>
          </cell>
          <cell r="BB41" t="str">
            <v/>
          </cell>
          <cell r="BC41"/>
          <cell r="BD41">
            <v>1093350</v>
          </cell>
          <cell r="BE41" t="str">
            <v/>
          </cell>
          <cell r="BF41" t="str">
            <v/>
          </cell>
          <cell r="BG41" t="str">
            <v/>
          </cell>
          <cell r="BH41" t="str">
            <v/>
          </cell>
          <cell r="BI41" t="str">
            <v/>
          </cell>
          <cell r="BJ41" t="str">
            <v/>
          </cell>
          <cell r="BK41"/>
          <cell r="BL41">
            <v>4705320.68</v>
          </cell>
          <cell r="BM41" t="str">
            <v/>
          </cell>
          <cell r="BN41" t="str">
            <v/>
          </cell>
          <cell r="BO41" t="str">
            <v/>
          </cell>
          <cell r="BP41" t="str">
            <v/>
          </cell>
          <cell r="BQ41" t="str">
            <v/>
          </cell>
          <cell r="BR41" t="str">
            <v/>
          </cell>
          <cell r="BS41">
            <v>0</v>
          </cell>
          <cell r="BT41"/>
          <cell r="BU41">
            <v>2212000</v>
          </cell>
          <cell r="BV41" t="str">
            <v/>
          </cell>
          <cell r="BW41" t="str">
            <v/>
          </cell>
          <cell r="BX41" t="str">
            <v/>
          </cell>
          <cell r="BY41" t="str">
            <v/>
          </cell>
          <cell r="BZ41" t="str">
            <v/>
          </cell>
          <cell r="CA41" t="str">
            <v/>
          </cell>
          <cell r="CB41">
            <v>0</v>
          </cell>
          <cell r="CC41"/>
        </row>
        <row r="42">
          <cell r="B42">
            <v>39873</v>
          </cell>
          <cell r="C42"/>
          <cell r="D42" t="str">
            <v>DINAMITAS</v>
          </cell>
          <cell r="E42" t="str">
            <v/>
          </cell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  <cell r="J42" t="str">
            <v/>
          </cell>
          <cell r="K42" t="str">
            <v/>
          </cell>
          <cell r="L42" t="str">
            <v/>
          </cell>
          <cell r="M42" t="str">
            <v/>
          </cell>
          <cell r="N42" t="str">
            <v/>
          </cell>
          <cell r="O42" t="str">
            <v/>
          </cell>
          <cell r="P42" t="str">
            <v/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 t="str">
            <v/>
          </cell>
          <cell r="V42" t="str">
            <v/>
          </cell>
          <cell r="W42" t="str">
            <v/>
          </cell>
          <cell r="X42" t="str">
            <v/>
          </cell>
          <cell r="Y42" t="str">
            <v/>
          </cell>
          <cell r="Z42" t="str">
            <v/>
          </cell>
          <cell r="AA42" t="str">
            <v/>
          </cell>
          <cell r="AB42" t="str">
            <v/>
          </cell>
          <cell r="AC42" t="str">
            <v/>
          </cell>
          <cell r="AD42" t="str">
            <v/>
          </cell>
          <cell r="AE42"/>
          <cell r="AF42"/>
          <cell r="AG42"/>
          <cell r="AH42"/>
          <cell r="AI42" t="str">
            <v/>
          </cell>
          <cell r="AJ42" t="str">
            <v/>
          </cell>
          <cell r="AK42" t="str">
            <v/>
          </cell>
          <cell r="AL42" t="str">
            <v/>
          </cell>
          <cell r="AM42" t="str">
            <v/>
          </cell>
          <cell r="AN42" t="str">
            <v/>
          </cell>
          <cell r="AO42"/>
          <cell r="AP42"/>
          <cell r="AQ42"/>
          <cell r="AR42"/>
          <cell r="AT42">
            <v>39873</v>
          </cell>
          <cell r="AU42" t="str">
            <v>DINAMITAS</v>
          </cell>
          <cell r="AV42">
            <v>2379388.6099999994</v>
          </cell>
          <cell r="AW42" t="str">
            <v/>
          </cell>
          <cell r="AX42" t="str">
            <v/>
          </cell>
          <cell r="AY42" t="str">
            <v/>
          </cell>
          <cell r="AZ42" t="str">
            <v/>
          </cell>
          <cell r="BA42" t="str">
            <v/>
          </cell>
          <cell r="BB42" t="str">
            <v/>
          </cell>
          <cell r="BC42"/>
          <cell r="BD42">
            <v>1069125</v>
          </cell>
          <cell r="BE42" t="str">
            <v/>
          </cell>
          <cell r="BF42" t="str">
            <v/>
          </cell>
          <cell r="BG42" t="str">
            <v/>
          </cell>
          <cell r="BH42" t="str">
            <v/>
          </cell>
          <cell r="BI42" t="str">
            <v/>
          </cell>
          <cell r="BJ42" t="str">
            <v/>
          </cell>
          <cell r="BK42"/>
          <cell r="BL42">
            <v>7084709.2899999991</v>
          </cell>
          <cell r="BM42" t="str">
            <v/>
          </cell>
          <cell r="BN42" t="str">
            <v/>
          </cell>
          <cell r="BO42" t="str">
            <v/>
          </cell>
          <cell r="BP42" t="str">
            <v/>
          </cell>
          <cell r="BQ42" t="str">
            <v/>
          </cell>
          <cell r="BR42" t="str">
            <v/>
          </cell>
          <cell r="BS42">
            <v>0</v>
          </cell>
          <cell r="BT42"/>
          <cell r="BU42">
            <v>3281125</v>
          </cell>
          <cell r="BV42" t="str">
            <v/>
          </cell>
          <cell r="BW42" t="str">
            <v/>
          </cell>
          <cell r="BX42" t="str">
            <v/>
          </cell>
          <cell r="BY42" t="str">
            <v/>
          </cell>
          <cell r="BZ42" t="str">
            <v/>
          </cell>
          <cell r="CA42" t="str">
            <v/>
          </cell>
          <cell r="CB42">
            <v>0</v>
          </cell>
          <cell r="CC42"/>
        </row>
        <row r="43">
          <cell r="B43">
            <v>39904</v>
          </cell>
          <cell r="C43"/>
          <cell r="D43" t="str">
            <v>DINAMITAS</v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 t="str">
            <v/>
          </cell>
          <cell r="L43" t="str">
            <v/>
          </cell>
          <cell r="M43" t="str">
            <v/>
          </cell>
          <cell r="N43" t="str">
            <v/>
          </cell>
          <cell r="O43" t="str">
            <v/>
          </cell>
          <cell r="P43" t="str">
            <v/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 t="str">
            <v/>
          </cell>
          <cell r="V43" t="str">
            <v/>
          </cell>
          <cell r="W43" t="str">
            <v/>
          </cell>
          <cell r="X43" t="str">
            <v/>
          </cell>
          <cell r="Y43" t="str">
            <v/>
          </cell>
          <cell r="Z43" t="str">
            <v/>
          </cell>
          <cell r="AA43" t="str">
            <v/>
          </cell>
          <cell r="AB43" t="str">
            <v/>
          </cell>
          <cell r="AC43" t="str">
            <v/>
          </cell>
          <cell r="AD43" t="str">
            <v/>
          </cell>
          <cell r="AE43"/>
          <cell r="AF43"/>
          <cell r="AG43"/>
          <cell r="AH43"/>
          <cell r="AI43" t="str">
            <v/>
          </cell>
          <cell r="AJ43" t="str">
            <v/>
          </cell>
          <cell r="AK43" t="str">
            <v/>
          </cell>
          <cell r="AL43" t="str">
            <v/>
          </cell>
          <cell r="AM43" t="str">
            <v/>
          </cell>
          <cell r="AN43" t="str">
            <v/>
          </cell>
          <cell r="AO43"/>
          <cell r="AP43"/>
          <cell r="AQ43"/>
          <cell r="AR43"/>
          <cell r="AT43">
            <v>39904</v>
          </cell>
          <cell r="AU43" t="str">
            <v>DINAMITAS</v>
          </cell>
          <cell r="AV43">
            <v>3017968</v>
          </cell>
          <cell r="AW43" t="str">
            <v/>
          </cell>
          <cell r="AX43" t="str">
            <v/>
          </cell>
          <cell r="AY43" t="str">
            <v/>
          </cell>
          <cell r="AZ43" t="str">
            <v/>
          </cell>
          <cell r="BA43" t="str">
            <v/>
          </cell>
          <cell r="BB43" t="str">
            <v/>
          </cell>
          <cell r="BC43"/>
          <cell r="BD43">
            <v>1260925</v>
          </cell>
          <cell r="BE43" t="str">
            <v/>
          </cell>
          <cell r="BF43" t="str">
            <v/>
          </cell>
          <cell r="BG43" t="str">
            <v/>
          </cell>
          <cell r="BH43" t="str">
            <v/>
          </cell>
          <cell r="BI43" t="str">
            <v/>
          </cell>
          <cell r="BJ43" t="str">
            <v/>
          </cell>
          <cell r="BK43"/>
          <cell r="BL43">
            <v>10102677.289999999</v>
          </cell>
          <cell r="BM43" t="str">
            <v/>
          </cell>
          <cell r="BN43" t="str">
            <v/>
          </cell>
          <cell r="BO43" t="str">
            <v/>
          </cell>
          <cell r="BP43" t="str">
            <v/>
          </cell>
          <cell r="BQ43" t="str">
            <v/>
          </cell>
          <cell r="BR43" t="str">
            <v/>
          </cell>
          <cell r="BS43">
            <v>0</v>
          </cell>
          <cell r="BT43"/>
          <cell r="BU43">
            <v>4542050</v>
          </cell>
          <cell r="BV43" t="str">
            <v/>
          </cell>
          <cell r="BW43" t="str">
            <v/>
          </cell>
          <cell r="BX43" t="str">
            <v/>
          </cell>
          <cell r="BY43" t="str">
            <v/>
          </cell>
          <cell r="BZ43" t="str">
            <v/>
          </cell>
          <cell r="CA43" t="str">
            <v/>
          </cell>
          <cell r="CB43">
            <v>0</v>
          </cell>
          <cell r="CC43"/>
        </row>
        <row r="44">
          <cell r="B44">
            <v>39934</v>
          </cell>
          <cell r="C44"/>
          <cell r="D44" t="str">
            <v>DINAMITAS</v>
          </cell>
          <cell r="E44" t="str">
            <v/>
          </cell>
          <cell r="F44" t="str">
            <v/>
          </cell>
          <cell r="G44" t="str">
            <v/>
          </cell>
          <cell r="H44" t="str">
            <v/>
          </cell>
          <cell r="I44" t="str">
            <v/>
          </cell>
          <cell r="J44" t="str">
            <v/>
          </cell>
          <cell r="K44" t="str">
            <v/>
          </cell>
          <cell r="L44" t="str">
            <v/>
          </cell>
          <cell r="M44" t="str">
            <v/>
          </cell>
          <cell r="N44" t="str">
            <v/>
          </cell>
          <cell r="O44" t="str">
            <v/>
          </cell>
          <cell r="P44" t="str">
            <v/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  <cell r="AA44" t="str">
            <v/>
          </cell>
          <cell r="AB44" t="str">
            <v/>
          </cell>
          <cell r="AC44" t="str">
            <v/>
          </cell>
          <cell r="AD44" t="str">
            <v/>
          </cell>
          <cell r="AE44"/>
          <cell r="AF44"/>
          <cell r="AG44"/>
          <cell r="AH44"/>
          <cell r="AI44" t="str">
            <v/>
          </cell>
          <cell r="AJ44" t="str">
            <v/>
          </cell>
          <cell r="AK44" t="str">
            <v/>
          </cell>
          <cell r="AL44" t="str">
            <v/>
          </cell>
          <cell r="AM44" t="str">
            <v/>
          </cell>
          <cell r="AN44" t="str">
            <v/>
          </cell>
          <cell r="AO44"/>
          <cell r="AP44"/>
          <cell r="AQ44"/>
          <cell r="AR44"/>
          <cell r="AT44">
            <v>39934</v>
          </cell>
          <cell r="AU44" t="str">
            <v>DINAMITAS</v>
          </cell>
          <cell r="AV44">
            <v>2896928</v>
          </cell>
          <cell r="AW44" t="str">
            <v/>
          </cell>
          <cell r="AX44" t="str">
            <v/>
          </cell>
          <cell r="AY44" t="str">
            <v/>
          </cell>
          <cell r="AZ44" t="str">
            <v/>
          </cell>
          <cell r="BA44" t="str">
            <v/>
          </cell>
          <cell r="BB44" t="str">
            <v/>
          </cell>
          <cell r="BC44"/>
          <cell r="BD44">
            <v>1189475</v>
          </cell>
          <cell r="BE44" t="str">
            <v/>
          </cell>
          <cell r="BF44" t="str">
            <v/>
          </cell>
          <cell r="BG44" t="str">
            <v/>
          </cell>
          <cell r="BH44" t="str">
            <v/>
          </cell>
          <cell r="BI44" t="str">
            <v/>
          </cell>
          <cell r="BJ44" t="str">
            <v/>
          </cell>
          <cell r="BK44"/>
          <cell r="BL44">
            <v>12999605.289999999</v>
          </cell>
          <cell r="BM44" t="str">
            <v/>
          </cell>
          <cell r="BN44" t="str">
            <v/>
          </cell>
          <cell r="BO44" t="str">
            <v/>
          </cell>
          <cell r="BP44" t="str">
            <v/>
          </cell>
          <cell r="BQ44" t="str">
            <v/>
          </cell>
          <cell r="BR44" t="str">
            <v/>
          </cell>
          <cell r="BS44">
            <v>0</v>
          </cell>
          <cell r="BT44"/>
          <cell r="BU44">
            <v>5731525</v>
          </cell>
          <cell r="BV44" t="str">
            <v/>
          </cell>
          <cell r="BW44" t="str">
            <v/>
          </cell>
          <cell r="BX44" t="str">
            <v/>
          </cell>
          <cell r="BY44" t="str">
            <v/>
          </cell>
          <cell r="BZ44" t="str">
            <v/>
          </cell>
          <cell r="CA44" t="str">
            <v/>
          </cell>
          <cell r="CB44">
            <v>0</v>
          </cell>
          <cell r="CC44"/>
        </row>
        <row r="45">
          <cell r="B45">
            <v>39965</v>
          </cell>
          <cell r="C45"/>
          <cell r="D45" t="str">
            <v>DINAMITAS</v>
          </cell>
          <cell r="E45" t="str">
            <v/>
          </cell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  <cell r="M45" t="str">
            <v/>
          </cell>
          <cell r="N45" t="str">
            <v/>
          </cell>
          <cell r="O45" t="str">
            <v/>
          </cell>
          <cell r="P45" t="str">
            <v/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 t="str">
            <v/>
          </cell>
          <cell r="V45" t="str">
            <v/>
          </cell>
          <cell r="W45" t="str">
            <v/>
          </cell>
          <cell r="X45" t="str">
            <v/>
          </cell>
          <cell r="Y45" t="str">
            <v/>
          </cell>
          <cell r="Z45" t="str">
            <v/>
          </cell>
          <cell r="AA45" t="str">
            <v/>
          </cell>
          <cell r="AB45" t="str">
            <v/>
          </cell>
          <cell r="AC45" t="str">
            <v/>
          </cell>
          <cell r="AD45" t="str">
            <v/>
          </cell>
          <cell r="AE45"/>
          <cell r="AF45"/>
          <cell r="AG45"/>
          <cell r="AH45"/>
          <cell r="AI45" t="str">
            <v/>
          </cell>
          <cell r="AJ45" t="str">
            <v/>
          </cell>
          <cell r="AK45" t="str">
            <v/>
          </cell>
          <cell r="AL45" t="str">
            <v/>
          </cell>
          <cell r="AM45" t="str">
            <v/>
          </cell>
          <cell r="AN45" t="str">
            <v/>
          </cell>
          <cell r="AO45"/>
          <cell r="AP45"/>
          <cell r="AQ45"/>
          <cell r="AR45"/>
          <cell r="AT45">
            <v>39965</v>
          </cell>
          <cell r="AU45" t="str">
            <v>DINAMITAS</v>
          </cell>
          <cell r="AV45">
            <v>3161467.6680332571</v>
          </cell>
          <cell r="AW45" t="str">
            <v/>
          </cell>
          <cell r="AX45" t="str">
            <v/>
          </cell>
          <cell r="AY45" t="str">
            <v/>
          </cell>
          <cell r="AZ45" t="str">
            <v/>
          </cell>
          <cell r="BA45" t="str">
            <v/>
          </cell>
          <cell r="BB45" t="str">
            <v/>
          </cell>
          <cell r="BC45"/>
          <cell r="BD45">
            <v>1300575</v>
          </cell>
          <cell r="BE45" t="str">
            <v/>
          </cell>
          <cell r="BF45" t="str">
            <v/>
          </cell>
          <cell r="BG45" t="str">
            <v/>
          </cell>
          <cell r="BH45" t="str">
            <v/>
          </cell>
          <cell r="BI45" t="str">
            <v/>
          </cell>
          <cell r="BJ45" t="str">
            <v/>
          </cell>
          <cell r="BK45"/>
          <cell r="BL45">
            <v>16161072.958033256</v>
          </cell>
          <cell r="BM45" t="str">
            <v/>
          </cell>
          <cell r="BN45" t="str">
            <v/>
          </cell>
          <cell r="BO45" t="str">
            <v/>
          </cell>
          <cell r="BP45" t="str">
            <v/>
          </cell>
          <cell r="BQ45" t="str">
            <v/>
          </cell>
          <cell r="BR45" t="str">
            <v/>
          </cell>
          <cell r="BS45">
            <v>0</v>
          </cell>
          <cell r="BT45"/>
          <cell r="BU45">
            <v>7032100</v>
          </cell>
          <cell r="BV45" t="str">
            <v/>
          </cell>
          <cell r="BW45" t="str">
            <v/>
          </cell>
          <cell r="BX45" t="str">
            <v/>
          </cell>
          <cell r="BY45" t="str">
            <v/>
          </cell>
          <cell r="BZ45" t="str">
            <v/>
          </cell>
          <cell r="CA45" t="str">
            <v/>
          </cell>
          <cell r="CB45">
            <v>0</v>
          </cell>
          <cell r="CC45"/>
        </row>
        <row r="46">
          <cell r="B46">
            <v>39995</v>
          </cell>
          <cell r="C46"/>
          <cell r="D46" t="str">
            <v>DINAMITAS</v>
          </cell>
          <cell r="E46" t="str">
            <v/>
          </cell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  <cell r="M46" t="str">
            <v/>
          </cell>
          <cell r="N46" t="str">
            <v/>
          </cell>
          <cell r="O46" t="str">
            <v/>
          </cell>
          <cell r="P46" t="str">
            <v/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 t="str">
            <v/>
          </cell>
          <cell r="V46" t="str">
            <v/>
          </cell>
          <cell r="W46" t="str">
            <v/>
          </cell>
          <cell r="X46" t="str">
            <v/>
          </cell>
          <cell r="Y46" t="str">
            <v/>
          </cell>
          <cell r="Z46" t="str">
            <v/>
          </cell>
          <cell r="AA46" t="str">
            <v/>
          </cell>
          <cell r="AB46" t="str">
            <v/>
          </cell>
          <cell r="AC46" t="str">
            <v/>
          </cell>
          <cell r="AD46" t="str">
            <v/>
          </cell>
          <cell r="AE46"/>
          <cell r="AF46"/>
          <cell r="AG46"/>
          <cell r="AH46"/>
          <cell r="AI46" t="str">
            <v/>
          </cell>
          <cell r="AJ46" t="str">
            <v/>
          </cell>
          <cell r="AK46" t="str">
            <v/>
          </cell>
          <cell r="AL46" t="str">
            <v/>
          </cell>
          <cell r="AM46" t="str">
            <v/>
          </cell>
          <cell r="AN46" t="str">
            <v/>
          </cell>
          <cell r="AO46"/>
          <cell r="AP46"/>
          <cell r="AQ46"/>
          <cell r="AR46"/>
          <cell r="AT46">
            <v>39995</v>
          </cell>
          <cell r="AU46" t="str">
            <v>DINAMITAS</v>
          </cell>
          <cell r="AV46">
            <v>2924943.8608482331</v>
          </cell>
          <cell r="AW46" t="str">
            <v/>
          </cell>
          <cell r="AX46" t="str">
            <v/>
          </cell>
          <cell r="AY46" t="str">
            <v/>
          </cell>
          <cell r="AZ46" t="str">
            <v/>
          </cell>
          <cell r="BA46" t="str">
            <v/>
          </cell>
          <cell r="BB46" t="str">
            <v/>
          </cell>
          <cell r="BC46"/>
          <cell r="BD46">
            <v>1224675</v>
          </cell>
          <cell r="BE46" t="str">
            <v/>
          </cell>
          <cell r="BF46" t="str">
            <v/>
          </cell>
          <cell r="BG46" t="str">
            <v/>
          </cell>
          <cell r="BH46" t="str">
            <v/>
          </cell>
          <cell r="BI46" t="str">
            <v/>
          </cell>
          <cell r="BJ46" t="str">
            <v/>
          </cell>
          <cell r="BK46"/>
          <cell r="BL46">
            <v>19086016.818881489</v>
          </cell>
          <cell r="BM46" t="str">
            <v/>
          </cell>
          <cell r="BN46" t="str">
            <v/>
          </cell>
          <cell r="BO46" t="str">
            <v/>
          </cell>
          <cell r="BP46" t="str">
            <v/>
          </cell>
          <cell r="BQ46" t="str">
            <v/>
          </cell>
          <cell r="BR46" t="str">
            <v/>
          </cell>
          <cell r="BS46">
            <v>0</v>
          </cell>
          <cell r="BT46"/>
          <cell r="BU46">
            <v>8256775</v>
          </cell>
          <cell r="BV46" t="str">
            <v/>
          </cell>
          <cell r="BW46" t="str">
            <v/>
          </cell>
          <cell r="BX46" t="str">
            <v/>
          </cell>
          <cell r="BY46" t="str">
            <v/>
          </cell>
          <cell r="BZ46" t="str">
            <v/>
          </cell>
          <cell r="CA46" t="str">
            <v/>
          </cell>
          <cell r="CB46">
            <v>0</v>
          </cell>
          <cell r="CC46"/>
        </row>
        <row r="47">
          <cell r="B47">
            <v>40026</v>
          </cell>
          <cell r="C47"/>
          <cell r="D47" t="str">
            <v>DINAMITAS</v>
          </cell>
          <cell r="E47" t="str">
            <v/>
          </cell>
          <cell r="F47" t="str">
            <v/>
          </cell>
          <cell r="G47" t="str">
            <v/>
          </cell>
          <cell r="H47" t="str">
            <v/>
          </cell>
          <cell r="I47" t="str">
            <v/>
          </cell>
          <cell r="J47" t="str">
            <v/>
          </cell>
          <cell r="K47" t="str">
            <v/>
          </cell>
          <cell r="L47" t="str">
            <v/>
          </cell>
          <cell r="M47" t="str">
            <v/>
          </cell>
          <cell r="N47" t="str">
            <v/>
          </cell>
          <cell r="O47" t="str">
            <v/>
          </cell>
          <cell r="P47" t="str">
            <v/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 t="str">
            <v/>
          </cell>
          <cell r="V47" t="str">
            <v/>
          </cell>
          <cell r="W47" t="str">
            <v/>
          </cell>
          <cell r="X47" t="str">
            <v/>
          </cell>
          <cell r="Y47" t="str">
            <v/>
          </cell>
          <cell r="Z47" t="str">
            <v/>
          </cell>
          <cell r="AA47" t="str">
            <v/>
          </cell>
          <cell r="AB47" t="str">
            <v/>
          </cell>
          <cell r="AC47" t="str">
            <v/>
          </cell>
          <cell r="AD47" t="str">
            <v/>
          </cell>
          <cell r="AE47"/>
          <cell r="AF47"/>
          <cell r="AG47"/>
          <cell r="AH47"/>
          <cell r="AI47" t="str">
            <v/>
          </cell>
          <cell r="AJ47" t="str">
            <v/>
          </cell>
          <cell r="AK47" t="str">
            <v/>
          </cell>
          <cell r="AL47" t="str">
            <v/>
          </cell>
          <cell r="AM47" t="str">
            <v/>
          </cell>
          <cell r="AN47" t="str">
            <v/>
          </cell>
          <cell r="AO47"/>
          <cell r="AP47"/>
          <cell r="AQ47"/>
          <cell r="AR47"/>
          <cell r="AT47">
            <v>40026</v>
          </cell>
          <cell r="AU47" t="str">
            <v>DINAMITAS</v>
          </cell>
          <cell r="AV47">
            <v>2919912.0570150539</v>
          </cell>
          <cell r="AW47" t="str">
            <v/>
          </cell>
          <cell r="AX47" t="str">
            <v/>
          </cell>
          <cell r="AY47" t="str">
            <v/>
          </cell>
          <cell r="AZ47" t="str">
            <v/>
          </cell>
          <cell r="BA47" t="str">
            <v/>
          </cell>
          <cell r="BB47" t="str">
            <v/>
          </cell>
          <cell r="BC47"/>
          <cell r="BD47">
            <v>1218775</v>
          </cell>
          <cell r="BE47" t="str">
            <v/>
          </cell>
          <cell r="BF47" t="str">
            <v/>
          </cell>
          <cell r="BG47" t="str">
            <v/>
          </cell>
          <cell r="BH47" t="str">
            <v/>
          </cell>
          <cell r="BI47" t="str">
            <v/>
          </cell>
          <cell r="BJ47" t="str">
            <v/>
          </cell>
          <cell r="BK47"/>
          <cell r="BL47">
            <v>22005928.875896543</v>
          </cell>
          <cell r="BM47" t="str">
            <v/>
          </cell>
          <cell r="BN47" t="str">
            <v/>
          </cell>
          <cell r="BO47" t="str">
            <v/>
          </cell>
          <cell r="BP47" t="str">
            <v/>
          </cell>
          <cell r="BQ47" t="str">
            <v/>
          </cell>
          <cell r="BR47" t="str">
            <v/>
          </cell>
          <cell r="BS47">
            <v>0</v>
          </cell>
          <cell r="BT47"/>
          <cell r="BU47">
            <v>9475550</v>
          </cell>
          <cell r="BV47" t="str">
            <v/>
          </cell>
          <cell r="BW47" t="str">
            <v/>
          </cell>
          <cell r="BX47" t="str">
            <v/>
          </cell>
          <cell r="BY47" t="str">
            <v/>
          </cell>
          <cell r="BZ47" t="str">
            <v/>
          </cell>
          <cell r="CA47" t="str">
            <v/>
          </cell>
          <cell r="CB47">
            <v>0</v>
          </cell>
          <cell r="CC47"/>
        </row>
        <row r="48">
          <cell r="B48">
            <v>40057</v>
          </cell>
          <cell r="C48"/>
          <cell r="D48" t="str">
            <v>DINAMITAS</v>
          </cell>
          <cell r="E48" t="str">
            <v/>
          </cell>
          <cell r="F48" t="str">
            <v/>
          </cell>
          <cell r="G48" t="str">
            <v/>
          </cell>
          <cell r="H48" t="str">
            <v/>
          </cell>
          <cell r="I48" t="str">
            <v/>
          </cell>
          <cell r="J48" t="str">
            <v/>
          </cell>
          <cell r="K48" t="str">
            <v/>
          </cell>
          <cell r="L48" t="str">
            <v/>
          </cell>
          <cell r="M48" t="str">
            <v/>
          </cell>
          <cell r="N48" t="str">
            <v/>
          </cell>
          <cell r="O48" t="str">
            <v/>
          </cell>
          <cell r="P48" t="str">
            <v/>
          </cell>
          <cell r="Q48" t="str">
            <v/>
          </cell>
          <cell r="R48" t="str">
            <v/>
          </cell>
          <cell r="S48" t="str">
            <v/>
          </cell>
          <cell r="T48" t="str">
            <v/>
          </cell>
          <cell r="U48" t="str">
            <v/>
          </cell>
          <cell r="V48" t="str">
            <v/>
          </cell>
          <cell r="W48" t="str">
            <v/>
          </cell>
          <cell r="X48" t="str">
            <v/>
          </cell>
          <cell r="Y48" t="str">
            <v/>
          </cell>
          <cell r="Z48" t="str">
            <v/>
          </cell>
          <cell r="AA48" t="str">
            <v/>
          </cell>
          <cell r="AB48" t="str">
            <v/>
          </cell>
          <cell r="AC48" t="str">
            <v/>
          </cell>
          <cell r="AD48" t="str">
            <v/>
          </cell>
          <cell r="AE48"/>
          <cell r="AF48"/>
          <cell r="AG48"/>
          <cell r="AH48"/>
          <cell r="AI48" t="str">
            <v/>
          </cell>
          <cell r="AJ48" t="str">
            <v/>
          </cell>
          <cell r="AK48" t="str">
            <v/>
          </cell>
          <cell r="AL48" t="str">
            <v/>
          </cell>
          <cell r="AM48" t="str">
            <v/>
          </cell>
          <cell r="AN48" t="str">
            <v/>
          </cell>
          <cell r="AO48"/>
          <cell r="AP48"/>
          <cell r="AQ48"/>
          <cell r="AR48"/>
          <cell r="AT48">
            <v>40057</v>
          </cell>
          <cell r="AU48" t="str">
            <v>DINAMITAS</v>
          </cell>
          <cell r="AV48">
            <v>3190333.553108342</v>
          </cell>
          <cell r="AW48" t="str">
            <v/>
          </cell>
          <cell r="AX48" t="str">
            <v/>
          </cell>
          <cell r="AY48" t="str">
            <v/>
          </cell>
          <cell r="AZ48" t="str">
            <v/>
          </cell>
          <cell r="BA48" t="str">
            <v/>
          </cell>
          <cell r="BB48" t="str">
            <v/>
          </cell>
          <cell r="BC48"/>
          <cell r="BD48">
            <v>1338650</v>
          </cell>
          <cell r="BE48" t="str">
            <v/>
          </cell>
          <cell r="BF48" t="str">
            <v/>
          </cell>
          <cell r="BG48" t="str">
            <v/>
          </cell>
          <cell r="BH48" t="str">
            <v/>
          </cell>
          <cell r="BI48" t="str">
            <v/>
          </cell>
          <cell r="BJ48" t="str">
            <v/>
          </cell>
          <cell r="BK48"/>
          <cell r="BL48">
            <v>25196262.429004885</v>
          </cell>
          <cell r="BM48" t="str">
            <v/>
          </cell>
          <cell r="BN48" t="str">
            <v/>
          </cell>
          <cell r="BO48" t="str">
            <v/>
          </cell>
          <cell r="BP48" t="str">
            <v/>
          </cell>
          <cell r="BQ48" t="str">
            <v/>
          </cell>
          <cell r="BR48" t="str">
            <v/>
          </cell>
          <cell r="BS48">
            <v>0</v>
          </cell>
          <cell r="BT48"/>
          <cell r="BU48">
            <v>10814200</v>
          </cell>
          <cell r="BV48" t="str">
            <v/>
          </cell>
          <cell r="BW48" t="str">
            <v/>
          </cell>
          <cell r="BX48" t="str">
            <v/>
          </cell>
          <cell r="BY48" t="str">
            <v/>
          </cell>
          <cell r="BZ48" t="str">
            <v/>
          </cell>
          <cell r="CA48" t="str">
            <v/>
          </cell>
          <cell r="CB48">
            <v>0</v>
          </cell>
          <cell r="CC48"/>
        </row>
        <row r="49">
          <cell r="B49">
            <v>40087</v>
          </cell>
          <cell r="C49"/>
          <cell r="D49" t="str">
            <v>DINAMITAS</v>
          </cell>
          <cell r="E49" t="str">
            <v/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  <cell r="L49" t="str">
            <v/>
          </cell>
          <cell r="M49" t="str">
            <v/>
          </cell>
          <cell r="N49" t="str">
            <v/>
          </cell>
          <cell r="O49" t="str">
            <v/>
          </cell>
          <cell r="P49" t="str">
            <v/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  <cell r="U49" t="str">
            <v/>
          </cell>
          <cell r="V49" t="str">
            <v/>
          </cell>
          <cell r="W49" t="str">
            <v/>
          </cell>
          <cell r="X49" t="str">
            <v/>
          </cell>
          <cell r="Y49" t="str">
            <v/>
          </cell>
          <cell r="Z49" t="str">
            <v/>
          </cell>
          <cell r="AA49" t="str">
            <v/>
          </cell>
          <cell r="AB49" t="str">
            <v/>
          </cell>
          <cell r="AC49" t="str">
            <v/>
          </cell>
          <cell r="AD49" t="str">
            <v/>
          </cell>
          <cell r="AE49"/>
          <cell r="AF49"/>
          <cell r="AG49"/>
          <cell r="AH49"/>
          <cell r="AI49" t="str">
            <v/>
          </cell>
          <cell r="AJ49" t="str">
            <v/>
          </cell>
          <cell r="AK49" t="str">
            <v/>
          </cell>
          <cell r="AL49" t="str">
            <v/>
          </cell>
          <cell r="AM49" t="str">
            <v/>
          </cell>
          <cell r="AN49" t="str">
            <v/>
          </cell>
          <cell r="AO49"/>
          <cell r="AP49"/>
          <cell r="AQ49"/>
          <cell r="AR49"/>
          <cell r="AT49">
            <v>40087</v>
          </cell>
          <cell r="AU49" t="str">
            <v>DINAMITAS</v>
          </cell>
          <cell r="AV49">
            <v>3387906.2749394923</v>
          </cell>
          <cell r="AW49" t="str">
            <v/>
          </cell>
          <cell r="AX49" t="str">
            <v/>
          </cell>
          <cell r="AY49" t="str">
            <v/>
          </cell>
          <cell r="AZ49" t="str">
            <v/>
          </cell>
          <cell r="BA49" t="str">
            <v/>
          </cell>
          <cell r="BB49" t="str">
            <v/>
          </cell>
          <cell r="BC49"/>
          <cell r="BD49">
            <v>1354600</v>
          </cell>
          <cell r="BE49" t="str">
            <v/>
          </cell>
          <cell r="BF49" t="str">
            <v/>
          </cell>
          <cell r="BG49" t="str">
            <v/>
          </cell>
          <cell r="BH49" t="str">
            <v/>
          </cell>
          <cell r="BI49" t="str">
            <v/>
          </cell>
          <cell r="BJ49" t="str">
            <v/>
          </cell>
          <cell r="BK49"/>
          <cell r="BL49">
            <v>28584168.703944378</v>
          </cell>
          <cell r="BM49" t="str">
            <v/>
          </cell>
          <cell r="BN49" t="str">
            <v/>
          </cell>
          <cell r="BO49" t="str">
            <v/>
          </cell>
          <cell r="BP49" t="str">
            <v/>
          </cell>
          <cell r="BQ49" t="str">
            <v/>
          </cell>
          <cell r="BR49" t="str">
            <v/>
          </cell>
          <cell r="BS49">
            <v>0</v>
          </cell>
          <cell r="BT49"/>
          <cell r="BU49">
            <v>12168800</v>
          </cell>
          <cell r="BV49" t="str">
            <v/>
          </cell>
          <cell r="BW49" t="str">
            <v/>
          </cell>
          <cell r="BX49" t="str">
            <v/>
          </cell>
          <cell r="BY49" t="str">
            <v/>
          </cell>
          <cell r="BZ49" t="str">
            <v/>
          </cell>
          <cell r="CA49" t="str">
            <v/>
          </cell>
          <cell r="CB49">
            <v>0</v>
          </cell>
          <cell r="CC49"/>
        </row>
      </sheetData>
      <sheetData sheetId="70"/>
      <sheetData sheetId="71">
        <row r="9">
          <cell r="B9"/>
          <cell r="C9"/>
          <cell r="D9"/>
          <cell r="E9"/>
          <cell r="F9"/>
          <cell r="G9"/>
          <cell r="H9"/>
          <cell r="I9"/>
          <cell r="J9"/>
          <cell r="K9"/>
          <cell r="L9"/>
          <cell r="Q9"/>
          <cell r="R9"/>
          <cell r="S9"/>
          <cell r="X9" t="str">
            <v>Ciclo de caja</v>
          </cell>
          <cell r="Y9"/>
          <cell r="Z9"/>
          <cell r="AA9"/>
          <cell r="AB9"/>
          <cell r="AC9"/>
          <cell r="AD9"/>
          <cell r="AE9" t="str">
            <v>Ciclo de caja</v>
          </cell>
          <cell r="AF9"/>
          <cell r="AG9"/>
          <cell r="AH9"/>
          <cell r="AI9"/>
          <cell r="AJ9"/>
          <cell r="AK9"/>
        </row>
        <row r="10">
          <cell r="B10"/>
          <cell r="C10"/>
          <cell r="D10" t="str">
            <v>Días de Inventario</v>
          </cell>
          <cell r="E10" t="str">
            <v>Días CxC</v>
          </cell>
          <cell r="F10" t="str">
            <v>Días CxP</v>
          </cell>
          <cell r="G10" t="str">
            <v>Días CC</v>
          </cell>
          <cell r="H10" t="str">
            <v>Perform</v>
          </cell>
          <cell r="I10"/>
          <cell r="J10"/>
          <cell r="K10"/>
          <cell r="L10"/>
          <cell r="M10" t="str">
            <v>Prom. Días de Inventario</v>
          </cell>
          <cell r="N10" t="str">
            <v>Días CxC</v>
          </cell>
          <cell r="O10" t="str">
            <v>Días CxP</v>
          </cell>
          <cell r="P10" t="str">
            <v>Días CC</v>
          </cell>
          <cell r="Q10" t="str">
            <v>Perform</v>
          </cell>
          <cell r="R10"/>
          <cell r="S10"/>
          <cell r="T10"/>
          <cell r="U10"/>
          <cell r="V10"/>
          <cell r="W10"/>
          <cell r="X10"/>
          <cell r="Y10" t="str">
            <v>Valores del mes</v>
          </cell>
          <cell r="Z10"/>
          <cell r="AA10" t="str">
            <v>Var 1.</v>
          </cell>
          <cell r="AB10"/>
          <cell r="AC10" t="str">
            <v>Acum. 
Anual Ant.</v>
          </cell>
          <cell r="AD10" t="str">
            <v>Avance 
del Año</v>
          </cell>
          <cell r="AE10"/>
          <cell r="AF10" t="str">
            <v>Valores del mes</v>
          </cell>
          <cell r="AG10"/>
          <cell r="AH10" t="str">
            <v>Var 1.</v>
          </cell>
          <cell r="AI10"/>
          <cell r="AJ10" t="str">
            <v>Acum. 
Anual Ant.</v>
          </cell>
          <cell r="AK10" t="str">
            <v>Avance 
del Año</v>
          </cell>
        </row>
        <row r="11">
          <cell r="B11" t="str">
            <v>Mes-Año</v>
          </cell>
          <cell r="C11"/>
          <cell r="D11"/>
          <cell r="E11"/>
          <cell r="F11"/>
          <cell r="G11"/>
          <cell r="H11" t="str">
            <v>Ciclo de caja</v>
          </cell>
          <cell r="I11"/>
          <cell r="J11"/>
          <cell r="K11" t="str">
            <v>Sup</v>
          </cell>
          <cell r="L11" t="str">
            <v>Inf</v>
          </cell>
          <cell r="M11"/>
          <cell r="N11"/>
          <cell r="O11"/>
          <cell r="P11"/>
          <cell r="Q11" t="str">
            <v>Ciclo de caja</v>
          </cell>
          <cell r="R11"/>
          <cell r="S11"/>
          <cell r="T11" t="str">
            <v>Sup</v>
          </cell>
          <cell r="U11" t="str">
            <v>Inf</v>
          </cell>
          <cell r="V11"/>
          <cell r="W11"/>
          <cell r="X11" t="str">
            <v>Fecha</v>
          </cell>
          <cell r="Y11" t="str">
            <v>Anteriores</v>
          </cell>
          <cell r="Z11" t="str">
            <v>Real</v>
          </cell>
          <cell r="AA11" t="str">
            <v>Unidades</v>
          </cell>
          <cell r="AB11" t="str">
            <v>%</v>
          </cell>
          <cell r="AC11"/>
          <cell r="AD11"/>
          <cell r="AE11" t="str">
            <v>Fecha</v>
          </cell>
          <cell r="AF11" t="str">
            <v>Anteriores</v>
          </cell>
          <cell r="AG11" t="str">
            <v>Real</v>
          </cell>
          <cell r="AH11" t="str">
            <v>Unidades</v>
          </cell>
          <cell r="AI11" t="str">
            <v>%</v>
          </cell>
          <cell r="AJ11"/>
          <cell r="AK11"/>
        </row>
        <row r="12">
          <cell r="B12">
            <v>39083</v>
          </cell>
          <cell r="C12"/>
          <cell r="D12">
            <v>175.50392059906875</v>
          </cell>
          <cell r="E12">
            <v>81.784456880571241</v>
          </cell>
          <cell r="F12">
            <v>52.206431076470004</v>
          </cell>
          <cell r="G12">
            <v>205.08194640316995</v>
          </cell>
          <cell r="H12" t="str">
            <v>c</v>
          </cell>
          <cell r="I12" t="str">
            <v>g</v>
          </cell>
          <cell r="J12" t="str">
            <v>c</v>
          </cell>
          <cell r="K12">
            <v>250</v>
          </cell>
          <cell r="L12">
            <v>200</v>
          </cell>
          <cell r="M12">
            <v>175.50392059906875</v>
          </cell>
          <cell r="N12">
            <v>81.784456880571241</v>
          </cell>
          <cell r="O12">
            <v>52.206431076470004</v>
          </cell>
          <cell r="P12">
            <v>205.08194640316995</v>
          </cell>
          <cell r="Q12" t="str">
            <v>c</v>
          </cell>
          <cell r="R12" t="str">
            <v>g</v>
          </cell>
          <cell r="S12" t="str">
            <v>c</v>
          </cell>
          <cell r="T12">
            <v>250</v>
          </cell>
          <cell r="U12">
            <v>200</v>
          </cell>
          <cell r="V12"/>
          <cell r="W12"/>
          <cell r="X12">
            <v>39083</v>
          </cell>
          <cell r="Y12"/>
          <cell r="Z12">
            <v>205.08194640316995</v>
          </cell>
          <cell r="AA12">
            <v>205.08194640316995</v>
          </cell>
          <cell r="AB12"/>
          <cell r="AC12"/>
          <cell r="AD12"/>
          <cell r="AE12">
            <v>39083</v>
          </cell>
          <cell r="AF12"/>
          <cell r="AG12">
            <v>205.08194640316995</v>
          </cell>
          <cell r="AH12">
            <v>205.08194640316995</v>
          </cell>
          <cell r="AI12"/>
          <cell r="AJ12"/>
          <cell r="AK12"/>
        </row>
        <row r="13">
          <cell r="B13">
            <v>39114</v>
          </cell>
          <cell r="C13"/>
          <cell r="D13">
            <v>189.56290428079242</v>
          </cell>
          <cell r="E13">
            <v>82.017193590331971</v>
          </cell>
          <cell r="F13">
            <v>59.813372493255464</v>
          </cell>
          <cell r="G13">
            <v>211.76672537786894</v>
          </cell>
          <cell r="H13" t="str">
            <v>c</v>
          </cell>
          <cell r="I13" t="str">
            <v>g</v>
          </cell>
          <cell r="J13" t="str">
            <v>c</v>
          </cell>
          <cell r="K13">
            <v>250</v>
          </cell>
          <cell r="L13">
            <v>200</v>
          </cell>
          <cell r="M13">
            <v>182.5334124399306</v>
          </cell>
          <cell r="N13">
            <v>81.900825235451606</v>
          </cell>
          <cell r="O13">
            <v>56.009901784862734</v>
          </cell>
          <cell r="P13">
            <v>208.42433589051944</v>
          </cell>
          <cell r="Q13" t="str">
            <v>c</v>
          </cell>
          <cell r="R13" t="str">
            <v>g</v>
          </cell>
          <cell r="S13" t="str">
            <v>c</v>
          </cell>
          <cell r="T13">
            <v>250</v>
          </cell>
          <cell r="U13">
            <v>200</v>
          </cell>
          <cell r="V13"/>
          <cell r="W13"/>
          <cell r="X13">
            <v>39114</v>
          </cell>
          <cell r="Y13"/>
          <cell r="Z13">
            <v>211.76672537786894</v>
          </cell>
          <cell r="AA13">
            <v>211.76672537786894</v>
          </cell>
          <cell r="AB13"/>
          <cell r="AC13"/>
          <cell r="AD13"/>
          <cell r="AE13">
            <v>39114</v>
          </cell>
          <cell r="AF13"/>
          <cell r="AG13">
            <v>208.42433589051944</v>
          </cell>
          <cell r="AH13">
            <v>208.42433589051944</v>
          </cell>
          <cell r="AI13"/>
          <cell r="AJ13"/>
          <cell r="AK13"/>
        </row>
        <row r="14">
          <cell r="B14">
            <v>39142</v>
          </cell>
          <cell r="C14"/>
          <cell r="D14">
            <v>184.64561783862297</v>
          </cell>
          <cell r="E14">
            <v>78.782422733295036</v>
          </cell>
          <cell r="F14">
            <v>52.487284776308556</v>
          </cell>
          <cell r="G14">
            <v>210.94075579560945</v>
          </cell>
          <cell r="H14" t="str">
            <v>c</v>
          </cell>
          <cell r="I14" t="str">
            <v>g</v>
          </cell>
          <cell r="J14" t="str">
            <v>c</v>
          </cell>
          <cell r="K14">
            <v>250</v>
          </cell>
          <cell r="L14">
            <v>200</v>
          </cell>
          <cell r="M14">
            <v>183.23748090616141</v>
          </cell>
          <cell r="N14">
            <v>80.861357734732749</v>
          </cell>
          <cell r="O14">
            <v>54.835696115344682</v>
          </cell>
          <cell r="P14">
            <v>209.26314252554945</v>
          </cell>
          <cell r="Q14" t="str">
            <v>c</v>
          </cell>
          <cell r="R14" t="str">
            <v>g</v>
          </cell>
          <cell r="S14" t="str">
            <v>c</v>
          </cell>
          <cell r="T14">
            <v>250</v>
          </cell>
          <cell r="U14">
            <v>200</v>
          </cell>
          <cell r="V14"/>
          <cell r="W14"/>
          <cell r="X14">
            <v>39142</v>
          </cell>
          <cell r="Y14"/>
          <cell r="Z14">
            <v>210.94075579560945</v>
          </cell>
          <cell r="AA14">
            <v>210.94075579560945</v>
          </cell>
          <cell r="AB14"/>
          <cell r="AC14"/>
          <cell r="AD14"/>
          <cell r="AE14">
            <v>39142</v>
          </cell>
          <cell r="AF14"/>
          <cell r="AG14">
            <v>209.26314252554945</v>
          </cell>
          <cell r="AH14">
            <v>209.26314252554945</v>
          </cell>
          <cell r="AI14"/>
          <cell r="AJ14"/>
          <cell r="AK14"/>
        </row>
        <row r="15">
          <cell r="B15">
            <v>39173</v>
          </cell>
          <cell r="C15"/>
          <cell r="D15">
            <v>191.10682886047806</v>
          </cell>
          <cell r="E15">
            <v>75.071812572307493</v>
          </cell>
          <cell r="F15">
            <v>52.978771981747933</v>
          </cell>
          <cell r="G15">
            <v>213.19986945103759</v>
          </cell>
          <cell r="H15" t="str">
            <v>c</v>
          </cell>
          <cell r="I15" t="str">
            <v>g</v>
          </cell>
          <cell r="J15" t="str">
            <v>c</v>
          </cell>
          <cell r="K15">
            <v>250</v>
          </cell>
          <cell r="L15">
            <v>200</v>
          </cell>
          <cell r="M15">
            <v>185.20481789474059</v>
          </cell>
          <cell r="N15">
            <v>79.413971444126446</v>
          </cell>
          <cell r="O15">
            <v>54.371465081945495</v>
          </cell>
          <cell r="P15">
            <v>210.24732425692153</v>
          </cell>
          <cell r="Q15" t="str">
            <v>c</v>
          </cell>
          <cell r="R15" t="str">
            <v>g</v>
          </cell>
          <cell r="S15" t="str">
            <v>c</v>
          </cell>
          <cell r="T15">
            <v>250</v>
          </cell>
          <cell r="U15">
            <v>200</v>
          </cell>
          <cell r="V15"/>
          <cell r="W15"/>
          <cell r="X15">
            <v>39173</v>
          </cell>
          <cell r="Y15"/>
          <cell r="Z15">
            <v>213.19986945103759</v>
          </cell>
          <cell r="AA15">
            <v>213.19986945103759</v>
          </cell>
          <cell r="AB15"/>
          <cell r="AC15"/>
          <cell r="AD15"/>
          <cell r="AE15">
            <v>39173</v>
          </cell>
          <cell r="AF15"/>
          <cell r="AG15">
            <v>210.24732425692153</v>
          </cell>
          <cell r="AH15">
            <v>210.24732425692153</v>
          </cell>
          <cell r="AI15"/>
          <cell r="AJ15"/>
          <cell r="AK15"/>
        </row>
        <row r="16">
          <cell r="B16">
            <v>39203</v>
          </cell>
          <cell r="C16"/>
          <cell r="D16">
            <v>191.99514447028278</v>
          </cell>
          <cell r="E16">
            <v>76.287964107272401</v>
          </cell>
          <cell r="F16">
            <v>60.261272635883905</v>
          </cell>
          <cell r="G16">
            <v>208.0218359416713</v>
          </cell>
          <cell r="H16" t="str">
            <v>c</v>
          </cell>
          <cell r="I16" t="str">
            <v>g</v>
          </cell>
          <cell r="J16" t="str">
            <v>c</v>
          </cell>
          <cell r="K16">
            <v>250</v>
          </cell>
          <cell r="L16">
            <v>200</v>
          </cell>
          <cell r="M16">
            <v>186.56288320984902</v>
          </cell>
          <cell r="N16">
            <v>78.788769976755631</v>
          </cell>
          <cell r="O16">
            <v>55.549426592733177</v>
          </cell>
          <cell r="P16">
            <v>209.8022265938715</v>
          </cell>
          <cell r="Q16" t="str">
            <v>c</v>
          </cell>
          <cell r="R16" t="str">
            <v>g</v>
          </cell>
          <cell r="S16" t="str">
            <v>c</v>
          </cell>
          <cell r="T16">
            <v>250</v>
          </cell>
          <cell r="U16">
            <v>200</v>
          </cell>
          <cell r="V16"/>
          <cell r="W16"/>
          <cell r="X16">
            <v>39203</v>
          </cell>
          <cell r="Y16"/>
          <cell r="Z16">
            <v>208.0218359416713</v>
          </cell>
          <cell r="AA16">
            <v>208.0218359416713</v>
          </cell>
          <cell r="AB16"/>
          <cell r="AC16"/>
          <cell r="AD16"/>
          <cell r="AE16">
            <v>39203</v>
          </cell>
          <cell r="AF16"/>
          <cell r="AG16">
            <v>209.8022265938715</v>
          </cell>
          <cell r="AH16">
            <v>209.8022265938715</v>
          </cell>
          <cell r="AI16"/>
          <cell r="AJ16"/>
          <cell r="AK16"/>
        </row>
        <row r="17">
          <cell r="B17">
            <v>39234</v>
          </cell>
          <cell r="C17"/>
          <cell r="D17">
            <v>187.96171333204791</v>
          </cell>
          <cell r="E17">
            <v>74.027647466356569</v>
          </cell>
          <cell r="F17">
            <v>58.041400198917636</v>
          </cell>
          <cell r="G17">
            <v>203.94796059948686</v>
          </cell>
          <cell r="H17" t="str">
            <v>c</v>
          </cell>
          <cell r="I17" t="str">
            <v>g</v>
          </cell>
          <cell r="J17" t="str">
            <v>c</v>
          </cell>
          <cell r="K17">
            <v>250</v>
          </cell>
          <cell r="L17">
            <v>200</v>
          </cell>
          <cell r="M17">
            <v>186.79602156354883</v>
          </cell>
          <cell r="N17">
            <v>77.995249558355795</v>
          </cell>
          <cell r="O17">
            <v>55.964755527097253</v>
          </cell>
          <cell r="P17">
            <v>208.82651559480738</v>
          </cell>
          <cell r="Q17" t="str">
            <v>c</v>
          </cell>
          <cell r="R17" t="str">
            <v>g</v>
          </cell>
          <cell r="S17" t="str">
            <v>c</v>
          </cell>
          <cell r="T17">
            <v>250</v>
          </cell>
          <cell r="U17">
            <v>200</v>
          </cell>
          <cell r="V17"/>
          <cell r="W17"/>
          <cell r="X17">
            <v>39234</v>
          </cell>
          <cell r="Y17"/>
          <cell r="Z17">
            <v>203.94796059948686</v>
          </cell>
          <cell r="AA17">
            <v>203.94796059948686</v>
          </cell>
          <cell r="AB17"/>
          <cell r="AC17"/>
          <cell r="AD17"/>
          <cell r="AE17">
            <v>39234</v>
          </cell>
          <cell r="AF17"/>
          <cell r="AG17">
            <v>208.82651559480738</v>
          </cell>
          <cell r="AH17">
            <v>208.82651559480738</v>
          </cell>
          <cell r="AI17"/>
          <cell r="AJ17"/>
          <cell r="AK17"/>
        </row>
        <row r="18">
          <cell r="B18">
            <v>39264</v>
          </cell>
          <cell r="C18"/>
          <cell r="D18">
            <v>201.53183157834852</v>
          </cell>
          <cell r="E18">
            <v>77.679134851268415</v>
          </cell>
          <cell r="F18">
            <v>54.843868763361165</v>
          </cell>
          <cell r="G18">
            <v>224.36709766625575</v>
          </cell>
          <cell r="H18" t="str">
            <v>c</v>
          </cell>
          <cell r="I18" t="str">
            <v>g</v>
          </cell>
          <cell r="J18" t="str">
            <v>c</v>
          </cell>
          <cell r="K18">
            <v>250</v>
          </cell>
          <cell r="L18">
            <v>200</v>
          </cell>
          <cell r="M18">
            <v>188.90113727994881</v>
          </cell>
          <cell r="N18">
            <v>77.950090314486161</v>
          </cell>
          <cell r="O18">
            <v>55.804628846563524</v>
          </cell>
          <cell r="P18">
            <v>211.04659874787146</v>
          </cell>
          <cell r="Q18" t="str">
            <v>c</v>
          </cell>
          <cell r="R18" t="str">
            <v>g</v>
          </cell>
          <cell r="S18" t="str">
            <v>c</v>
          </cell>
          <cell r="T18">
            <v>250</v>
          </cell>
          <cell r="U18">
            <v>200</v>
          </cell>
          <cell r="V18"/>
          <cell r="W18"/>
          <cell r="X18">
            <v>39264</v>
          </cell>
          <cell r="Y18"/>
          <cell r="Z18">
            <v>224.36709766625575</v>
          </cell>
          <cell r="AA18">
            <v>224.36709766625575</v>
          </cell>
          <cell r="AB18"/>
          <cell r="AC18"/>
          <cell r="AD18"/>
          <cell r="AE18">
            <v>39264</v>
          </cell>
          <cell r="AF18"/>
          <cell r="AG18">
            <v>211.04659874787146</v>
          </cell>
          <cell r="AH18">
            <v>211.04659874787146</v>
          </cell>
          <cell r="AI18"/>
          <cell r="AJ18"/>
          <cell r="AK18"/>
        </row>
        <row r="19">
          <cell r="B19">
            <v>39295</v>
          </cell>
          <cell r="C19"/>
          <cell r="D19">
            <v>185.02909054332952</v>
          </cell>
          <cell r="E19">
            <v>73.947342696518731</v>
          </cell>
          <cell r="F19">
            <v>64.954334719731605</v>
          </cell>
          <cell r="G19">
            <v>194.02209852011663</v>
          </cell>
          <cell r="H19" t="str">
            <v>g</v>
          </cell>
          <cell r="I19" t="str">
            <v>c</v>
          </cell>
          <cell r="J19" t="str">
            <v>c</v>
          </cell>
          <cell r="K19">
            <v>250</v>
          </cell>
          <cell r="L19">
            <v>200</v>
          </cell>
          <cell r="M19">
            <v>188.41713143787138</v>
          </cell>
          <cell r="N19">
            <v>77.449746862240232</v>
          </cell>
          <cell r="O19">
            <v>56.948342080709537</v>
          </cell>
          <cell r="P19">
            <v>208.91853621940203</v>
          </cell>
          <cell r="Q19" t="str">
            <v>c</v>
          </cell>
          <cell r="R19" t="str">
            <v>g</v>
          </cell>
          <cell r="S19" t="str">
            <v>c</v>
          </cell>
          <cell r="T19">
            <v>250</v>
          </cell>
          <cell r="U19">
            <v>200</v>
          </cell>
          <cell r="V19"/>
          <cell r="W19"/>
          <cell r="X19">
            <v>39295</v>
          </cell>
          <cell r="Y19"/>
          <cell r="Z19">
            <v>194.02209852011663</v>
          </cell>
          <cell r="AA19">
            <v>194.02209852011663</v>
          </cell>
          <cell r="AB19"/>
          <cell r="AC19"/>
          <cell r="AD19"/>
          <cell r="AE19">
            <v>39295</v>
          </cell>
          <cell r="AF19"/>
          <cell r="AG19">
            <v>208.91853621940203</v>
          </cell>
          <cell r="AH19">
            <v>208.91853621940203</v>
          </cell>
          <cell r="AI19"/>
          <cell r="AJ19"/>
          <cell r="AK19"/>
        </row>
        <row r="20">
          <cell r="B20">
            <v>39326</v>
          </cell>
          <cell r="C20"/>
          <cell r="D20">
            <v>177.32118326427232</v>
          </cell>
          <cell r="E20">
            <v>70.31407631673153</v>
          </cell>
          <cell r="F20">
            <v>57.334314953102044</v>
          </cell>
          <cell r="G20">
            <v>190.3009446279018</v>
          </cell>
          <cell r="H20" t="str">
            <v>g</v>
          </cell>
          <cell r="I20" t="str">
            <v>c</v>
          </cell>
          <cell r="J20" t="str">
            <v>c</v>
          </cell>
          <cell r="K20">
            <v>250</v>
          </cell>
          <cell r="L20">
            <v>200</v>
          </cell>
          <cell r="M20">
            <v>187.18424830747148</v>
          </cell>
          <cell r="N20">
            <v>76.656894579405929</v>
          </cell>
          <cell r="O20">
            <v>56.991227955419816</v>
          </cell>
          <cell r="P20">
            <v>206.84991493145756</v>
          </cell>
          <cell r="Q20" t="str">
            <v>c</v>
          </cell>
          <cell r="R20" t="str">
            <v>g</v>
          </cell>
          <cell r="S20" t="str">
            <v>c</v>
          </cell>
          <cell r="T20">
            <v>250</v>
          </cell>
          <cell r="U20">
            <v>200</v>
          </cell>
          <cell r="V20"/>
          <cell r="W20"/>
          <cell r="X20">
            <v>39326</v>
          </cell>
          <cell r="Y20"/>
          <cell r="Z20">
            <v>190.3009446279018</v>
          </cell>
          <cell r="AA20">
            <v>190.3009446279018</v>
          </cell>
          <cell r="AB20"/>
          <cell r="AC20"/>
          <cell r="AD20"/>
          <cell r="AE20">
            <v>39326</v>
          </cell>
          <cell r="AF20"/>
          <cell r="AG20">
            <v>206.84991493145756</v>
          </cell>
          <cell r="AH20">
            <v>206.84991493145756</v>
          </cell>
          <cell r="AI20"/>
          <cell r="AJ20"/>
          <cell r="AK20"/>
        </row>
        <row r="21">
          <cell r="B21">
            <v>39356</v>
          </cell>
          <cell r="C21"/>
          <cell r="D21">
            <v>187.80858640395294</v>
          </cell>
          <cell r="E21">
            <v>64.990771168471994</v>
          </cell>
          <cell r="F21">
            <v>53.100827552752264</v>
          </cell>
          <cell r="G21">
            <v>199.69853001967266</v>
          </cell>
          <cell r="H21" t="str">
            <v>g</v>
          </cell>
          <cell r="I21" t="str">
            <v>c</v>
          </cell>
          <cell r="J21" t="str">
            <v>c</v>
          </cell>
          <cell r="K21">
            <v>250</v>
          </cell>
          <cell r="L21">
            <v>200</v>
          </cell>
          <cell r="M21">
            <v>187.24668211711963</v>
          </cell>
          <cell r="N21">
            <v>75.490282238312531</v>
          </cell>
          <cell r="O21">
            <v>56.60218791515306</v>
          </cell>
          <cell r="P21">
            <v>206.13477644027913</v>
          </cell>
          <cell r="Q21" t="str">
            <v>c</v>
          </cell>
          <cell r="R21" t="str">
            <v>g</v>
          </cell>
          <cell r="S21" t="str">
            <v>c</v>
          </cell>
          <cell r="T21">
            <v>250</v>
          </cell>
          <cell r="U21">
            <v>200</v>
          </cell>
          <cell r="V21"/>
          <cell r="W21"/>
          <cell r="X21">
            <v>39356</v>
          </cell>
          <cell r="Y21"/>
          <cell r="Z21">
            <v>199.69853001967266</v>
          </cell>
          <cell r="AA21">
            <v>199.69853001967266</v>
          </cell>
          <cell r="AB21"/>
          <cell r="AC21"/>
          <cell r="AD21"/>
          <cell r="AE21">
            <v>39356</v>
          </cell>
          <cell r="AF21"/>
          <cell r="AG21">
            <v>206.13477644027913</v>
          </cell>
          <cell r="AH21">
            <v>206.13477644027913</v>
          </cell>
          <cell r="AI21"/>
          <cell r="AJ21"/>
          <cell r="AK21"/>
        </row>
        <row r="22">
          <cell r="B22">
            <v>39387</v>
          </cell>
          <cell r="C22"/>
          <cell r="D22">
            <v>176.52746198209968</v>
          </cell>
          <cell r="E22">
            <v>69.316522288786445</v>
          </cell>
          <cell r="F22">
            <v>47.431867383623462</v>
          </cell>
          <cell r="G22">
            <v>198.41211688726267</v>
          </cell>
          <cell r="H22" t="str">
            <v>g</v>
          </cell>
          <cell r="I22" t="str">
            <v>c</v>
          </cell>
          <cell r="J22" t="str">
            <v>c</v>
          </cell>
          <cell r="K22">
            <v>250</v>
          </cell>
          <cell r="L22">
            <v>200</v>
          </cell>
          <cell r="M22">
            <v>186.27220755939052</v>
          </cell>
          <cell r="N22">
            <v>74.929031333810158</v>
          </cell>
          <cell r="O22">
            <v>55.768522412286735</v>
          </cell>
          <cell r="P22">
            <v>205.43271648091397</v>
          </cell>
          <cell r="Q22" t="str">
            <v>c</v>
          </cell>
          <cell r="R22" t="str">
            <v>g</v>
          </cell>
          <cell r="S22" t="str">
            <v>c</v>
          </cell>
          <cell r="T22">
            <v>250</v>
          </cell>
          <cell r="U22">
            <v>200</v>
          </cell>
          <cell r="V22"/>
          <cell r="W22"/>
          <cell r="X22">
            <v>39387</v>
          </cell>
          <cell r="Y22"/>
          <cell r="Z22">
            <v>198.41211688726267</v>
          </cell>
          <cell r="AA22">
            <v>198.41211688726267</v>
          </cell>
          <cell r="AB22"/>
          <cell r="AC22"/>
          <cell r="AD22"/>
          <cell r="AE22">
            <v>39387</v>
          </cell>
          <cell r="AF22"/>
          <cell r="AG22">
            <v>205.43271648091397</v>
          </cell>
          <cell r="AH22">
            <v>205.43271648091397</v>
          </cell>
          <cell r="AI22"/>
          <cell r="AJ22"/>
          <cell r="AK22"/>
        </row>
        <row r="23">
          <cell r="B23">
            <v>39417</v>
          </cell>
          <cell r="C23"/>
          <cell r="D23">
            <v>182.7596457471148</v>
          </cell>
          <cell r="E23">
            <v>77.403441537709497</v>
          </cell>
          <cell r="F23">
            <v>55.219064176707221</v>
          </cell>
          <cell r="G23">
            <v>204.94402310811711</v>
          </cell>
          <cell r="H23" t="str">
            <v>c</v>
          </cell>
          <cell r="I23" t="str">
            <v>g</v>
          </cell>
          <cell r="J23" t="str">
            <v>c</v>
          </cell>
          <cell r="K23">
            <v>250</v>
          </cell>
          <cell r="L23">
            <v>200</v>
          </cell>
          <cell r="M23">
            <v>185.97949407503424</v>
          </cell>
          <cell r="N23">
            <v>75.135232184135106</v>
          </cell>
          <cell r="O23">
            <v>55.72273422598844</v>
          </cell>
          <cell r="P23">
            <v>205.39199203318091</v>
          </cell>
          <cell r="Q23" t="str">
            <v>c</v>
          </cell>
          <cell r="R23" t="str">
            <v>g</v>
          </cell>
          <cell r="S23" t="str">
            <v>c</v>
          </cell>
          <cell r="T23">
            <v>250</v>
          </cell>
          <cell r="U23">
            <v>200</v>
          </cell>
          <cell r="V23"/>
          <cell r="W23"/>
          <cell r="X23">
            <v>39417</v>
          </cell>
          <cell r="Y23"/>
          <cell r="Z23">
            <v>204.94402310811711</v>
          </cell>
          <cell r="AA23">
            <v>204.94402310811711</v>
          </cell>
          <cell r="AB23"/>
          <cell r="AC23"/>
          <cell r="AD23"/>
          <cell r="AE23">
            <v>39417</v>
          </cell>
          <cell r="AF23"/>
          <cell r="AG23">
            <v>205.39199203318091</v>
          </cell>
          <cell r="AH23">
            <v>205.39199203318091</v>
          </cell>
          <cell r="AI23"/>
          <cell r="AJ23"/>
          <cell r="AK23"/>
        </row>
        <row r="24">
          <cell r="B24">
            <v>39448</v>
          </cell>
          <cell r="C24"/>
          <cell r="D24">
            <v>198.37164245617913</v>
          </cell>
          <cell r="E24">
            <v>68.948656161989319</v>
          </cell>
          <cell r="F24">
            <v>58.811840532447576</v>
          </cell>
          <cell r="G24">
            <v>208.50845808572089</v>
          </cell>
          <cell r="H24" t="str">
            <v>c</v>
          </cell>
          <cell r="I24" t="str">
            <v>g</v>
          </cell>
          <cell r="J24" t="str">
            <v>c</v>
          </cell>
          <cell r="K24">
            <v>220</v>
          </cell>
          <cell r="L24">
            <v>180</v>
          </cell>
          <cell r="M24">
            <v>198.37164245617913</v>
          </cell>
          <cell r="N24">
            <v>68.948656161989319</v>
          </cell>
          <cell r="O24">
            <v>58.811840532447576</v>
          </cell>
          <cell r="P24">
            <v>208.50845808572089</v>
          </cell>
          <cell r="Q24" t="str">
            <v>c</v>
          </cell>
          <cell r="R24" t="str">
            <v>g</v>
          </cell>
          <cell r="S24" t="str">
            <v>c</v>
          </cell>
          <cell r="T24">
            <v>220</v>
          </cell>
          <cell r="U24">
            <v>180</v>
          </cell>
          <cell r="V24"/>
          <cell r="W24"/>
          <cell r="X24">
            <v>39448</v>
          </cell>
          <cell r="Y24">
            <v>205.08194640316995</v>
          </cell>
          <cell r="Z24">
            <v>208.50845808572089</v>
          </cell>
          <cell r="AA24">
            <v>3.4265116825509381</v>
          </cell>
          <cell r="AB24">
            <v>1.6708012297751207E-2</v>
          </cell>
          <cell r="AC24">
            <v>2464.7039043981708</v>
          </cell>
          <cell r="AD24">
            <v>208.50845808572089</v>
          </cell>
          <cell r="AE24">
            <v>39448</v>
          </cell>
          <cell r="AF24">
            <v>205.08194640316995</v>
          </cell>
          <cell r="AG24">
            <v>208.50845808572089</v>
          </cell>
          <cell r="AH24">
            <v>3.4265116825509381</v>
          </cell>
          <cell r="AI24">
            <v>1.6708012297751207E-2</v>
          </cell>
          <cell r="AJ24">
            <v>2495.4200261179444</v>
          </cell>
          <cell r="AK24">
            <v>208.50845808572089</v>
          </cell>
        </row>
        <row r="25">
          <cell r="B25">
            <v>39479</v>
          </cell>
          <cell r="C25"/>
          <cell r="D25">
            <v>199.8831708607986</v>
          </cell>
          <cell r="E25">
            <v>58.744149871029649</v>
          </cell>
          <cell r="F25">
            <v>37.972771191893159</v>
          </cell>
          <cell r="G25">
            <v>220.65454953993509</v>
          </cell>
          <cell r="H25" t="str">
            <v>c</v>
          </cell>
          <cell r="I25" t="str">
            <v>c</v>
          </cell>
          <cell r="J25" t="str">
            <v>g</v>
          </cell>
          <cell r="K25">
            <v>220</v>
          </cell>
          <cell r="L25">
            <v>180</v>
          </cell>
          <cell r="M25">
            <v>199.12740665848887</v>
          </cell>
          <cell r="N25">
            <v>63.846403016509484</v>
          </cell>
          <cell r="O25">
            <v>48.392305862170367</v>
          </cell>
          <cell r="P25">
            <v>214.58150381282798</v>
          </cell>
          <cell r="Q25" t="str">
            <v>c</v>
          </cell>
          <cell r="R25" t="str">
            <v>g</v>
          </cell>
          <cell r="S25" t="str">
            <v>c</v>
          </cell>
          <cell r="T25">
            <v>220</v>
          </cell>
          <cell r="U25">
            <v>180</v>
          </cell>
          <cell r="V25"/>
          <cell r="W25"/>
          <cell r="X25">
            <v>39479</v>
          </cell>
          <cell r="Y25">
            <v>211.76672537786894</v>
          </cell>
          <cell r="Z25">
            <v>220.65454953993509</v>
          </cell>
          <cell r="AA25">
            <v>8.8878241620661527</v>
          </cell>
          <cell r="AB25">
            <v>4.1969880519269642E-2</v>
          </cell>
          <cell r="AC25">
            <v>2464.7039043981708</v>
          </cell>
          <cell r="AD25">
            <v>429.16300762565595</v>
          </cell>
          <cell r="AE25">
            <v>39479</v>
          </cell>
          <cell r="AF25">
            <v>208.42433589051944</v>
          </cell>
          <cell r="AG25">
            <v>214.58150381282798</v>
          </cell>
          <cell r="AH25">
            <v>6.1571679223085312</v>
          </cell>
          <cell r="AI25">
            <v>2.9541501936428238E-2</v>
          </cell>
          <cell r="AJ25">
            <v>2495.4200261179444</v>
          </cell>
          <cell r="AK25">
            <v>423.08996189854884</v>
          </cell>
        </row>
        <row r="26">
          <cell r="B26">
            <v>39508</v>
          </cell>
          <cell r="C26"/>
          <cell r="D26">
            <v>186.56658806317549</v>
          </cell>
          <cell r="E26">
            <v>61.732552468361391</v>
          </cell>
          <cell r="F26">
            <v>34.304521331152429</v>
          </cell>
          <cell r="G26">
            <v>213.99461920038442</v>
          </cell>
          <cell r="H26" t="str">
            <v>c</v>
          </cell>
          <cell r="I26" t="str">
            <v>g</v>
          </cell>
          <cell r="J26" t="str">
            <v>c</v>
          </cell>
          <cell r="K26">
            <v>220</v>
          </cell>
          <cell r="L26">
            <v>180</v>
          </cell>
          <cell r="M26">
            <v>194.94046712671775</v>
          </cell>
          <cell r="N26">
            <v>63.141786167126781</v>
          </cell>
          <cell r="O26">
            <v>43.696377685164386</v>
          </cell>
          <cell r="P26">
            <v>214.38587560868015</v>
          </cell>
          <cell r="Q26" t="str">
            <v>c</v>
          </cell>
          <cell r="R26" t="str">
            <v>g</v>
          </cell>
          <cell r="S26" t="str">
            <v>c</v>
          </cell>
          <cell r="T26">
            <v>220</v>
          </cell>
          <cell r="U26">
            <v>180</v>
          </cell>
          <cell r="V26"/>
          <cell r="W26"/>
          <cell r="X26">
            <v>39508</v>
          </cell>
          <cell r="Y26">
            <v>210.94075579560945</v>
          </cell>
          <cell r="Z26">
            <v>213.99461920038442</v>
          </cell>
          <cell r="AA26">
            <v>3.0538634047749724</v>
          </cell>
          <cell r="AB26">
            <v>1.4477351203453503E-2</v>
          </cell>
          <cell r="AC26">
            <v>2464.7039043981708</v>
          </cell>
          <cell r="AD26">
            <v>643.15762682604031</v>
          </cell>
          <cell r="AE26">
            <v>39508</v>
          </cell>
          <cell r="AF26">
            <v>209.26314252554945</v>
          </cell>
          <cell r="AG26">
            <v>214.38587560868015</v>
          </cell>
          <cell r="AH26">
            <v>5.1227330831306972</v>
          </cell>
          <cell r="AI26">
            <v>2.4479863110653755E-2</v>
          </cell>
          <cell r="AJ26">
            <v>2495.4200261179444</v>
          </cell>
          <cell r="AK26">
            <v>637.47583750722902</v>
          </cell>
        </row>
        <row r="27">
          <cell r="B27">
            <v>39539</v>
          </cell>
          <cell r="C27"/>
          <cell r="D27">
            <v>207.61184050109412</v>
          </cell>
          <cell r="E27">
            <v>64.419336797818929</v>
          </cell>
          <cell r="F27">
            <v>47.285192141539163</v>
          </cell>
          <cell r="G27">
            <v>224.74598515737389</v>
          </cell>
          <cell r="H27" t="str">
            <v>c</v>
          </cell>
          <cell r="I27" t="str">
            <v>c</v>
          </cell>
          <cell r="J27" t="str">
            <v>g</v>
          </cell>
          <cell r="K27">
            <v>220</v>
          </cell>
          <cell r="L27">
            <v>180</v>
          </cell>
          <cell r="M27">
            <v>198.10831047031184</v>
          </cell>
          <cell r="N27">
            <v>63.461173824799815</v>
          </cell>
          <cell r="O27">
            <v>44.593581299258084</v>
          </cell>
          <cell r="P27">
            <v>216.97590299585355</v>
          </cell>
          <cell r="Q27" t="str">
            <v>c</v>
          </cell>
          <cell r="R27" t="str">
            <v>g</v>
          </cell>
          <cell r="S27" t="str">
            <v>c</v>
          </cell>
          <cell r="T27">
            <v>220</v>
          </cell>
          <cell r="U27">
            <v>180</v>
          </cell>
          <cell r="V27"/>
          <cell r="W27"/>
          <cell r="X27">
            <v>39539</v>
          </cell>
          <cell r="Y27">
            <v>213.19986945103759</v>
          </cell>
          <cell r="Z27">
            <v>224.74598515737389</v>
          </cell>
          <cell r="AA27">
            <v>11.546115706336309</v>
          </cell>
          <cell r="AB27">
            <v>5.4156298200679354E-2</v>
          </cell>
          <cell r="AC27">
            <v>2464.7039043981708</v>
          </cell>
          <cell r="AD27">
            <v>867.90361198341418</v>
          </cell>
          <cell r="AE27">
            <v>39539</v>
          </cell>
          <cell r="AF27">
            <v>210.24732425692153</v>
          </cell>
          <cell r="AG27">
            <v>216.97590299585355</v>
          </cell>
          <cell r="AH27">
            <v>6.7285787389320149</v>
          </cell>
          <cell r="AI27">
            <v>3.2003159910419132E-2</v>
          </cell>
          <cell r="AJ27">
            <v>2495.4200261179444</v>
          </cell>
          <cell r="AK27">
            <v>854.45174050308253</v>
          </cell>
        </row>
        <row r="28">
          <cell r="B28">
            <v>39569</v>
          </cell>
          <cell r="C28"/>
          <cell r="D28">
            <v>205.19649134071932</v>
          </cell>
          <cell r="E28">
            <v>60.448384586747196</v>
          </cell>
          <cell r="F28">
            <v>51.753420416969753</v>
          </cell>
          <cell r="G28">
            <v>213.89145551049674</v>
          </cell>
          <cell r="H28" t="str">
            <v>c</v>
          </cell>
          <cell r="I28" t="str">
            <v>g</v>
          </cell>
          <cell r="J28" t="str">
            <v>c</v>
          </cell>
          <cell r="K28">
            <v>220</v>
          </cell>
          <cell r="L28">
            <v>180</v>
          </cell>
          <cell r="M28">
            <v>199.52594664439334</v>
          </cell>
          <cell r="N28">
            <v>62.858615977189288</v>
          </cell>
          <cell r="O28">
            <v>46.02554912280042</v>
          </cell>
          <cell r="P28">
            <v>216.35901349878222</v>
          </cell>
          <cell r="Q28" t="str">
            <v>c</v>
          </cell>
          <cell r="R28" t="str">
            <v>g</v>
          </cell>
          <cell r="S28" t="str">
            <v>c</v>
          </cell>
          <cell r="T28">
            <v>220</v>
          </cell>
          <cell r="U28">
            <v>180</v>
          </cell>
          <cell r="V28"/>
          <cell r="W28"/>
          <cell r="X28">
            <v>39569</v>
          </cell>
          <cell r="Y28">
            <v>208.0218359416713</v>
          </cell>
          <cell r="Z28">
            <v>213.89145551049674</v>
          </cell>
          <cell r="AA28">
            <v>5.869619568825442</v>
          </cell>
          <cell r="AB28">
            <v>2.8216362682575546E-2</v>
          </cell>
          <cell r="AC28">
            <v>2464.7039043981708</v>
          </cell>
          <cell r="AD28">
            <v>1081.7950674939109</v>
          </cell>
          <cell r="AE28">
            <v>39569</v>
          </cell>
          <cell r="AF28">
            <v>209.8022265938715</v>
          </cell>
          <cell r="AG28">
            <v>216.35901349878222</v>
          </cell>
          <cell r="AH28">
            <v>6.556786904910723</v>
          </cell>
          <cell r="AI28">
            <v>3.1252227449440451E-2</v>
          </cell>
          <cell r="AJ28">
            <v>2495.4200261179444</v>
          </cell>
          <cell r="AK28">
            <v>1070.8107540018648</v>
          </cell>
        </row>
        <row r="29">
          <cell r="B29">
            <v>39600</v>
          </cell>
          <cell r="C29"/>
          <cell r="D29">
            <v>206.69753826874449</v>
          </cell>
          <cell r="E29">
            <v>63.832143797176045</v>
          </cell>
          <cell r="F29">
            <v>55.159372480982952</v>
          </cell>
          <cell r="G29">
            <v>215.37030958493762</v>
          </cell>
          <cell r="H29" t="str">
            <v>c</v>
          </cell>
          <cell r="I29" t="str">
            <v>g</v>
          </cell>
          <cell r="J29" t="str">
            <v>c</v>
          </cell>
          <cell r="K29">
            <v>220</v>
          </cell>
          <cell r="L29">
            <v>180</v>
          </cell>
          <cell r="M29">
            <v>200.72121191511852</v>
          </cell>
          <cell r="N29">
            <v>63.020870613853752</v>
          </cell>
          <cell r="O29">
            <v>47.547853015830839</v>
          </cell>
          <cell r="P29">
            <v>216.19422951314144</v>
          </cell>
          <cell r="Q29" t="str">
            <v>c</v>
          </cell>
          <cell r="R29" t="str">
            <v>g</v>
          </cell>
          <cell r="S29" t="str">
            <v>c</v>
          </cell>
          <cell r="T29">
            <v>220</v>
          </cell>
          <cell r="U29">
            <v>180</v>
          </cell>
          <cell r="V29"/>
          <cell r="W29"/>
          <cell r="X29">
            <v>39600</v>
          </cell>
          <cell r="Y29">
            <v>203.94796059948686</v>
          </cell>
          <cell r="Z29">
            <v>215.37030958493762</v>
          </cell>
          <cell r="AA29">
            <v>11.422348985450753</v>
          </cell>
          <cell r="AB29">
            <v>5.6006193697038187E-2</v>
          </cell>
          <cell r="AC29">
            <v>2464.7039043981708</v>
          </cell>
          <cell r="AD29">
            <v>1297.1653770788485</v>
          </cell>
          <cell r="AE29">
            <v>39600</v>
          </cell>
          <cell r="AF29">
            <v>208.82651559480738</v>
          </cell>
          <cell r="AG29">
            <v>216.19422951314144</v>
          </cell>
          <cell r="AH29">
            <v>7.3677139183340614</v>
          </cell>
          <cell r="AI29">
            <v>3.5281505786505907E-2</v>
          </cell>
          <cell r="AJ29">
            <v>2495.4200261179444</v>
          </cell>
          <cell r="AK29">
            <v>1287.0049835150062</v>
          </cell>
        </row>
        <row r="30">
          <cell r="B30">
            <v>39630</v>
          </cell>
          <cell r="C30"/>
          <cell r="D30">
            <v>198.86804370343521</v>
          </cell>
          <cell r="E30">
            <v>58.997536584182406</v>
          </cell>
          <cell r="F30">
            <v>43.358648854843409</v>
          </cell>
          <cell r="G30">
            <v>214.50693143277419</v>
          </cell>
          <cell r="H30" t="str">
            <v>c</v>
          </cell>
          <cell r="I30" t="str">
            <v>g</v>
          </cell>
          <cell r="J30" t="str">
            <v>c</v>
          </cell>
          <cell r="K30">
            <v>220</v>
          </cell>
          <cell r="L30">
            <v>180</v>
          </cell>
          <cell r="M30">
            <v>200.45647359916376</v>
          </cell>
          <cell r="N30">
            <v>62.446108609614988</v>
          </cell>
          <cell r="O30">
            <v>46.949395278546923</v>
          </cell>
          <cell r="P30">
            <v>215.95318693023185</v>
          </cell>
          <cell r="Q30" t="str">
            <v>c</v>
          </cell>
          <cell r="R30" t="str">
            <v>g</v>
          </cell>
          <cell r="S30" t="str">
            <v>c</v>
          </cell>
          <cell r="T30">
            <v>220</v>
          </cell>
          <cell r="U30">
            <v>180</v>
          </cell>
          <cell r="V30"/>
          <cell r="W30"/>
          <cell r="X30">
            <v>39630</v>
          </cell>
          <cell r="Y30">
            <v>224.36709766625575</v>
          </cell>
          <cell r="Z30">
            <v>214.50693143277419</v>
          </cell>
          <cell r="AA30">
            <v>-9.8601662334815501</v>
          </cell>
          <cell r="AB30">
            <v>-4.3946578335422704E-2</v>
          </cell>
          <cell r="AC30">
            <v>2464.7039043981708</v>
          </cell>
          <cell r="AD30">
            <v>1511.6723085116228</v>
          </cell>
          <cell r="AE30">
            <v>39630</v>
          </cell>
          <cell r="AF30">
            <v>211.04659874787146</v>
          </cell>
          <cell r="AG30">
            <v>215.95318693023185</v>
          </cell>
          <cell r="AH30">
            <v>4.9065881823603945</v>
          </cell>
          <cell r="AI30">
            <v>2.3248837988723459E-2</v>
          </cell>
          <cell r="AJ30">
            <v>2495.4200261179444</v>
          </cell>
          <cell r="AK30">
            <v>1502.958170445238</v>
          </cell>
        </row>
        <row r="31">
          <cell r="B31">
            <v>39661</v>
          </cell>
          <cell r="C31"/>
          <cell r="D31">
            <v>198.80870862133463</v>
          </cell>
          <cell r="E31">
            <v>55.79957215577852</v>
          </cell>
          <cell r="F31">
            <v>55.684656169466308</v>
          </cell>
          <cell r="G31">
            <v>198.92362460764684</v>
          </cell>
          <cell r="H31" t="str">
            <v>c</v>
          </cell>
          <cell r="I31" t="str">
            <v>g</v>
          </cell>
          <cell r="J31" t="str">
            <v>c</v>
          </cell>
          <cell r="K31">
            <v>220</v>
          </cell>
          <cell r="L31">
            <v>180</v>
          </cell>
          <cell r="M31">
            <v>200.25050297693514</v>
          </cell>
          <cell r="N31">
            <v>61.615291552885424</v>
          </cell>
          <cell r="O31">
            <v>48.041302889911847</v>
          </cell>
          <cell r="P31">
            <v>213.82449163990873</v>
          </cell>
          <cell r="Q31" t="str">
            <v>c</v>
          </cell>
          <cell r="R31" t="str">
            <v>g</v>
          </cell>
          <cell r="S31" t="str">
            <v>c</v>
          </cell>
          <cell r="T31">
            <v>220</v>
          </cell>
          <cell r="U31">
            <v>180</v>
          </cell>
          <cell r="V31"/>
          <cell r="W31"/>
          <cell r="X31">
            <v>39661</v>
          </cell>
          <cell r="Y31">
            <v>194.02209852011663</v>
          </cell>
          <cell r="Z31">
            <v>198.92362460764684</v>
          </cell>
          <cell r="AA31">
            <v>4.9015260875302147</v>
          </cell>
          <cell r="AB31">
            <v>2.5262720715403475E-2</v>
          </cell>
          <cell r="AC31">
            <v>2464.7039043981708</v>
          </cell>
          <cell r="AD31">
            <v>1710.5959331192696</v>
          </cell>
          <cell r="AE31">
            <v>39661</v>
          </cell>
          <cell r="AF31">
            <v>208.91853621940203</v>
          </cell>
          <cell r="AG31">
            <v>213.82449163990873</v>
          </cell>
          <cell r="AH31">
            <v>4.9059554205067002</v>
          </cell>
          <cell r="AI31">
            <v>2.3482623941776914E-2</v>
          </cell>
          <cell r="AJ31">
            <v>2495.4200261179444</v>
          </cell>
          <cell r="AK31">
            <v>1716.7826620851467</v>
          </cell>
        </row>
        <row r="32">
          <cell r="B32">
            <v>39692</v>
          </cell>
          <cell r="C32"/>
          <cell r="D32">
            <v>149.70363530648342</v>
          </cell>
          <cell r="E32">
            <v>44.110479079500585</v>
          </cell>
          <cell r="F32">
            <v>41.56682396334714</v>
          </cell>
          <cell r="G32">
            <v>152.24729042263687</v>
          </cell>
          <cell r="H32" t="str">
            <v>g</v>
          </cell>
          <cell r="I32" t="str">
            <v>c</v>
          </cell>
          <cell r="J32" t="str">
            <v>c</v>
          </cell>
          <cell r="K32">
            <v>220</v>
          </cell>
          <cell r="L32">
            <v>180</v>
          </cell>
          <cell r="M32">
            <v>194.63418434688495</v>
          </cell>
          <cell r="N32">
            <v>59.670312389175997</v>
          </cell>
          <cell r="O32">
            <v>47.32191634251577</v>
          </cell>
          <cell r="P32">
            <v>206.98258039354516</v>
          </cell>
          <cell r="Q32" t="str">
            <v>c</v>
          </cell>
          <cell r="R32" t="str">
            <v>g</v>
          </cell>
          <cell r="S32" t="str">
            <v>c</v>
          </cell>
          <cell r="T32">
            <v>220</v>
          </cell>
          <cell r="U32">
            <v>180</v>
          </cell>
          <cell r="V32"/>
          <cell r="W32"/>
          <cell r="X32">
            <v>39692</v>
          </cell>
          <cell r="Y32">
            <v>190.3009446279018</v>
          </cell>
          <cell r="Z32">
            <v>152.24729042263687</v>
          </cell>
          <cell r="AA32">
            <v>-38.053654205264934</v>
          </cell>
          <cell r="AB32">
            <v>-0.19996566112518144</v>
          </cell>
          <cell r="AC32">
            <v>2464.7039043981708</v>
          </cell>
          <cell r="AD32">
            <v>1862.8432235419064</v>
          </cell>
          <cell r="AE32">
            <v>39692</v>
          </cell>
          <cell r="AF32">
            <v>206.84991493145756</v>
          </cell>
          <cell r="AG32">
            <v>206.98258039354516</v>
          </cell>
          <cell r="AH32">
            <v>0.13266546208760133</v>
          </cell>
          <cell r="AI32">
            <v>6.4136097001332715E-4</v>
          </cell>
          <cell r="AJ32">
            <v>2495.4200261179444</v>
          </cell>
          <cell r="AK32">
            <v>1923.765242478692</v>
          </cell>
        </row>
        <row r="33">
          <cell r="B33">
            <v>39722</v>
          </cell>
          <cell r="C33"/>
          <cell r="D33">
            <v>182</v>
          </cell>
          <cell r="E33">
            <v>45</v>
          </cell>
          <cell r="F33">
            <v>61</v>
          </cell>
          <cell r="G33">
            <v>166</v>
          </cell>
          <cell r="H33" t="str">
            <v>g</v>
          </cell>
          <cell r="I33" t="str">
            <v>c</v>
          </cell>
          <cell r="J33" t="str">
            <v>c</v>
          </cell>
          <cell r="K33">
            <v>220</v>
          </cell>
          <cell r="L33">
            <v>180</v>
          </cell>
          <cell r="M33">
            <v>193.37076591219645</v>
          </cell>
          <cell r="N33">
            <v>58.203281150258398</v>
          </cell>
          <cell r="O33">
            <v>48.689724708264194</v>
          </cell>
          <cell r="P33">
            <v>202.88432235419066</v>
          </cell>
          <cell r="Q33" t="str">
            <v>c</v>
          </cell>
          <cell r="R33" t="str">
            <v>g</v>
          </cell>
          <cell r="S33" t="str">
            <v>c</v>
          </cell>
          <cell r="T33">
            <v>220</v>
          </cell>
          <cell r="U33">
            <v>180</v>
          </cell>
          <cell r="V33"/>
          <cell r="W33"/>
          <cell r="X33">
            <v>39722</v>
          </cell>
          <cell r="Y33">
            <v>199.69853001967266</v>
          </cell>
          <cell r="Z33">
            <v>166</v>
          </cell>
          <cell r="AA33">
            <v>-33.69853001967266</v>
          </cell>
          <cell r="AB33">
            <v>-0.16874701088862776</v>
          </cell>
          <cell r="AC33">
            <v>2464.7039043981708</v>
          </cell>
          <cell r="AD33">
            <v>2028.8432235419064</v>
          </cell>
          <cell r="AE33">
            <v>39722</v>
          </cell>
          <cell r="AF33">
            <v>206.13477644027913</v>
          </cell>
          <cell r="AG33">
            <v>202.88432235419066</v>
          </cell>
          <cell r="AH33">
            <v>-3.2504540860884674</v>
          </cell>
          <cell r="AI33">
            <v>-1.5768586660728667E-2</v>
          </cell>
          <cell r="AJ33">
            <v>2495.4200261179444</v>
          </cell>
          <cell r="AK33">
            <v>2126.6495648328828</v>
          </cell>
        </row>
        <row r="34">
          <cell r="B34">
            <v>39753</v>
          </cell>
          <cell r="C34"/>
          <cell r="D34">
            <v>186.13052071292688</v>
          </cell>
          <cell r="E34">
            <v>46</v>
          </cell>
          <cell r="F34">
            <v>53.021076075168963</v>
          </cell>
          <cell r="G34">
            <v>179.10944463775792</v>
          </cell>
          <cell r="H34" t="str">
            <v>g</v>
          </cell>
          <cell r="I34" t="str">
            <v>c</v>
          </cell>
          <cell r="J34" t="str">
            <v>c</v>
          </cell>
          <cell r="K34">
            <v>220</v>
          </cell>
          <cell r="L34">
            <v>180</v>
          </cell>
          <cell r="M34">
            <v>192.71256180317195</v>
          </cell>
          <cell r="N34">
            <v>57.093891954780361</v>
          </cell>
          <cell r="O34">
            <v>49.083483923437349</v>
          </cell>
          <cell r="P34">
            <v>200.72296983451497</v>
          </cell>
          <cell r="Q34" t="str">
            <v>c</v>
          </cell>
          <cell r="R34" t="str">
            <v>g</v>
          </cell>
          <cell r="S34" t="str">
            <v>c</v>
          </cell>
          <cell r="T34">
            <v>220</v>
          </cell>
          <cell r="U34">
            <v>180</v>
          </cell>
          <cell r="V34"/>
          <cell r="W34"/>
          <cell r="X34">
            <v>39753</v>
          </cell>
          <cell r="Y34">
            <v>198.41211688726267</v>
          </cell>
          <cell r="Z34">
            <v>179.10944463775792</v>
          </cell>
          <cell r="AA34"/>
          <cell r="AB34"/>
          <cell r="AC34">
            <v>2464.7039043981708</v>
          </cell>
          <cell r="AD34">
            <v>2207.9526681796642</v>
          </cell>
          <cell r="AE34">
            <v>39753</v>
          </cell>
          <cell r="AF34">
            <v>205.43271648091397</v>
          </cell>
          <cell r="AG34">
            <v>200.72296983451497</v>
          </cell>
          <cell r="AH34"/>
          <cell r="AI34"/>
          <cell r="AJ34">
            <v>2495.4200261179444</v>
          </cell>
          <cell r="AK34">
            <v>2327.3725346673978</v>
          </cell>
        </row>
        <row r="35">
          <cell r="B35">
            <v>39783</v>
          </cell>
          <cell r="C35"/>
          <cell r="D35">
            <v>110</v>
          </cell>
          <cell r="E35">
            <v>41.653326233083348</v>
          </cell>
          <cell r="F35">
            <v>63</v>
          </cell>
          <cell r="G35">
            <v>88.653326233083362</v>
          </cell>
          <cell r="H35" t="str">
            <v>g</v>
          </cell>
          <cell r="I35" t="str">
            <v>c</v>
          </cell>
          <cell r="J35" t="str">
            <v>c</v>
          </cell>
          <cell r="K35">
            <v>220</v>
          </cell>
          <cell r="L35">
            <v>180</v>
          </cell>
          <cell r="M35">
            <v>185.81984831957428</v>
          </cell>
          <cell r="N35">
            <v>55.807178144638947</v>
          </cell>
          <cell r="O35">
            <v>50.24319359648424</v>
          </cell>
          <cell r="P35">
            <v>191.38383286772898</v>
          </cell>
          <cell r="Q35" t="str">
            <v>c</v>
          </cell>
          <cell r="R35" t="str">
            <v>g</v>
          </cell>
          <cell r="S35" t="str">
            <v>c</v>
          </cell>
          <cell r="T35">
            <v>220</v>
          </cell>
          <cell r="U35">
            <v>180</v>
          </cell>
          <cell r="V35"/>
          <cell r="W35"/>
          <cell r="X35">
            <v>39783</v>
          </cell>
          <cell r="Y35">
            <v>204.94402310811711</v>
          </cell>
          <cell r="Z35">
            <v>88.653326233083362</v>
          </cell>
          <cell r="AA35"/>
          <cell r="AB35"/>
          <cell r="AC35">
            <v>2464.7039043981708</v>
          </cell>
          <cell r="AD35">
            <v>2296.6059944127473</v>
          </cell>
          <cell r="AE35">
            <v>39783</v>
          </cell>
          <cell r="AF35">
            <v>205.39199203318091</v>
          </cell>
          <cell r="AG35">
            <v>191.38383286772898</v>
          </cell>
          <cell r="AH35"/>
          <cell r="AI35"/>
          <cell r="AJ35">
            <v>2495.4200261179444</v>
          </cell>
          <cell r="AK35">
            <v>2518.7563675351266</v>
          </cell>
        </row>
        <row r="36">
          <cell r="B36">
            <v>39814</v>
          </cell>
          <cell r="C36"/>
          <cell r="D36"/>
          <cell r="E36"/>
          <cell r="F36"/>
          <cell r="G36" t="str">
            <v/>
          </cell>
          <cell r="H36"/>
          <cell r="I36"/>
          <cell r="J36"/>
          <cell r="K36">
            <v>220</v>
          </cell>
          <cell r="L36">
            <v>180</v>
          </cell>
          <cell r="M36" t="str">
            <v/>
          </cell>
          <cell r="N36" t="str">
            <v/>
          </cell>
          <cell r="O36" t="str">
            <v/>
          </cell>
          <cell r="P36" t="str">
            <v/>
          </cell>
          <cell r="Q36" t="str">
            <v/>
          </cell>
          <cell r="R36" t="str">
            <v/>
          </cell>
          <cell r="S36" t="str">
            <v/>
          </cell>
          <cell r="T36">
            <v>220</v>
          </cell>
          <cell r="U36">
            <v>180</v>
          </cell>
          <cell r="V36"/>
          <cell r="W36"/>
          <cell r="X36">
            <v>39814</v>
          </cell>
          <cell r="Y36">
            <v>208.50845808572089</v>
          </cell>
          <cell r="Z36" t="str">
            <v/>
          </cell>
          <cell r="AA36"/>
          <cell r="AB36"/>
          <cell r="AC36"/>
          <cell r="AD36"/>
          <cell r="AE36">
            <v>39814</v>
          </cell>
          <cell r="AF36">
            <v>208.50845808572089</v>
          </cell>
          <cell r="AG36" t="str">
            <v/>
          </cell>
          <cell r="AH36"/>
          <cell r="AI36"/>
          <cell r="AJ36"/>
          <cell r="AK36"/>
        </row>
        <row r="37">
          <cell r="B37">
            <v>39845</v>
          </cell>
          <cell r="C37"/>
          <cell r="D37"/>
          <cell r="E37"/>
          <cell r="F37"/>
          <cell r="G37" t="str">
            <v/>
          </cell>
          <cell r="H37"/>
          <cell r="I37"/>
          <cell r="J37"/>
          <cell r="K37">
            <v>220</v>
          </cell>
          <cell r="L37">
            <v>180</v>
          </cell>
          <cell r="M37" t="str">
            <v/>
          </cell>
          <cell r="N37" t="str">
            <v/>
          </cell>
          <cell r="O37" t="str">
            <v/>
          </cell>
          <cell r="P37" t="str">
            <v/>
          </cell>
          <cell r="Q37" t="str">
            <v/>
          </cell>
          <cell r="R37" t="str">
            <v/>
          </cell>
          <cell r="S37" t="str">
            <v/>
          </cell>
          <cell r="T37">
            <v>220</v>
          </cell>
          <cell r="U37">
            <v>180</v>
          </cell>
          <cell r="V37"/>
          <cell r="W37"/>
          <cell r="X37">
            <v>39845</v>
          </cell>
          <cell r="Y37">
            <v>220.65454953993509</v>
          </cell>
          <cell r="Z37" t="str">
            <v/>
          </cell>
          <cell r="AA37"/>
          <cell r="AB37"/>
          <cell r="AC37"/>
          <cell r="AD37"/>
          <cell r="AE37"/>
          <cell r="AF37">
            <v>214.58150381282798</v>
          </cell>
          <cell r="AG37" t="str">
            <v/>
          </cell>
          <cell r="AH37"/>
          <cell r="AI37"/>
          <cell r="AJ37"/>
          <cell r="AK37"/>
        </row>
        <row r="38">
          <cell r="B38">
            <v>39873</v>
          </cell>
          <cell r="C38"/>
          <cell r="D38"/>
          <cell r="E38"/>
          <cell r="F38"/>
          <cell r="G38" t="str">
            <v/>
          </cell>
          <cell r="H38"/>
          <cell r="I38"/>
          <cell r="J38"/>
          <cell r="K38">
            <v>220</v>
          </cell>
          <cell r="L38">
            <v>180</v>
          </cell>
          <cell r="M38" t="str">
            <v/>
          </cell>
          <cell r="N38" t="str">
            <v/>
          </cell>
          <cell r="O38" t="str">
            <v/>
          </cell>
          <cell r="P38" t="str">
            <v/>
          </cell>
          <cell r="Q38" t="str">
            <v/>
          </cell>
          <cell r="R38" t="str">
            <v/>
          </cell>
          <cell r="S38" t="str">
            <v/>
          </cell>
          <cell r="T38">
            <v>220</v>
          </cell>
          <cell r="U38">
            <v>180</v>
          </cell>
          <cell r="X38">
            <v>39873</v>
          </cell>
          <cell r="Y38">
            <v>213.99461920038442</v>
          </cell>
          <cell r="Z38" t="str">
            <v/>
          </cell>
          <cell r="AA38"/>
          <cell r="AB38"/>
          <cell r="AC38"/>
          <cell r="AD38"/>
          <cell r="AE38"/>
          <cell r="AF38">
            <v>214.38587560868015</v>
          </cell>
          <cell r="AG38" t="str">
            <v/>
          </cell>
          <cell r="AH38"/>
          <cell r="AI38"/>
          <cell r="AJ38"/>
          <cell r="AK38"/>
        </row>
        <row r="39">
          <cell r="B39">
            <v>39904</v>
          </cell>
          <cell r="C39"/>
          <cell r="D39"/>
          <cell r="E39"/>
          <cell r="F39"/>
          <cell r="G39" t="str">
            <v/>
          </cell>
          <cell r="H39" t="str">
            <v/>
          </cell>
          <cell r="I39" t="str">
            <v/>
          </cell>
          <cell r="J39" t="str">
            <v/>
          </cell>
          <cell r="K39">
            <v>220</v>
          </cell>
          <cell r="L39">
            <v>180</v>
          </cell>
          <cell r="M39" t="str">
            <v/>
          </cell>
          <cell r="N39" t="str">
            <v/>
          </cell>
          <cell r="O39" t="str">
            <v/>
          </cell>
          <cell r="P39" t="str">
            <v/>
          </cell>
          <cell r="Q39" t="str">
            <v/>
          </cell>
          <cell r="R39" t="str">
            <v/>
          </cell>
          <cell r="S39" t="str">
            <v/>
          </cell>
          <cell r="T39">
            <v>220</v>
          </cell>
          <cell r="U39">
            <v>180</v>
          </cell>
          <cell r="X39">
            <v>39904</v>
          </cell>
          <cell r="Y39">
            <v>224.74598515737389</v>
          </cell>
          <cell r="Z39" t="str">
            <v/>
          </cell>
          <cell r="AA39"/>
          <cell r="AB39"/>
          <cell r="AC39"/>
          <cell r="AD39"/>
          <cell r="AE39"/>
          <cell r="AF39">
            <v>216.97590299585355</v>
          </cell>
          <cell r="AG39" t="str">
            <v/>
          </cell>
          <cell r="AH39"/>
          <cell r="AI39"/>
          <cell r="AJ39"/>
          <cell r="AK39"/>
        </row>
      </sheetData>
      <sheetData sheetId="72">
        <row r="13">
          <cell r="B13"/>
          <cell r="C13"/>
          <cell r="D13"/>
          <cell r="E13" t="str">
            <v>Mensual</v>
          </cell>
          <cell r="F13"/>
          <cell r="G13"/>
          <cell r="H13"/>
          <cell r="I13"/>
          <cell r="J13"/>
          <cell r="K13" t="str">
            <v>Acumulado</v>
          </cell>
          <cell r="L13"/>
          <cell r="M13"/>
          <cell r="N13"/>
          <cell r="O13"/>
          <cell r="P13"/>
          <cell r="Q13"/>
          <cell r="R13"/>
          <cell r="S13"/>
          <cell r="U13"/>
          <cell r="V13"/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</row>
        <row r="14">
          <cell r="B14"/>
          <cell r="C14"/>
          <cell r="D14"/>
          <cell r="E14" t="str">
            <v>Días</v>
          </cell>
          <cell r="F14" t="str">
            <v>Periodo Promedio de Cobro</v>
          </cell>
          <cell r="G14"/>
          <cell r="H14"/>
          <cell r="I14"/>
          <cell r="J14"/>
          <cell r="K14" t="str">
            <v>Días</v>
          </cell>
          <cell r="L14" t="str">
            <v>Acum. Promedio de Cobro</v>
          </cell>
          <cell r="M14"/>
          <cell r="N14"/>
          <cell r="O14"/>
          <cell r="P14"/>
          <cell r="Q14"/>
          <cell r="R14"/>
          <cell r="S14"/>
          <cell r="T14" t="str">
            <v>Periodo promedio de cobro</v>
          </cell>
          <cell r="U14"/>
          <cell r="V14"/>
          <cell r="W14" t="str">
            <v>Var 1.</v>
          </cell>
          <cell r="X14"/>
          <cell r="Y14" t="str">
            <v>Var. 2</v>
          </cell>
          <cell r="Z14"/>
          <cell r="AA14"/>
          <cell r="AB14" t="str">
            <v>Cumplimiento Proyectado  TM</v>
          </cell>
          <cell r="AC14"/>
          <cell r="AD14"/>
          <cell r="AE14" t="str">
            <v>Var 1.</v>
          </cell>
          <cell r="AF14"/>
          <cell r="AG14" t="str">
            <v>Var. 2</v>
          </cell>
          <cell r="AH14"/>
          <cell r="AI14"/>
          <cell r="AJ14" t="str">
            <v>Acum. promedio de cobro</v>
          </cell>
          <cell r="AK14"/>
          <cell r="AL14"/>
          <cell r="AM14" t="str">
            <v>Var 1.</v>
          </cell>
          <cell r="AN14"/>
        </row>
        <row r="15">
          <cell r="B15"/>
          <cell r="C15" t="str">
            <v>Fecha</v>
          </cell>
          <cell r="D15" t="str">
            <v>TIPO</v>
          </cell>
          <cell r="E15"/>
          <cell r="F15" t="str">
            <v>Performance</v>
          </cell>
          <cell r="G15"/>
          <cell r="H15"/>
          <cell r="I15" t="str">
            <v>Sup</v>
          </cell>
          <cell r="J15" t="str">
            <v>Inf</v>
          </cell>
          <cell r="K15"/>
          <cell r="L15" t="str">
            <v>Performance</v>
          </cell>
          <cell r="M15"/>
          <cell r="N15"/>
          <cell r="O15" t="str">
            <v>Sup</v>
          </cell>
          <cell r="P15" t="str">
            <v>Inf</v>
          </cell>
          <cell r="Q15"/>
          <cell r="R15" t="str">
            <v>Fecha</v>
          </cell>
          <cell r="S15" t="str">
            <v>TIPO</v>
          </cell>
          <cell r="T15" t="str">
            <v>Anteriores</v>
          </cell>
          <cell r="U15" t="str">
            <v>Real</v>
          </cell>
          <cell r="V15" t="str">
            <v>Programado</v>
          </cell>
          <cell r="W15" t="str">
            <v>Unidades</v>
          </cell>
          <cell r="X15" t="str">
            <v>%</v>
          </cell>
          <cell r="Y15" t="str">
            <v>Unidades</v>
          </cell>
          <cell r="Z15" t="str">
            <v>%</v>
          </cell>
          <cell r="AA15"/>
          <cell r="AB15" t="str">
            <v>Anteriores</v>
          </cell>
          <cell r="AC15" t="str">
            <v>Real</v>
          </cell>
          <cell r="AD15" t="str">
            <v>Inicial</v>
          </cell>
          <cell r="AE15" t="str">
            <v>Unidades</v>
          </cell>
          <cell r="AF15" t="str">
            <v>%</v>
          </cell>
          <cell r="AG15" t="str">
            <v>Unidades</v>
          </cell>
          <cell r="AH15" t="str">
            <v>%</v>
          </cell>
          <cell r="AI15"/>
          <cell r="AJ15" t="str">
            <v>Anterior</v>
          </cell>
          <cell r="AK15" t="str">
            <v>Real</v>
          </cell>
          <cell r="AL15" t="str">
            <v>Programado</v>
          </cell>
          <cell r="AM15" t="str">
            <v>Unidades</v>
          </cell>
          <cell r="AN15" t="str">
            <v>%</v>
          </cell>
        </row>
        <row r="16">
          <cell r="B16">
            <v>39083</v>
          </cell>
          <cell r="C16">
            <v>39083</v>
          </cell>
          <cell r="D16" t="str">
            <v>Global</v>
          </cell>
          <cell r="E16">
            <v>81.784456880571241</v>
          </cell>
          <cell r="F16" t="str">
            <v>c</v>
          </cell>
          <cell r="G16" t="str">
            <v>c</v>
          </cell>
          <cell r="H16" t="str">
            <v>g</v>
          </cell>
          <cell r="I16">
            <v>50</v>
          </cell>
          <cell r="J16">
            <v>40</v>
          </cell>
          <cell r="K16">
            <v>81.784456880571241</v>
          </cell>
          <cell r="L16" t="str">
            <v>c</v>
          </cell>
          <cell r="M16" t="str">
            <v>c</v>
          </cell>
          <cell r="N16" t="str">
            <v>g</v>
          </cell>
          <cell r="O16">
            <v>50</v>
          </cell>
          <cell r="P16">
            <v>40</v>
          </cell>
          <cell r="Q16"/>
          <cell r="R16">
            <v>39083</v>
          </cell>
          <cell r="S16" t="str">
            <v>Global</v>
          </cell>
          <cell r="T16"/>
          <cell r="U16">
            <v>81.784456880571241</v>
          </cell>
          <cell r="V16">
            <v>81.784456880571241</v>
          </cell>
          <cell r="W16">
            <v>81.784456880571241</v>
          </cell>
          <cell r="X16"/>
          <cell r="Y16">
            <v>0</v>
          </cell>
          <cell r="Z16">
            <v>0</v>
          </cell>
          <cell r="AA16"/>
          <cell r="AB16"/>
          <cell r="AC16">
            <v>81.784456880571241</v>
          </cell>
          <cell r="AD16">
            <v>81.784456880571241</v>
          </cell>
          <cell r="AE16">
            <v>81.784456880571241</v>
          </cell>
          <cell r="AF16">
            <v>-1</v>
          </cell>
          <cell r="AG16">
            <v>0</v>
          </cell>
          <cell r="AH16">
            <v>0</v>
          </cell>
          <cell r="AI16"/>
          <cell r="AJ16"/>
          <cell r="AK16">
            <v>81.784456880571241</v>
          </cell>
          <cell r="AL16">
            <v>81.784456880571241</v>
          </cell>
          <cell r="AM16">
            <v>81.784456880571241</v>
          </cell>
          <cell r="AN16"/>
        </row>
        <row r="17">
          <cell r="B17">
            <v>39114</v>
          </cell>
          <cell r="C17">
            <v>39114</v>
          </cell>
          <cell r="D17" t="str">
            <v>Global</v>
          </cell>
          <cell r="E17">
            <v>82.017193590331971</v>
          </cell>
          <cell r="F17" t="str">
            <v>c</v>
          </cell>
          <cell r="G17" t="str">
            <v>c</v>
          </cell>
          <cell r="H17" t="str">
            <v>g</v>
          </cell>
          <cell r="I17">
            <v>50</v>
          </cell>
          <cell r="J17">
            <v>40</v>
          </cell>
          <cell r="K17">
            <v>81.900825235451606</v>
          </cell>
          <cell r="L17" t="str">
            <v>c</v>
          </cell>
          <cell r="M17" t="str">
            <v>c</v>
          </cell>
          <cell r="N17" t="str">
            <v>g</v>
          </cell>
          <cell r="O17">
            <v>50</v>
          </cell>
          <cell r="P17">
            <v>40</v>
          </cell>
          <cell r="Q17"/>
          <cell r="R17">
            <v>39114</v>
          </cell>
          <cell r="S17" t="str">
            <v>Global</v>
          </cell>
          <cell r="T17"/>
          <cell r="U17">
            <v>82.017193590331971</v>
          </cell>
          <cell r="V17">
            <v>81.900825235451606</v>
          </cell>
          <cell r="W17">
            <v>82.017193590331971</v>
          </cell>
          <cell r="X17"/>
          <cell r="Y17">
            <v>0.11636835488036468</v>
          </cell>
          <cell r="Z17">
            <v>1.4208447173251759E-3</v>
          </cell>
          <cell r="AA17"/>
          <cell r="AB17"/>
          <cell r="AC17">
            <v>82.017193590331971</v>
          </cell>
          <cell r="AD17">
            <v>81.900825235451606</v>
          </cell>
          <cell r="AE17">
            <v>82.017193590331971</v>
          </cell>
          <cell r="AF17">
            <v>-1</v>
          </cell>
          <cell r="AG17">
            <v>0.11636835488036468</v>
          </cell>
          <cell r="AH17">
            <v>-1.418828781945547E-3</v>
          </cell>
          <cell r="AI17"/>
          <cell r="AJ17"/>
          <cell r="AK17">
            <v>81.900825235451606</v>
          </cell>
          <cell r="AL17">
            <v>163.68528211602285</v>
          </cell>
          <cell r="AM17">
            <v>81.900825235451606</v>
          </cell>
          <cell r="AN17"/>
        </row>
        <row r="18">
          <cell r="B18">
            <v>39142</v>
          </cell>
          <cell r="C18">
            <v>39142</v>
          </cell>
          <cell r="D18" t="str">
            <v>Global</v>
          </cell>
          <cell r="E18">
            <v>78.78242273329505</v>
          </cell>
          <cell r="F18" t="str">
            <v>c</v>
          </cell>
          <cell r="G18" t="str">
            <v>c</v>
          </cell>
          <cell r="H18" t="str">
            <v>g</v>
          </cell>
          <cell r="I18">
            <v>50</v>
          </cell>
          <cell r="J18">
            <v>40</v>
          </cell>
          <cell r="K18">
            <v>80.861357734732735</v>
          </cell>
          <cell r="L18" t="str">
            <v>c</v>
          </cell>
          <cell r="M18" t="str">
            <v>c</v>
          </cell>
          <cell r="N18" t="str">
            <v>g</v>
          </cell>
          <cell r="O18">
            <v>50</v>
          </cell>
          <cell r="P18">
            <v>40</v>
          </cell>
          <cell r="Q18"/>
          <cell r="R18">
            <v>39142</v>
          </cell>
          <cell r="S18" t="str">
            <v>Global</v>
          </cell>
          <cell r="T18"/>
          <cell r="U18">
            <v>78.78242273329505</v>
          </cell>
          <cell r="V18">
            <v>80.861357734732735</v>
          </cell>
          <cell r="W18">
            <v>78.78242273329505</v>
          </cell>
          <cell r="X18"/>
          <cell r="Y18">
            <v>-2.0789350014376851</v>
          </cell>
          <cell r="Z18">
            <v>-2.5709870074871466E-2</v>
          </cell>
          <cell r="AA18"/>
          <cell r="AB18"/>
          <cell r="AC18">
            <v>78.78242273329505</v>
          </cell>
          <cell r="AD18">
            <v>80.861357734732735</v>
          </cell>
          <cell r="AE18">
            <v>78.78242273329505</v>
          </cell>
          <cell r="AF18">
            <v>-1</v>
          </cell>
          <cell r="AG18">
            <v>-2.0789350014376851</v>
          </cell>
          <cell r="AH18">
            <v>2.6388310099012546E-2</v>
          </cell>
          <cell r="AI18"/>
          <cell r="AJ18"/>
          <cell r="AK18">
            <v>80.861357734732735</v>
          </cell>
          <cell r="AL18">
            <v>244.54663985075558</v>
          </cell>
          <cell r="AM18">
            <v>80.861357734732735</v>
          </cell>
          <cell r="AN18"/>
        </row>
        <row r="19">
          <cell r="B19">
            <v>39173</v>
          </cell>
          <cell r="C19">
            <v>39173</v>
          </cell>
          <cell r="D19" t="str">
            <v>Global</v>
          </cell>
          <cell r="E19">
            <v>75.071812572307522</v>
          </cell>
          <cell r="F19" t="str">
            <v>c</v>
          </cell>
          <cell r="G19" t="str">
            <v>c</v>
          </cell>
          <cell r="H19" t="str">
            <v>g</v>
          </cell>
          <cell r="I19">
            <v>50</v>
          </cell>
          <cell r="J19">
            <v>40</v>
          </cell>
          <cell r="K19">
            <v>79.413971444126446</v>
          </cell>
          <cell r="L19" t="str">
            <v>c</v>
          </cell>
          <cell r="M19" t="str">
            <v>c</v>
          </cell>
          <cell r="N19" t="str">
            <v>g</v>
          </cell>
          <cell r="O19">
            <v>50</v>
          </cell>
          <cell r="P19">
            <v>40</v>
          </cell>
          <cell r="Q19"/>
          <cell r="R19">
            <v>39173</v>
          </cell>
          <cell r="S19" t="str">
            <v>Global</v>
          </cell>
          <cell r="T19"/>
          <cell r="U19">
            <v>75.071812572307522</v>
          </cell>
          <cell r="V19">
            <v>79.413971444126446</v>
          </cell>
          <cell r="W19">
            <v>75.071812572307522</v>
          </cell>
          <cell r="X19"/>
          <cell r="Y19">
            <v>-4.3421588718189241</v>
          </cell>
          <cell r="Z19">
            <v>-5.4677518235867972E-2</v>
          </cell>
          <cell r="AA19"/>
          <cell r="AB19"/>
          <cell r="AC19">
            <v>75.071812572307522</v>
          </cell>
          <cell r="AD19">
            <v>79.413971444126446</v>
          </cell>
          <cell r="AE19">
            <v>75.071812572307522</v>
          </cell>
          <cell r="AF19">
            <v>-1</v>
          </cell>
          <cell r="AG19">
            <v>-4.3421588718189241</v>
          </cell>
          <cell r="AH19">
            <v>5.7840069701749375E-2</v>
          </cell>
          <cell r="AI19"/>
          <cell r="AJ19"/>
          <cell r="AK19">
            <v>79.413971444126446</v>
          </cell>
          <cell r="AL19">
            <v>323.96061129488203</v>
          </cell>
          <cell r="AM19">
            <v>79.413971444126446</v>
          </cell>
          <cell r="AN19"/>
        </row>
        <row r="20">
          <cell r="B20">
            <v>39203</v>
          </cell>
          <cell r="C20">
            <v>39203</v>
          </cell>
          <cell r="D20" t="str">
            <v>Global</v>
          </cell>
          <cell r="E20">
            <v>76.287964107272387</v>
          </cell>
          <cell r="F20" t="str">
            <v>c</v>
          </cell>
          <cell r="G20" t="str">
            <v>c</v>
          </cell>
          <cell r="H20" t="str">
            <v>g</v>
          </cell>
          <cell r="I20">
            <v>50</v>
          </cell>
          <cell r="J20">
            <v>40</v>
          </cell>
          <cell r="K20">
            <v>78.788769976755646</v>
          </cell>
          <cell r="L20" t="str">
            <v>c</v>
          </cell>
          <cell r="M20" t="str">
            <v>c</v>
          </cell>
          <cell r="N20" t="str">
            <v>g</v>
          </cell>
          <cell r="O20">
            <v>50</v>
          </cell>
          <cell r="P20">
            <v>40</v>
          </cell>
          <cell r="Q20"/>
          <cell r="R20">
            <v>39203</v>
          </cell>
          <cell r="S20" t="str">
            <v>Global</v>
          </cell>
          <cell r="T20"/>
          <cell r="U20">
            <v>76.287964107272387</v>
          </cell>
          <cell r="V20">
            <v>78.788769976755646</v>
          </cell>
          <cell r="W20">
            <v>76.287964107272387</v>
          </cell>
          <cell r="X20"/>
          <cell r="Y20">
            <v>-2.5008058694832584</v>
          </cell>
          <cell r="Z20">
            <v>-3.1740638548121147E-2</v>
          </cell>
          <cell r="AA20"/>
          <cell r="AB20"/>
          <cell r="AC20">
            <v>76.287964107272387</v>
          </cell>
          <cell r="AD20">
            <v>78.788769976755646</v>
          </cell>
          <cell r="AE20">
            <v>76.287964107272387</v>
          </cell>
          <cell r="AF20">
            <v>-1</v>
          </cell>
          <cell r="AG20">
            <v>-2.5008058694832584</v>
          </cell>
          <cell r="AH20">
            <v>3.2781132630132159E-2</v>
          </cell>
          <cell r="AI20"/>
          <cell r="AJ20"/>
          <cell r="AK20">
            <v>78.788769976755646</v>
          </cell>
          <cell r="AL20">
            <v>402.74938127163767</v>
          </cell>
          <cell r="AM20">
            <v>78.788769976755646</v>
          </cell>
          <cell r="AN20"/>
        </row>
        <row r="21">
          <cell r="B21">
            <v>39234</v>
          </cell>
          <cell r="C21">
            <v>39234</v>
          </cell>
          <cell r="D21" t="str">
            <v>Global</v>
          </cell>
          <cell r="E21">
            <v>74.027647466356598</v>
          </cell>
          <cell r="F21" t="str">
            <v>c</v>
          </cell>
          <cell r="G21" t="str">
            <v>c</v>
          </cell>
          <cell r="H21" t="str">
            <v>g</v>
          </cell>
          <cell r="I21">
            <v>50</v>
          </cell>
          <cell r="J21">
            <v>40</v>
          </cell>
          <cell r="K21">
            <v>77.995249558355795</v>
          </cell>
          <cell r="L21" t="str">
            <v>c</v>
          </cell>
          <cell r="M21" t="str">
            <v>c</v>
          </cell>
          <cell r="N21" t="str">
            <v>g</v>
          </cell>
          <cell r="O21">
            <v>50</v>
          </cell>
          <cell r="P21">
            <v>40</v>
          </cell>
          <cell r="Q21"/>
          <cell r="R21">
            <v>39234</v>
          </cell>
          <cell r="S21" t="str">
            <v>Global</v>
          </cell>
          <cell r="T21"/>
          <cell r="U21">
            <v>74.027647466356598</v>
          </cell>
          <cell r="V21">
            <v>77.995249558355795</v>
          </cell>
          <cell r="W21">
            <v>74.027647466356598</v>
          </cell>
          <cell r="X21"/>
          <cell r="Y21">
            <v>-3.967602091999197</v>
          </cell>
          <cell r="Z21">
            <v>-5.0869791615073323E-2</v>
          </cell>
          <cell r="AA21"/>
          <cell r="AB21"/>
          <cell r="AC21">
            <v>74.027647466356598</v>
          </cell>
          <cell r="AD21">
            <v>77.995249558355795</v>
          </cell>
          <cell r="AE21">
            <v>74.027647466356598</v>
          </cell>
          <cell r="AF21">
            <v>-1</v>
          </cell>
          <cell r="AG21">
            <v>-3.967602091999197</v>
          </cell>
          <cell r="AH21">
            <v>5.3596220166288067E-2</v>
          </cell>
          <cell r="AI21"/>
          <cell r="AJ21"/>
          <cell r="AK21">
            <v>77.995249558355795</v>
          </cell>
          <cell r="AL21">
            <v>480.74463082999347</v>
          </cell>
          <cell r="AM21">
            <v>77.995249558355795</v>
          </cell>
          <cell r="AN21"/>
        </row>
        <row r="22">
          <cell r="B22">
            <v>39264</v>
          </cell>
          <cell r="C22">
            <v>39264</v>
          </cell>
          <cell r="D22" t="str">
            <v>Global</v>
          </cell>
          <cell r="E22">
            <v>77.679134851268373</v>
          </cell>
          <cell r="F22" t="str">
            <v>c</v>
          </cell>
          <cell r="G22" t="str">
            <v>c</v>
          </cell>
          <cell r="H22" t="str">
            <v>g</v>
          </cell>
          <cell r="I22">
            <v>50</v>
          </cell>
          <cell r="J22">
            <v>40</v>
          </cell>
          <cell r="K22">
            <v>77.950090314486204</v>
          </cell>
          <cell r="L22" t="str">
            <v>c</v>
          </cell>
          <cell r="M22" t="str">
            <v>c</v>
          </cell>
          <cell r="N22" t="str">
            <v>g</v>
          </cell>
          <cell r="O22">
            <v>50</v>
          </cell>
          <cell r="P22">
            <v>40</v>
          </cell>
          <cell r="Q22"/>
          <cell r="R22">
            <v>39264</v>
          </cell>
          <cell r="S22" t="str">
            <v>Global</v>
          </cell>
          <cell r="T22"/>
          <cell r="U22">
            <v>77.679134851268373</v>
          </cell>
          <cell r="V22">
            <v>77.950090314486204</v>
          </cell>
          <cell r="W22">
            <v>77.679134851268373</v>
          </cell>
          <cell r="X22"/>
          <cell r="Y22">
            <v>-0.27095546321783104</v>
          </cell>
          <cell r="Z22">
            <v>-3.4760121781087783E-3</v>
          </cell>
          <cell r="AA22"/>
          <cell r="AB22"/>
          <cell r="AC22">
            <v>77.679134851268373</v>
          </cell>
          <cell r="AD22">
            <v>77.950090314486204</v>
          </cell>
          <cell r="AE22">
            <v>77.679134851268373</v>
          </cell>
          <cell r="AF22">
            <v>-1</v>
          </cell>
          <cell r="AG22">
            <v>-0.27095546321783104</v>
          </cell>
          <cell r="AH22">
            <v>3.4881369847465926E-3</v>
          </cell>
          <cell r="AI22"/>
          <cell r="AJ22"/>
          <cell r="AK22">
            <v>77.950090314486204</v>
          </cell>
          <cell r="AL22">
            <v>558.69472114447967</v>
          </cell>
          <cell r="AM22">
            <v>77.950090314486204</v>
          </cell>
          <cell r="AN22"/>
        </row>
        <row r="23">
          <cell r="B23">
            <v>39295</v>
          </cell>
          <cell r="C23">
            <v>39295</v>
          </cell>
          <cell r="D23" t="str">
            <v>Global</v>
          </cell>
          <cell r="E23">
            <v>73.947342696518717</v>
          </cell>
          <cell r="F23" t="str">
            <v>c</v>
          </cell>
          <cell r="G23" t="str">
            <v>c</v>
          </cell>
          <cell r="H23" t="str">
            <v>g</v>
          </cell>
          <cell r="I23">
            <v>50</v>
          </cell>
          <cell r="J23">
            <v>40</v>
          </cell>
          <cell r="K23">
            <v>77.449746862240204</v>
          </cell>
          <cell r="L23" t="str">
            <v>c</v>
          </cell>
          <cell r="M23" t="str">
            <v>c</v>
          </cell>
          <cell r="N23" t="str">
            <v>g</v>
          </cell>
          <cell r="O23">
            <v>50</v>
          </cell>
          <cell r="P23">
            <v>40</v>
          </cell>
          <cell r="Q23"/>
          <cell r="R23">
            <v>39295</v>
          </cell>
          <cell r="S23" t="str">
            <v>Global</v>
          </cell>
          <cell r="T23"/>
          <cell r="U23">
            <v>73.947342696518717</v>
          </cell>
          <cell r="V23">
            <v>77.449746862240204</v>
          </cell>
          <cell r="W23">
            <v>73.947342696518717</v>
          </cell>
          <cell r="X23"/>
          <cell r="Y23">
            <v>-3.5024041657214866</v>
          </cell>
          <cell r="Z23">
            <v>-4.5221634771140162E-2</v>
          </cell>
          <cell r="AA23"/>
          <cell r="AB23"/>
          <cell r="AC23">
            <v>73.947342696518717</v>
          </cell>
          <cell r="AD23">
            <v>77.449746862240204</v>
          </cell>
          <cell r="AE23">
            <v>73.947342696518717</v>
          </cell>
          <cell r="AF23">
            <v>-1</v>
          </cell>
          <cell r="AG23">
            <v>-3.5024041657214866</v>
          </cell>
          <cell r="AH23">
            <v>4.7363489180340279E-2</v>
          </cell>
          <cell r="AI23"/>
          <cell r="AJ23"/>
          <cell r="AK23">
            <v>77.449746862240204</v>
          </cell>
          <cell r="AL23">
            <v>636.14446800671988</v>
          </cell>
          <cell r="AM23">
            <v>77.449746862240204</v>
          </cell>
          <cell r="AN23"/>
        </row>
        <row r="24">
          <cell r="B24">
            <v>39326</v>
          </cell>
          <cell r="C24">
            <v>39326</v>
          </cell>
          <cell r="D24" t="str">
            <v>Global</v>
          </cell>
          <cell r="E24">
            <v>70.31407631673153</v>
          </cell>
          <cell r="F24" t="str">
            <v>c</v>
          </cell>
          <cell r="G24" t="str">
            <v>c</v>
          </cell>
          <cell r="H24" t="str">
            <v>g</v>
          </cell>
          <cell r="I24">
            <v>50</v>
          </cell>
          <cell r="J24">
            <v>40</v>
          </cell>
          <cell r="K24">
            <v>76.656894579405957</v>
          </cell>
          <cell r="L24" t="str">
            <v>c</v>
          </cell>
          <cell r="M24" t="str">
            <v>c</v>
          </cell>
          <cell r="N24" t="str">
            <v>g</v>
          </cell>
          <cell r="O24">
            <v>50</v>
          </cell>
          <cell r="P24">
            <v>40</v>
          </cell>
          <cell r="Q24"/>
          <cell r="R24">
            <v>39326</v>
          </cell>
          <cell r="S24" t="str">
            <v>Global</v>
          </cell>
          <cell r="T24"/>
          <cell r="U24">
            <v>70.31407631673153</v>
          </cell>
          <cell r="V24">
            <v>76.656894579405957</v>
          </cell>
          <cell r="W24">
            <v>70.31407631673153</v>
          </cell>
          <cell r="X24"/>
          <cell r="Y24">
            <v>-6.3428182626744274</v>
          </cell>
          <cell r="Z24">
            <v>-8.2742958705483982E-2</v>
          </cell>
          <cell r="AA24"/>
          <cell r="AB24"/>
          <cell r="AC24">
            <v>70.31407631673153</v>
          </cell>
          <cell r="AD24">
            <v>76.656894579405957</v>
          </cell>
          <cell r="AE24">
            <v>70.31407631673153</v>
          </cell>
          <cell r="AF24">
            <v>-1</v>
          </cell>
          <cell r="AG24">
            <v>-6.3428182626744274</v>
          </cell>
          <cell r="AH24">
            <v>9.0206948521986519E-2</v>
          </cell>
          <cell r="AI24"/>
          <cell r="AJ24"/>
          <cell r="AK24">
            <v>76.656894579405957</v>
          </cell>
          <cell r="AL24">
            <v>712.80136258612583</v>
          </cell>
          <cell r="AM24">
            <v>76.656894579405957</v>
          </cell>
          <cell r="AN24"/>
        </row>
        <row r="25">
          <cell r="B25">
            <v>39356</v>
          </cell>
          <cell r="C25">
            <v>39356</v>
          </cell>
          <cell r="D25" t="str">
            <v>Global</v>
          </cell>
          <cell r="E25">
            <v>64.990771168471952</v>
          </cell>
          <cell r="F25" t="str">
            <v>c</v>
          </cell>
          <cell r="G25" t="str">
            <v>c</v>
          </cell>
          <cell r="H25" t="str">
            <v>g</v>
          </cell>
          <cell r="I25">
            <v>50</v>
          </cell>
          <cell r="J25">
            <v>40</v>
          </cell>
          <cell r="K25">
            <v>75.490282238312489</v>
          </cell>
          <cell r="L25" t="str">
            <v>c</v>
          </cell>
          <cell r="M25" t="str">
            <v>c</v>
          </cell>
          <cell r="N25" t="str">
            <v>g</v>
          </cell>
          <cell r="O25">
            <v>50</v>
          </cell>
          <cell r="P25">
            <v>40</v>
          </cell>
          <cell r="Q25"/>
          <cell r="R25">
            <v>39356</v>
          </cell>
          <cell r="S25" t="str">
            <v>Global</v>
          </cell>
          <cell r="T25"/>
          <cell r="U25">
            <v>64.990771168471952</v>
          </cell>
          <cell r="V25">
            <v>75.490282238312489</v>
          </cell>
          <cell r="W25">
            <v>64.990771168471952</v>
          </cell>
          <cell r="X25"/>
          <cell r="Y25">
            <v>-10.499511069840537</v>
          </cell>
          <cell r="Z25">
            <v>-0.1390842736114698</v>
          </cell>
          <cell r="AA25"/>
          <cell r="AB25"/>
          <cell r="AC25">
            <v>64.990771168471952</v>
          </cell>
          <cell r="AD25">
            <v>75.490282238312489</v>
          </cell>
          <cell r="AE25">
            <v>64.990771168471952</v>
          </cell>
          <cell r="AF25">
            <v>-1</v>
          </cell>
          <cell r="AG25">
            <v>-10.499511069840537</v>
          </cell>
          <cell r="AH25">
            <v>0.16155387728241055</v>
          </cell>
          <cell r="AI25"/>
          <cell r="AJ25"/>
          <cell r="AK25">
            <v>75.490282238312489</v>
          </cell>
          <cell r="AL25">
            <v>788.29164482443832</v>
          </cell>
          <cell r="AM25">
            <v>75.490282238312489</v>
          </cell>
          <cell r="AN25"/>
        </row>
        <row r="26">
          <cell r="B26">
            <v>39387</v>
          </cell>
          <cell r="C26">
            <v>39387</v>
          </cell>
          <cell r="D26" t="str">
            <v>Global</v>
          </cell>
          <cell r="E26">
            <v>69.316522288786473</v>
          </cell>
          <cell r="F26" t="str">
            <v>c</v>
          </cell>
          <cell r="G26" t="str">
            <v>c</v>
          </cell>
          <cell r="H26" t="str">
            <v>g</v>
          </cell>
          <cell r="I26">
            <v>50</v>
          </cell>
          <cell r="J26">
            <v>40</v>
          </cell>
          <cell r="K26">
            <v>74.929031333810144</v>
          </cell>
          <cell r="L26" t="str">
            <v>c</v>
          </cell>
          <cell r="M26" t="str">
            <v>c</v>
          </cell>
          <cell r="N26" t="str">
            <v>g</v>
          </cell>
          <cell r="O26">
            <v>50</v>
          </cell>
          <cell r="P26">
            <v>40</v>
          </cell>
          <cell r="Q26"/>
          <cell r="R26">
            <v>39387</v>
          </cell>
          <cell r="S26" t="str">
            <v>Global</v>
          </cell>
          <cell r="T26"/>
          <cell r="U26">
            <v>69.316522288786473</v>
          </cell>
          <cell r="V26">
            <v>74.929031333810144</v>
          </cell>
          <cell r="W26">
            <v>69.316522288786473</v>
          </cell>
          <cell r="X26"/>
          <cell r="Y26">
            <v>-5.6125090450236712</v>
          </cell>
          <cell r="Z26">
            <v>-7.490433207417091E-2</v>
          </cell>
          <cell r="AA26"/>
          <cell r="AB26"/>
          <cell r="AC26">
            <v>69.316522288786473</v>
          </cell>
          <cell r="AD26">
            <v>74.929031333810144</v>
          </cell>
          <cell r="AE26">
            <v>69.316522288786473</v>
          </cell>
          <cell r="AF26">
            <v>-1</v>
          </cell>
          <cell r="AG26">
            <v>-5.6125090450236712</v>
          </cell>
          <cell r="AH26">
            <v>8.0969282065837644E-2</v>
          </cell>
          <cell r="AI26"/>
          <cell r="AJ26"/>
          <cell r="AK26">
            <v>74.929031333810144</v>
          </cell>
          <cell r="AL26">
            <v>863.22067615824847</v>
          </cell>
          <cell r="AM26">
            <v>74.929031333810144</v>
          </cell>
          <cell r="AN26"/>
        </row>
        <row r="27">
          <cell r="B27">
            <v>39417</v>
          </cell>
          <cell r="C27">
            <v>39417</v>
          </cell>
          <cell r="D27" t="str">
            <v>Global</v>
          </cell>
          <cell r="E27">
            <v>77.403441537709455</v>
          </cell>
          <cell r="F27" t="str">
            <v>c</v>
          </cell>
          <cell r="G27" t="str">
            <v>c</v>
          </cell>
          <cell r="H27" t="str">
            <v>g</v>
          </cell>
          <cell r="I27">
            <v>50</v>
          </cell>
          <cell r="J27">
            <v>40</v>
          </cell>
          <cell r="K27">
            <v>75.135232184135134</v>
          </cell>
          <cell r="L27" t="str">
            <v>c</v>
          </cell>
          <cell r="M27" t="str">
            <v>c</v>
          </cell>
          <cell r="N27" t="str">
            <v>g</v>
          </cell>
          <cell r="O27">
            <v>50</v>
          </cell>
          <cell r="P27">
            <v>40</v>
          </cell>
          <cell r="Q27"/>
          <cell r="R27">
            <v>39417</v>
          </cell>
          <cell r="S27" t="str">
            <v>Global</v>
          </cell>
          <cell r="T27"/>
          <cell r="U27">
            <v>77.403441537709455</v>
          </cell>
          <cell r="V27">
            <v>75.135232184135134</v>
          </cell>
          <cell r="W27">
            <v>77.403441537709455</v>
          </cell>
          <cell r="X27"/>
          <cell r="Y27">
            <v>2.2682093535743206</v>
          </cell>
          <cell r="Z27">
            <v>3.0188358878236787E-2</v>
          </cell>
          <cell r="AA27"/>
          <cell r="AB27"/>
          <cell r="AC27">
            <v>77.403441537709455</v>
          </cell>
          <cell r="AD27">
            <v>75.135232184135134</v>
          </cell>
          <cell r="AE27">
            <v>77.403441537709455</v>
          </cell>
          <cell r="AF27">
            <v>-1</v>
          </cell>
          <cell r="AG27">
            <v>2.2682093535743206</v>
          </cell>
          <cell r="AH27">
            <v>-2.930372743787224E-2</v>
          </cell>
          <cell r="AI27"/>
          <cell r="AJ27"/>
          <cell r="AK27">
            <v>75.135232184135134</v>
          </cell>
          <cell r="AL27">
            <v>938.3559083423836</v>
          </cell>
          <cell r="AM27">
            <v>75.135232184135134</v>
          </cell>
          <cell r="AN27"/>
        </row>
        <row r="28">
          <cell r="B28">
            <v>39448</v>
          </cell>
          <cell r="C28">
            <v>39448</v>
          </cell>
          <cell r="D28" t="str">
            <v>Global</v>
          </cell>
          <cell r="E28">
            <v>68.948656161989334</v>
          </cell>
          <cell r="F28" t="str">
            <v>c</v>
          </cell>
          <cell r="G28" t="str">
            <v>c</v>
          </cell>
          <cell r="H28" t="str">
            <v>g</v>
          </cell>
          <cell r="I28">
            <v>50</v>
          </cell>
          <cell r="J28">
            <v>40</v>
          </cell>
          <cell r="K28">
            <v>68.948656161989334</v>
          </cell>
          <cell r="L28" t="str">
            <v>c</v>
          </cell>
          <cell r="M28" t="str">
            <v>c</v>
          </cell>
          <cell r="N28" t="str">
            <v>g</v>
          </cell>
          <cell r="O28">
            <v>50</v>
          </cell>
          <cell r="P28">
            <v>40</v>
          </cell>
          <cell r="Q28"/>
          <cell r="R28">
            <v>39448</v>
          </cell>
          <cell r="S28" t="str">
            <v>Global</v>
          </cell>
          <cell r="T28">
            <v>81.784456880571241</v>
          </cell>
          <cell r="U28">
            <v>68.948656161989334</v>
          </cell>
          <cell r="V28">
            <v>68.948656161989334</v>
          </cell>
          <cell r="W28">
            <v>-12.835800718581908</v>
          </cell>
          <cell r="X28">
            <v>-0.15694670122130738</v>
          </cell>
          <cell r="Y28">
            <v>0</v>
          </cell>
          <cell r="Z28">
            <v>0</v>
          </cell>
          <cell r="AA28"/>
          <cell r="AB28">
            <v>81.784456880571241</v>
          </cell>
          <cell r="AC28">
            <v>68.948656161989334</v>
          </cell>
          <cell r="AD28">
            <v>68.948656161989334</v>
          </cell>
          <cell r="AE28">
            <v>-12.835800718581908</v>
          </cell>
          <cell r="AF28">
            <v>0.18616462499900255</v>
          </cell>
          <cell r="AG28">
            <v>0</v>
          </cell>
          <cell r="AH28">
            <v>0</v>
          </cell>
          <cell r="AI28"/>
          <cell r="AJ28">
            <v>81.784456880571241</v>
          </cell>
          <cell r="AK28">
            <v>68.948656161989334</v>
          </cell>
          <cell r="AL28">
            <v>68.948656161989334</v>
          </cell>
          <cell r="AM28">
            <v>-12.835800718581908</v>
          </cell>
          <cell r="AN28">
            <v>-0.15694670122130738</v>
          </cell>
        </row>
        <row r="29">
          <cell r="B29">
            <v>39479</v>
          </cell>
          <cell r="C29">
            <v>39479</v>
          </cell>
          <cell r="D29" t="str">
            <v>Global</v>
          </cell>
          <cell r="E29">
            <v>58.744149871029549</v>
          </cell>
          <cell r="F29" t="str">
            <v>c</v>
          </cell>
          <cell r="G29" t="str">
            <v>c</v>
          </cell>
          <cell r="H29" t="str">
            <v>g</v>
          </cell>
          <cell r="I29">
            <v>50</v>
          </cell>
          <cell r="J29">
            <v>40</v>
          </cell>
          <cell r="K29">
            <v>63.846403016509498</v>
          </cell>
          <cell r="L29" t="str">
            <v>c</v>
          </cell>
          <cell r="M29" t="str">
            <v>c</v>
          </cell>
          <cell r="N29" t="str">
            <v>g</v>
          </cell>
          <cell r="O29">
            <v>50</v>
          </cell>
          <cell r="P29">
            <v>40</v>
          </cell>
          <cell r="Q29"/>
          <cell r="R29">
            <v>39479</v>
          </cell>
          <cell r="S29" t="str">
            <v>Global</v>
          </cell>
          <cell r="T29">
            <v>82.017193590331971</v>
          </cell>
          <cell r="U29">
            <v>58.744149871029549</v>
          </cell>
          <cell r="V29">
            <v>63.846403016509498</v>
          </cell>
          <cell r="W29">
            <v>-23.273043719302422</v>
          </cell>
          <cell r="X29">
            <v>-0.28375810851989214</v>
          </cell>
          <cell r="Y29">
            <v>-5.1022531454799491</v>
          </cell>
          <cell r="Z29">
            <v>-7.9914496422932357E-2</v>
          </cell>
          <cell r="AA29"/>
          <cell r="AB29">
            <v>82.017193590331971</v>
          </cell>
          <cell r="AC29">
            <v>58.744149871029549</v>
          </cell>
          <cell r="AD29">
            <v>63.846403016509498</v>
          </cell>
          <cell r="AE29">
            <v>-23.273043719302422</v>
          </cell>
          <cell r="AF29">
            <v>0.39617636429155012</v>
          </cell>
          <cell r="AG29">
            <v>-5.1022531454799491</v>
          </cell>
          <cell r="AH29">
            <v>8.6855510832682725E-2</v>
          </cell>
          <cell r="AI29"/>
          <cell r="AJ29">
            <v>81.900825235451606</v>
          </cell>
          <cell r="AK29">
            <v>63.846403016509498</v>
          </cell>
          <cell r="AL29">
            <v>132.79505917849883</v>
          </cell>
          <cell r="AM29">
            <v>-18.054422218942108</v>
          </cell>
          <cell r="AN29">
            <v>-0.22044249452967746</v>
          </cell>
        </row>
        <row r="30">
          <cell r="B30">
            <v>39508</v>
          </cell>
          <cell r="C30">
            <v>39508</v>
          </cell>
          <cell r="D30" t="str">
            <v>Global</v>
          </cell>
          <cell r="E30">
            <v>61.732552468361291</v>
          </cell>
          <cell r="F30" t="str">
            <v>c</v>
          </cell>
          <cell r="G30" t="str">
            <v>c</v>
          </cell>
          <cell r="H30" t="str">
            <v>g</v>
          </cell>
          <cell r="I30">
            <v>50</v>
          </cell>
          <cell r="J30">
            <v>40</v>
          </cell>
          <cell r="K30">
            <v>63.141786167126838</v>
          </cell>
          <cell r="L30" t="str">
            <v>c</v>
          </cell>
          <cell r="M30" t="str">
            <v>c</v>
          </cell>
          <cell r="N30" t="str">
            <v>g</v>
          </cell>
          <cell r="O30">
            <v>50</v>
          </cell>
          <cell r="P30">
            <v>40</v>
          </cell>
          <cell r="Q30"/>
          <cell r="R30">
            <v>39508</v>
          </cell>
          <cell r="S30" t="str">
            <v>Global</v>
          </cell>
          <cell r="T30">
            <v>78.78242273329505</v>
          </cell>
          <cell r="U30">
            <v>61.732552468361291</v>
          </cell>
          <cell r="V30">
            <v>63.141786167126838</v>
          </cell>
          <cell r="W30">
            <v>-17.049870264933759</v>
          </cell>
          <cell r="X30">
            <v>-0.21641718639008212</v>
          </cell>
          <cell r="Y30">
            <v>-1.4092336987655472</v>
          </cell>
          <cell r="Z30">
            <v>-2.2318559298204144E-2</v>
          </cell>
          <cell r="AA30"/>
          <cell r="AB30">
            <v>78.78242273329505</v>
          </cell>
          <cell r="AC30">
            <v>61.732552468361291</v>
          </cell>
          <cell r="AD30">
            <v>63.141786167126838</v>
          </cell>
          <cell r="AE30">
            <v>-17.049870264933759</v>
          </cell>
          <cell r="AF30">
            <v>0.27618929694624295</v>
          </cell>
          <cell r="AG30">
            <v>-1.4092336987655472</v>
          </cell>
          <cell r="AH30">
            <v>2.2828048451225103E-2</v>
          </cell>
          <cell r="AI30"/>
          <cell r="AJ30">
            <v>80.861357734732735</v>
          </cell>
          <cell r="AK30">
            <v>63.141786167126838</v>
          </cell>
          <cell r="AL30">
            <v>195.93684534562567</v>
          </cell>
          <cell r="AM30">
            <v>-17.719571567605897</v>
          </cell>
          <cell r="AN30">
            <v>-0.21913522186623802</v>
          </cell>
        </row>
        <row r="31">
          <cell r="B31">
            <v>39539</v>
          </cell>
          <cell r="C31">
            <v>39539</v>
          </cell>
          <cell r="D31" t="str">
            <v>Global</v>
          </cell>
          <cell r="E31">
            <v>64.419336797818914</v>
          </cell>
          <cell r="F31" t="str">
            <v>c</v>
          </cell>
          <cell r="G31" t="str">
            <v>c</v>
          </cell>
          <cell r="H31" t="str">
            <v>g</v>
          </cell>
          <cell r="I31">
            <v>50</v>
          </cell>
          <cell r="J31">
            <v>40</v>
          </cell>
          <cell r="K31">
            <v>63.461173824799744</v>
          </cell>
          <cell r="L31" t="str">
            <v>c</v>
          </cell>
          <cell r="M31" t="str">
            <v>c</v>
          </cell>
          <cell r="N31" t="str">
            <v>g</v>
          </cell>
          <cell r="O31">
            <v>50</v>
          </cell>
          <cell r="P31">
            <v>40</v>
          </cell>
          <cell r="Q31"/>
          <cell r="R31">
            <v>39539</v>
          </cell>
          <cell r="S31" t="str">
            <v>Global</v>
          </cell>
          <cell r="T31">
            <v>75.071812572307522</v>
          </cell>
          <cell r="U31">
            <v>64.419336797818914</v>
          </cell>
          <cell r="V31">
            <v>63.461173824799744</v>
          </cell>
          <cell r="W31">
            <v>-10.652475774488607</v>
          </cell>
          <cell r="X31">
            <v>-0.14189714367464323</v>
          </cell>
          <cell r="Y31">
            <v>0.95816297301917075</v>
          </cell>
          <cell r="Z31">
            <v>1.5098412387776206E-2</v>
          </cell>
          <cell r="AA31"/>
          <cell r="AB31">
            <v>75.071812572307522</v>
          </cell>
          <cell r="AC31">
            <v>64.419336797818914</v>
          </cell>
          <cell r="AD31">
            <v>63.461173824799744</v>
          </cell>
          <cell r="AE31">
            <v>-10.652475774488607</v>
          </cell>
          <cell r="AF31">
            <v>0.16536146293963827</v>
          </cell>
          <cell r="AG31">
            <v>0.95816297301917075</v>
          </cell>
          <cell r="AH31">
            <v>-1.4873841002529753E-2</v>
          </cell>
          <cell r="AI31"/>
          <cell r="AJ31">
            <v>79.413971444126446</v>
          </cell>
          <cell r="AK31">
            <v>63.461173824799744</v>
          </cell>
          <cell r="AL31">
            <v>259.39801917042541</v>
          </cell>
          <cell r="AM31">
            <v>-15.952797619326702</v>
          </cell>
          <cell r="AN31">
            <v>-0.20088149892554696</v>
          </cell>
        </row>
        <row r="32">
          <cell r="B32">
            <v>39569</v>
          </cell>
          <cell r="C32">
            <v>39569</v>
          </cell>
          <cell r="D32" t="str">
            <v>Global</v>
          </cell>
          <cell r="E32">
            <v>60.448384586747125</v>
          </cell>
          <cell r="F32" t="str">
            <v>c</v>
          </cell>
          <cell r="G32" t="str">
            <v>c</v>
          </cell>
          <cell r="H32" t="str">
            <v>g</v>
          </cell>
          <cell r="I32">
            <v>50</v>
          </cell>
          <cell r="J32">
            <v>40</v>
          </cell>
          <cell r="K32">
            <v>62.858615977189174</v>
          </cell>
          <cell r="L32" t="str">
            <v>c</v>
          </cell>
          <cell r="M32" t="str">
            <v>c</v>
          </cell>
          <cell r="N32" t="str">
            <v>g</v>
          </cell>
          <cell r="O32">
            <v>50</v>
          </cell>
          <cell r="P32">
            <v>40</v>
          </cell>
          <cell r="Q32"/>
          <cell r="R32">
            <v>39569</v>
          </cell>
          <cell r="S32" t="str">
            <v>Global</v>
          </cell>
          <cell r="T32">
            <v>76.287964107272387</v>
          </cell>
          <cell r="U32">
            <v>60.448384586747125</v>
          </cell>
          <cell r="V32">
            <v>62.858615977189174</v>
          </cell>
          <cell r="W32">
            <v>-15.839579520525263</v>
          </cell>
          <cell r="X32">
            <v>-0.20762881413708223</v>
          </cell>
          <cell r="Y32">
            <v>-2.4102313904420498</v>
          </cell>
          <cell r="Z32">
            <v>-3.8343691679700642E-2</v>
          </cell>
          <cell r="AA32"/>
          <cell r="AB32">
            <v>76.287964107272387</v>
          </cell>
          <cell r="AC32">
            <v>60.448384586747125</v>
          </cell>
          <cell r="AD32">
            <v>62.858615977189174</v>
          </cell>
          <cell r="AE32">
            <v>-15.839579520525263</v>
          </cell>
          <cell r="AF32">
            <v>0.26203478602136165</v>
          </cell>
          <cell r="AG32">
            <v>-2.4102313904420498</v>
          </cell>
          <cell r="AH32">
            <v>3.9872552540808126E-2</v>
          </cell>
          <cell r="AI32"/>
          <cell r="AJ32">
            <v>78.788769976755646</v>
          </cell>
          <cell r="AK32">
            <v>62.858615977189174</v>
          </cell>
          <cell r="AL32">
            <v>322.25663514761459</v>
          </cell>
          <cell r="AM32">
            <v>-15.930153999566471</v>
          </cell>
          <cell r="AN32">
            <v>-0.20218812914919482</v>
          </cell>
        </row>
        <row r="33">
          <cell r="B33">
            <v>39600</v>
          </cell>
          <cell r="C33">
            <v>39600</v>
          </cell>
          <cell r="D33" t="str">
            <v>Global</v>
          </cell>
          <cell r="E33">
            <v>63.832143797176059</v>
          </cell>
          <cell r="F33" t="str">
            <v>c</v>
          </cell>
          <cell r="G33" t="str">
            <v>c</v>
          </cell>
          <cell r="H33" t="str">
            <v>g</v>
          </cell>
          <cell r="I33">
            <v>50</v>
          </cell>
          <cell r="J33">
            <v>40</v>
          </cell>
          <cell r="K33">
            <v>63.020870613853731</v>
          </cell>
          <cell r="L33" t="str">
            <v>c</v>
          </cell>
          <cell r="M33" t="str">
            <v>c</v>
          </cell>
          <cell r="N33" t="str">
            <v>g</v>
          </cell>
          <cell r="O33">
            <v>50</v>
          </cell>
          <cell r="P33">
            <v>40</v>
          </cell>
          <cell r="Q33"/>
          <cell r="R33">
            <v>39600</v>
          </cell>
          <cell r="S33" t="str">
            <v>Global</v>
          </cell>
          <cell r="T33">
            <v>74.027647466356598</v>
          </cell>
          <cell r="U33">
            <v>63.832143797176059</v>
          </cell>
          <cell r="V33">
            <v>63.020870613853731</v>
          </cell>
          <cell r="W33">
            <v>-10.195503669180539</v>
          </cell>
          <cell r="X33">
            <v>-0.13772562033413394</v>
          </cell>
          <cell r="Y33">
            <v>0.8112731833223279</v>
          </cell>
          <cell r="Z33">
            <v>1.2873087525134608E-2</v>
          </cell>
          <cell r="AA33"/>
          <cell r="AB33">
            <v>74.027647466356598</v>
          </cell>
          <cell r="AC33">
            <v>63.832143797176059</v>
          </cell>
          <cell r="AD33">
            <v>63.020870613853731</v>
          </cell>
          <cell r="AE33">
            <v>-10.195503669180539</v>
          </cell>
          <cell r="AF33">
            <v>0.15972366056788445</v>
          </cell>
          <cell r="AG33">
            <v>0.8112731833223279</v>
          </cell>
          <cell r="AH33">
            <v>-1.270947731130756E-2</v>
          </cell>
          <cell r="AI33"/>
          <cell r="AJ33">
            <v>77.995249558355795</v>
          </cell>
          <cell r="AK33">
            <v>63.020870613853731</v>
          </cell>
          <cell r="AL33">
            <v>385.27750576146832</v>
          </cell>
          <cell r="AM33">
            <v>-14.974378944502064</v>
          </cell>
          <cell r="AN33">
            <v>-0.19199091007841806</v>
          </cell>
        </row>
        <row r="34">
          <cell r="B34">
            <v>39630</v>
          </cell>
          <cell r="C34">
            <v>39630</v>
          </cell>
          <cell r="D34" t="str">
            <v>Global</v>
          </cell>
          <cell r="E34">
            <v>58.997536584182399</v>
          </cell>
          <cell r="F34" t="str">
            <v>c</v>
          </cell>
          <cell r="G34" t="str">
            <v>c</v>
          </cell>
          <cell r="H34" t="str">
            <v>g</v>
          </cell>
          <cell r="I34">
            <v>50</v>
          </cell>
          <cell r="J34">
            <v>40</v>
          </cell>
          <cell r="K34">
            <v>62.446108609615067</v>
          </cell>
          <cell r="L34" t="str">
            <v>c</v>
          </cell>
          <cell r="M34" t="str">
            <v>c</v>
          </cell>
          <cell r="N34" t="str">
            <v>g</v>
          </cell>
          <cell r="O34">
            <v>50</v>
          </cell>
          <cell r="P34">
            <v>40</v>
          </cell>
          <cell r="Q34"/>
          <cell r="R34">
            <v>39630</v>
          </cell>
          <cell r="S34" t="str">
            <v>Global</v>
          </cell>
          <cell r="T34">
            <v>77.679134851268373</v>
          </cell>
          <cell r="U34">
            <v>58.997536584182399</v>
          </cell>
          <cell r="V34">
            <v>62.446108609615067</v>
          </cell>
          <cell r="W34">
            <v>-18.681598267085974</v>
          </cell>
          <cell r="X34">
            <v>-0.24049699192525098</v>
          </cell>
          <cell r="Y34">
            <v>-3.4485720254326679</v>
          </cell>
          <cell r="Z34">
            <v>-5.5224770641699839E-2</v>
          </cell>
          <cell r="AA34"/>
          <cell r="AB34">
            <v>77.679134851268373</v>
          </cell>
          <cell r="AC34">
            <v>58.997536584182399</v>
          </cell>
          <cell r="AD34">
            <v>62.446108609615067</v>
          </cell>
          <cell r="AE34">
            <v>-18.681598267085974</v>
          </cell>
          <cell r="AF34">
            <v>0.31665047981163719</v>
          </cell>
          <cell r="AG34">
            <v>-3.4485720254326679</v>
          </cell>
          <cell r="AH34">
            <v>5.8452813881677335E-2</v>
          </cell>
          <cell r="AI34"/>
          <cell r="AJ34">
            <v>77.950090314486204</v>
          </cell>
          <cell r="AK34">
            <v>62.446108609615067</v>
          </cell>
          <cell r="AL34">
            <v>447.72361437108339</v>
          </cell>
          <cell r="AM34">
            <v>-15.503981704871137</v>
          </cell>
          <cell r="AN34">
            <v>-0.19889626352350598</v>
          </cell>
        </row>
        <row r="35">
          <cell r="B35">
            <v>39661</v>
          </cell>
          <cell r="C35">
            <v>39661</v>
          </cell>
          <cell r="D35" t="str">
            <v>Global</v>
          </cell>
          <cell r="E35">
            <v>55.799572155778606</v>
          </cell>
          <cell r="F35" t="str">
            <v>c</v>
          </cell>
          <cell r="G35" t="str">
            <v>c</v>
          </cell>
          <cell r="H35" t="str">
            <v>g</v>
          </cell>
          <cell r="I35">
            <v>50</v>
          </cell>
          <cell r="J35">
            <v>40</v>
          </cell>
          <cell r="K35">
            <v>61.61529155288531</v>
          </cell>
          <cell r="L35" t="str">
            <v>c</v>
          </cell>
          <cell r="M35" t="str">
            <v>c</v>
          </cell>
          <cell r="N35" t="str">
            <v>g</v>
          </cell>
          <cell r="O35">
            <v>50</v>
          </cell>
          <cell r="P35">
            <v>40</v>
          </cell>
          <cell r="Q35"/>
          <cell r="R35">
            <v>39661</v>
          </cell>
          <cell r="S35" t="str">
            <v>Global</v>
          </cell>
          <cell r="T35">
            <v>73.947342696518717</v>
          </cell>
          <cell r="U35">
            <v>55.799572155778606</v>
          </cell>
          <cell r="V35">
            <v>61.61529155288531</v>
          </cell>
          <cell r="W35">
            <v>-18.147770540740112</v>
          </cell>
          <cell r="X35">
            <v>-0.24541477596049532</v>
          </cell>
          <cell r="Y35">
            <v>-5.8157193971067045</v>
          </cell>
          <cell r="Z35">
            <v>-9.4387598444048426E-2</v>
          </cell>
          <cell r="AA35"/>
          <cell r="AB35">
            <v>73.947342696518717</v>
          </cell>
          <cell r="AC35">
            <v>55.799572155778606</v>
          </cell>
          <cell r="AD35">
            <v>61.61529155288531</v>
          </cell>
          <cell r="AE35">
            <v>-18.147770540740112</v>
          </cell>
          <cell r="AF35">
            <v>0.32523135643542256</v>
          </cell>
          <cell r="AG35">
            <v>-5.8157193971067045</v>
          </cell>
          <cell r="AH35">
            <v>0.10422516109748403</v>
          </cell>
          <cell r="AI35"/>
          <cell r="AJ35">
            <v>77.449746862240204</v>
          </cell>
          <cell r="AK35">
            <v>61.61529155288531</v>
          </cell>
          <cell r="AL35">
            <v>509.3389059239687</v>
          </cell>
          <cell r="AM35">
            <v>-15.834455309354894</v>
          </cell>
          <cell r="AN35">
            <v>-0.20444812218069119</v>
          </cell>
        </row>
        <row r="36">
          <cell r="B36">
            <v>39692</v>
          </cell>
          <cell r="C36">
            <v>39692</v>
          </cell>
          <cell r="D36" t="str">
            <v>Global</v>
          </cell>
          <cell r="E36">
            <v>44.110479079500692</v>
          </cell>
          <cell r="F36" t="str">
            <v>c</v>
          </cell>
          <cell r="G36" t="str">
            <v>g</v>
          </cell>
          <cell r="H36" t="str">
            <v>c</v>
          </cell>
          <cell r="I36">
            <v>50</v>
          </cell>
          <cell r="J36">
            <v>40</v>
          </cell>
          <cell r="K36">
            <v>59.670312389175933</v>
          </cell>
          <cell r="L36" t="str">
            <v>c</v>
          </cell>
          <cell r="M36" t="str">
            <v>c</v>
          </cell>
          <cell r="N36" t="str">
            <v>g</v>
          </cell>
          <cell r="O36">
            <v>50</v>
          </cell>
          <cell r="P36">
            <v>40</v>
          </cell>
          <cell r="Q36"/>
          <cell r="R36">
            <v>39692</v>
          </cell>
          <cell r="S36" t="str">
            <v>Global</v>
          </cell>
          <cell r="T36">
            <v>70.31407631673153</v>
          </cell>
          <cell r="U36">
            <v>44.110479079500692</v>
          </cell>
          <cell r="V36">
            <v>59.670312389175933</v>
          </cell>
          <cell r="W36">
            <v>-26.203597237230838</v>
          </cell>
          <cell r="X36">
            <v>-0.37266502825403092</v>
          </cell>
          <cell r="Y36">
            <v>-15.559833309675241</v>
          </cell>
          <cell r="Z36">
            <v>-0.26076339617919886</v>
          </cell>
          <cell r="AA36"/>
          <cell r="AB36">
            <v>70.31407631673153</v>
          </cell>
          <cell r="AC36">
            <v>44.110479079500692</v>
          </cell>
          <cell r="AD36">
            <v>59.670312389175933</v>
          </cell>
          <cell r="AE36">
            <v>-26.203597237230838</v>
          </cell>
          <cell r="AF36">
            <v>0.59404472098350758</v>
          </cell>
          <cell r="AG36">
            <v>-15.559833309675241</v>
          </cell>
          <cell r="AH36">
            <v>0.35274686728365889</v>
          </cell>
          <cell r="AI36"/>
          <cell r="AJ36">
            <v>76.656894579405957</v>
          </cell>
          <cell r="AK36">
            <v>59.670312389175933</v>
          </cell>
          <cell r="AL36">
            <v>569.00921831314463</v>
          </cell>
          <cell r="AM36">
            <v>-16.986582190230024</v>
          </cell>
          <cell r="AN36">
            <v>-0.22159236013186356</v>
          </cell>
        </row>
        <row r="37">
          <cell r="B37">
            <v>39722</v>
          </cell>
          <cell r="C37">
            <v>39722</v>
          </cell>
          <cell r="D37" t="str">
            <v>Global</v>
          </cell>
          <cell r="E37">
            <v>45</v>
          </cell>
          <cell r="F37" t="str">
            <v>c</v>
          </cell>
          <cell r="G37" t="str">
            <v>g</v>
          </cell>
          <cell r="H37" t="str">
            <v>c</v>
          </cell>
          <cell r="I37">
            <v>50</v>
          </cell>
          <cell r="J37">
            <v>40</v>
          </cell>
          <cell r="K37">
            <v>58.203281150258363</v>
          </cell>
          <cell r="L37" t="str">
            <v>c</v>
          </cell>
          <cell r="M37" t="str">
            <v>c</v>
          </cell>
          <cell r="N37" t="str">
            <v>g</v>
          </cell>
          <cell r="O37">
            <v>50</v>
          </cell>
          <cell r="P37">
            <v>40</v>
          </cell>
          <cell r="Q37"/>
          <cell r="R37">
            <v>39722</v>
          </cell>
          <cell r="S37" t="str">
            <v>Global</v>
          </cell>
          <cell r="T37">
            <v>64.990771168471952</v>
          </cell>
          <cell r="U37">
            <v>45</v>
          </cell>
          <cell r="V37">
            <v>58.203281150258363</v>
          </cell>
          <cell r="W37">
            <v>-19.990771168471952</v>
          </cell>
          <cell r="X37">
            <v>-0.30759399848712354</v>
          </cell>
          <cell r="Y37">
            <v>-13.203281150258363</v>
          </cell>
          <cell r="Z37">
            <v>-0.22684771183556807</v>
          </cell>
          <cell r="AA37"/>
          <cell r="AB37">
            <v>64.990771168471952</v>
          </cell>
          <cell r="AC37">
            <v>45</v>
          </cell>
          <cell r="AD37">
            <v>58.203281150258363</v>
          </cell>
          <cell r="AE37">
            <v>-19.990771168471952</v>
          </cell>
          <cell r="AF37">
            <v>0.44423935929937675</v>
          </cell>
          <cell r="AG37">
            <v>-13.203281150258363</v>
          </cell>
          <cell r="AH37">
            <v>0.29340624778351909</v>
          </cell>
          <cell r="AI37"/>
          <cell r="AJ37">
            <v>75.490282238312489</v>
          </cell>
          <cell r="AK37">
            <v>58.203281150258363</v>
          </cell>
          <cell r="AL37">
            <v>627.21249946340299</v>
          </cell>
          <cell r="AM37">
            <v>-17.287001088054126</v>
          </cell>
          <cell r="AN37">
            <v>-0.2289963764273848</v>
          </cell>
        </row>
        <row r="38">
          <cell r="B38">
            <v>39753</v>
          </cell>
          <cell r="C38">
            <v>39753</v>
          </cell>
          <cell r="D38" t="str">
            <v>Global</v>
          </cell>
          <cell r="E38">
            <v>46</v>
          </cell>
          <cell r="F38" t="str">
            <v>c</v>
          </cell>
          <cell r="G38" t="str">
            <v>g</v>
          </cell>
          <cell r="H38" t="str">
            <v>c</v>
          </cell>
          <cell r="I38">
            <v>50</v>
          </cell>
          <cell r="J38">
            <v>40</v>
          </cell>
          <cell r="K38">
            <v>57.093891954780247</v>
          </cell>
          <cell r="L38" t="str">
            <v>c</v>
          </cell>
          <cell r="M38" t="str">
            <v>c</v>
          </cell>
          <cell r="N38" t="str">
            <v>g</v>
          </cell>
          <cell r="O38">
            <v>50</v>
          </cell>
          <cell r="P38">
            <v>40</v>
          </cell>
          <cell r="Q38"/>
          <cell r="R38">
            <v>39753</v>
          </cell>
          <cell r="S38" t="str">
            <v>Global</v>
          </cell>
          <cell r="T38">
            <v>69.316522288786473</v>
          </cell>
          <cell r="U38">
            <v>46</v>
          </cell>
          <cell r="V38">
            <v>57.093891954780247</v>
          </cell>
          <cell r="W38">
            <v>-23.316522288786473</v>
          </cell>
          <cell r="X38">
            <v>-0.33637755500261801</v>
          </cell>
          <cell r="Y38">
            <v>-11.093891954780247</v>
          </cell>
          <cell r="Z38">
            <v>-0.19430961132526892</v>
          </cell>
          <cell r="AA38"/>
          <cell r="AB38">
            <v>69.316522288786473</v>
          </cell>
          <cell r="AC38">
            <v>46</v>
          </cell>
          <cell r="AD38">
            <v>57.093891954780247</v>
          </cell>
          <cell r="AE38">
            <v>-23.316522288786473</v>
          </cell>
          <cell r="AF38">
            <v>0.50688091932144497</v>
          </cell>
          <cell r="AG38">
            <v>-11.093891954780247</v>
          </cell>
          <cell r="AH38">
            <v>0.24117156423435326</v>
          </cell>
          <cell r="AI38"/>
          <cell r="AJ38">
            <v>74.929031333810144</v>
          </cell>
          <cell r="AK38">
            <v>57.093891954780247</v>
          </cell>
          <cell r="AL38">
            <v>684.30639141818324</v>
          </cell>
          <cell r="AM38">
            <v>-17.835139379029897</v>
          </cell>
          <cell r="AN38">
            <v>-0.2380270912561786</v>
          </cell>
        </row>
        <row r="39">
          <cell r="B39">
            <v>39783</v>
          </cell>
          <cell r="C39">
            <v>39783</v>
          </cell>
          <cell r="D39" t="str">
            <v>Global</v>
          </cell>
          <cell r="E39">
            <v>41.653326233083362</v>
          </cell>
          <cell r="F39" t="str">
            <v>c</v>
          </cell>
          <cell r="G39" t="str">
            <v>g</v>
          </cell>
          <cell r="H39" t="str">
            <v>c</v>
          </cell>
          <cell r="I39">
            <v>50</v>
          </cell>
          <cell r="J39">
            <v>40</v>
          </cell>
          <cell r="K39">
            <v>55.80717814463901</v>
          </cell>
          <cell r="L39" t="str">
            <v>c</v>
          </cell>
          <cell r="M39" t="str">
            <v>c</v>
          </cell>
          <cell r="N39" t="str">
            <v>g</v>
          </cell>
          <cell r="O39">
            <v>50</v>
          </cell>
          <cell r="P39">
            <v>40</v>
          </cell>
          <cell r="Q39"/>
          <cell r="R39">
            <v>39783</v>
          </cell>
          <cell r="S39" t="str">
            <v>Global</v>
          </cell>
          <cell r="T39">
            <v>77.403441537709455</v>
          </cell>
          <cell r="U39">
            <v>41.653326233083362</v>
          </cell>
          <cell r="V39">
            <v>55.80717814463901</v>
          </cell>
          <cell r="W39">
            <v>-35.750115304626092</v>
          </cell>
          <cell r="X39">
            <v>-0.46186725802378348</v>
          </cell>
          <cell r="Y39">
            <v>-14.153851911555648</v>
          </cell>
          <cell r="Z39">
            <v>-0.25362063415699343</v>
          </cell>
          <cell r="AA39"/>
          <cell r="AB39">
            <v>77.403441537709455</v>
          </cell>
          <cell r="AC39">
            <v>41.653326233083362</v>
          </cell>
          <cell r="AD39">
            <v>55.80717814463901</v>
          </cell>
          <cell r="AE39">
            <v>-35.750115304626092</v>
          </cell>
          <cell r="AF39">
            <v>0.85827756238663566</v>
          </cell>
          <cell r="AG39">
            <v>-14.153851911555648</v>
          </cell>
          <cell r="AH39">
            <v>0.33980124017836255</v>
          </cell>
          <cell r="AI39"/>
          <cell r="AJ39">
            <v>75.135232184135134</v>
          </cell>
          <cell r="AK39">
            <v>55.80717814463901</v>
          </cell>
          <cell r="AL39">
            <v>740.11356956282225</v>
          </cell>
          <cell r="AM39">
            <v>-19.328054039496124</v>
          </cell>
          <cell r="AN39">
            <v>-0.25724355242728936</v>
          </cell>
        </row>
        <row r="40">
          <cell r="B40">
            <v>39814</v>
          </cell>
          <cell r="C40"/>
          <cell r="D40" t="str">
            <v>Global</v>
          </cell>
          <cell r="E40" t="str">
            <v/>
          </cell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  <cell r="L40" t="str">
            <v/>
          </cell>
          <cell r="M40" t="str">
            <v/>
          </cell>
          <cell r="N40" t="str">
            <v/>
          </cell>
          <cell r="O40" t="str">
            <v/>
          </cell>
          <cell r="P40" t="str">
            <v/>
          </cell>
          <cell r="Q40"/>
          <cell r="R40">
            <v>39814</v>
          </cell>
          <cell r="S40" t="str">
            <v>Global</v>
          </cell>
          <cell r="T40">
            <v>68.948656161989334</v>
          </cell>
          <cell r="U40" t="str">
            <v/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 t="str">
            <v/>
          </cell>
          <cell r="AA40"/>
          <cell r="AB40">
            <v>68.948656161989334</v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/>
          <cell r="AJ40">
            <v>68.948656161989334</v>
          </cell>
          <cell r="AK40" t="str">
            <v/>
          </cell>
          <cell r="AL40" t="str">
            <v/>
          </cell>
          <cell r="AM40" t="str">
            <v/>
          </cell>
          <cell r="AN40" t="str">
            <v/>
          </cell>
        </row>
        <row r="41">
          <cell r="B41">
            <v>39845</v>
          </cell>
          <cell r="C41"/>
          <cell r="D41" t="str">
            <v>Global</v>
          </cell>
          <cell r="E41" t="str">
            <v/>
          </cell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  <cell r="J41" t="str">
            <v/>
          </cell>
          <cell r="K41" t="str">
            <v/>
          </cell>
          <cell r="L41" t="str">
            <v/>
          </cell>
          <cell r="M41" t="str">
            <v/>
          </cell>
          <cell r="N41" t="str">
            <v/>
          </cell>
          <cell r="O41"/>
          <cell r="P41"/>
          <cell r="Q41"/>
          <cell r="R41">
            <v>39845</v>
          </cell>
          <cell r="S41" t="str">
            <v>Global</v>
          </cell>
          <cell r="T41">
            <v>58.744149871029549</v>
          </cell>
          <cell r="U41" t="str">
            <v/>
          </cell>
          <cell r="V41" t="str">
            <v/>
          </cell>
          <cell r="W41" t="str">
            <v/>
          </cell>
          <cell r="X41" t="str">
            <v/>
          </cell>
          <cell r="Y41" t="str">
            <v/>
          </cell>
          <cell r="Z41" t="str">
            <v/>
          </cell>
          <cell r="AA41"/>
          <cell r="AB41">
            <v>58.744149871029549</v>
          </cell>
          <cell r="AC41" t="str">
            <v/>
          </cell>
          <cell r="AD41" t="str">
            <v/>
          </cell>
          <cell r="AE41" t="str">
            <v/>
          </cell>
          <cell r="AF41" t="str">
            <v/>
          </cell>
          <cell r="AG41" t="str">
            <v/>
          </cell>
          <cell r="AH41" t="str">
            <v/>
          </cell>
          <cell r="AI41"/>
          <cell r="AJ41">
            <v>63.846403016509498</v>
          </cell>
          <cell r="AK41" t="str">
            <v/>
          </cell>
          <cell r="AL41" t="str">
            <v/>
          </cell>
          <cell r="AM41" t="str">
            <v/>
          </cell>
          <cell r="AN41" t="str">
            <v/>
          </cell>
        </row>
        <row r="42">
          <cell r="B42">
            <v>39873</v>
          </cell>
          <cell r="C42"/>
          <cell r="D42" t="str">
            <v>Global</v>
          </cell>
          <cell r="E42" t="str">
            <v/>
          </cell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  <cell r="J42" t="str">
            <v/>
          </cell>
          <cell r="K42" t="str">
            <v/>
          </cell>
          <cell r="L42" t="str">
            <v/>
          </cell>
          <cell r="M42" t="str">
            <v/>
          </cell>
          <cell r="N42" t="str">
            <v/>
          </cell>
          <cell r="O42"/>
          <cell r="P42"/>
          <cell r="Q42"/>
          <cell r="R42">
            <v>39873</v>
          </cell>
          <cell r="S42" t="str">
            <v>Global</v>
          </cell>
          <cell r="T42">
            <v>61.732552468361291</v>
          </cell>
          <cell r="U42" t="str">
            <v/>
          </cell>
          <cell r="V42" t="str">
            <v/>
          </cell>
          <cell r="W42" t="str">
            <v/>
          </cell>
          <cell r="X42" t="str">
            <v/>
          </cell>
          <cell r="Y42" t="str">
            <v/>
          </cell>
          <cell r="Z42" t="str">
            <v/>
          </cell>
          <cell r="AA42"/>
          <cell r="AB42">
            <v>61.732552468361291</v>
          </cell>
          <cell r="AC42" t="str">
            <v/>
          </cell>
          <cell r="AD42" t="str">
            <v/>
          </cell>
          <cell r="AE42" t="str">
            <v/>
          </cell>
          <cell r="AF42" t="str">
            <v/>
          </cell>
          <cell r="AG42" t="str">
            <v/>
          </cell>
          <cell r="AH42" t="str">
            <v/>
          </cell>
          <cell r="AI42"/>
          <cell r="AJ42">
            <v>63.141786167126838</v>
          </cell>
          <cell r="AK42" t="str">
            <v/>
          </cell>
          <cell r="AL42" t="str">
            <v/>
          </cell>
          <cell r="AM42" t="str">
            <v/>
          </cell>
          <cell r="AN42" t="str">
            <v/>
          </cell>
        </row>
        <row r="43">
          <cell r="B43">
            <v>39904</v>
          </cell>
          <cell r="C43"/>
          <cell r="D43" t="str">
            <v>Global</v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 t="str">
            <v/>
          </cell>
          <cell r="L43" t="str">
            <v/>
          </cell>
          <cell r="M43" t="str">
            <v/>
          </cell>
          <cell r="N43" t="str">
            <v/>
          </cell>
          <cell r="O43"/>
          <cell r="P43"/>
          <cell r="Q43"/>
          <cell r="R43">
            <v>39904</v>
          </cell>
          <cell r="S43" t="str">
            <v>Global</v>
          </cell>
          <cell r="T43">
            <v>64.419336797818914</v>
          </cell>
          <cell r="U43" t="str">
            <v/>
          </cell>
          <cell r="V43" t="str">
            <v/>
          </cell>
          <cell r="W43" t="str">
            <v/>
          </cell>
          <cell r="X43" t="str">
            <v/>
          </cell>
          <cell r="Y43" t="str">
            <v/>
          </cell>
          <cell r="Z43" t="str">
            <v/>
          </cell>
          <cell r="AA43"/>
          <cell r="AB43">
            <v>64.419336797818914</v>
          </cell>
          <cell r="AC43" t="str">
            <v/>
          </cell>
          <cell r="AD43" t="str">
            <v/>
          </cell>
          <cell r="AE43" t="str">
            <v/>
          </cell>
          <cell r="AF43" t="str">
            <v/>
          </cell>
          <cell r="AG43" t="str">
            <v/>
          </cell>
          <cell r="AH43" t="str">
            <v/>
          </cell>
          <cell r="AI43"/>
          <cell r="AJ43">
            <v>63.461173824799744</v>
          </cell>
          <cell r="AK43" t="str">
            <v/>
          </cell>
          <cell r="AL43" t="str">
            <v/>
          </cell>
          <cell r="AM43" t="str">
            <v/>
          </cell>
          <cell r="AN43" t="str">
            <v/>
          </cell>
        </row>
        <row r="44">
          <cell r="B44">
            <v>39934</v>
          </cell>
          <cell r="C44"/>
          <cell r="D44" t="str">
            <v>Global</v>
          </cell>
          <cell r="E44" t="str">
            <v/>
          </cell>
          <cell r="F44" t="str">
            <v/>
          </cell>
          <cell r="G44" t="str">
            <v/>
          </cell>
          <cell r="H44" t="str">
            <v/>
          </cell>
          <cell r="I44" t="str">
            <v/>
          </cell>
          <cell r="J44" t="str">
            <v/>
          </cell>
          <cell r="K44" t="str">
            <v/>
          </cell>
          <cell r="L44" t="str">
            <v/>
          </cell>
          <cell r="M44" t="str">
            <v/>
          </cell>
          <cell r="N44" t="str">
            <v/>
          </cell>
          <cell r="O44"/>
          <cell r="P44"/>
          <cell r="Q44"/>
          <cell r="R44">
            <v>39934</v>
          </cell>
          <cell r="S44" t="str">
            <v>Global</v>
          </cell>
          <cell r="T44">
            <v>60.448384586747125</v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  <cell r="AA44"/>
          <cell r="AB44">
            <v>60.448384586747125</v>
          </cell>
          <cell r="AC44" t="str">
            <v/>
          </cell>
          <cell r="AD44" t="str">
            <v/>
          </cell>
          <cell r="AE44" t="str">
            <v/>
          </cell>
          <cell r="AF44" t="str">
            <v/>
          </cell>
          <cell r="AG44" t="str">
            <v/>
          </cell>
          <cell r="AH44" t="str">
            <v/>
          </cell>
          <cell r="AI44"/>
          <cell r="AJ44">
            <v>62.858615977189174</v>
          </cell>
          <cell r="AK44" t="str">
            <v/>
          </cell>
          <cell r="AL44" t="str">
            <v/>
          </cell>
          <cell r="AM44" t="str">
            <v/>
          </cell>
          <cell r="AN44" t="str">
            <v/>
          </cell>
        </row>
        <row r="45">
          <cell r="B45">
            <v>39965</v>
          </cell>
          <cell r="C45"/>
          <cell r="D45" t="str">
            <v>Global</v>
          </cell>
          <cell r="E45" t="str">
            <v/>
          </cell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  <cell r="M45" t="str">
            <v/>
          </cell>
          <cell r="N45" t="str">
            <v/>
          </cell>
          <cell r="O45"/>
          <cell r="P45"/>
          <cell r="Q45"/>
          <cell r="R45">
            <v>39965</v>
          </cell>
          <cell r="S45" t="str">
            <v>Global</v>
          </cell>
          <cell r="T45">
            <v>63.832143797176059</v>
          </cell>
          <cell r="U45" t="str">
            <v/>
          </cell>
          <cell r="V45" t="str">
            <v/>
          </cell>
          <cell r="W45" t="str">
            <v/>
          </cell>
          <cell r="X45" t="str">
            <v/>
          </cell>
          <cell r="Y45" t="str">
            <v/>
          </cell>
          <cell r="Z45" t="str">
            <v/>
          </cell>
          <cell r="AA45"/>
          <cell r="AB45">
            <v>63.832143797176059</v>
          </cell>
          <cell r="AC45" t="str">
            <v/>
          </cell>
          <cell r="AD45" t="str">
            <v/>
          </cell>
          <cell r="AE45" t="str">
            <v/>
          </cell>
          <cell r="AF45" t="str">
            <v/>
          </cell>
          <cell r="AG45" t="str">
            <v/>
          </cell>
          <cell r="AH45" t="str">
            <v/>
          </cell>
          <cell r="AI45"/>
          <cell r="AJ45">
            <v>63.020870613853731</v>
          </cell>
          <cell r="AK45" t="str">
            <v/>
          </cell>
          <cell r="AL45" t="str">
            <v/>
          </cell>
          <cell r="AM45" t="str">
            <v/>
          </cell>
          <cell r="AN45" t="str">
            <v/>
          </cell>
        </row>
        <row r="46">
          <cell r="B46">
            <v>39995</v>
          </cell>
          <cell r="C46"/>
          <cell r="D46" t="str">
            <v>Global</v>
          </cell>
          <cell r="E46" t="str">
            <v/>
          </cell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  <cell r="M46" t="str">
            <v/>
          </cell>
          <cell r="N46" t="str">
            <v/>
          </cell>
          <cell r="O46"/>
          <cell r="P46"/>
          <cell r="Q46"/>
          <cell r="R46">
            <v>39995</v>
          </cell>
          <cell r="S46" t="str">
            <v>Global</v>
          </cell>
          <cell r="T46">
            <v>58.997536584182399</v>
          </cell>
          <cell r="U46" t="str">
            <v/>
          </cell>
          <cell r="V46" t="str">
            <v/>
          </cell>
          <cell r="W46" t="str">
            <v/>
          </cell>
          <cell r="X46" t="str">
            <v/>
          </cell>
          <cell r="Y46" t="str">
            <v/>
          </cell>
          <cell r="Z46" t="str">
            <v/>
          </cell>
          <cell r="AA46"/>
          <cell r="AB46">
            <v>58.997536584182399</v>
          </cell>
          <cell r="AC46" t="str">
            <v/>
          </cell>
          <cell r="AD46" t="str">
            <v/>
          </cell>
          <cell r="AE46" t="str">
            <v/>
          </cell>
          <cell r="AF46" t="str">
            <v/>
          </cell>
          <cell r="AG46" t="str">
            <v/>
          </cell>
          <cell r="AH46" t="str">
            <v/>
          </cell>
          <cell r="AI46"/>
          <cell r="AJ46">
            <v>62.446108609615067</v>
          </cell>
          <cell r="AK46" t="str">
            <v/>
          </cell>
          <cell r="AL46" t="str">
            <v/>
          </cell>
          <cell r="AM46" t="str">
            <v/>
          </cell>
          <cell r="AN46" t="str">
            <v/>
          </cell>
        </row>
        <row r="47">
          <cell r="B47">
            <v>40026</v>
          </cell>
          <cell r="C47"/>
          <cell r="D47" t="str">
            <v>Global</v>
          </cell>
          <cell r="E47" t="str">
            <v/>
          </cell>
          <cell r="F47" t="str">
            <v/>
          </cell>
          <cell r="G47" t="str">
            <v/>
          </cell>
          <cell r="H47" t="str">
            <v/>
          </cell>
          <cell r="I47" t="str">
            <v/>
          </cell>
          <cell r="J47" t="str">
            <v/>
          </cell>
          <cell r="K47" t="str">
            <v/>
          </cell>
          <cell r="L47" t="str">
            <v/>
          </cell>
          <cell r="M47" t="str">
            <v/>
          </cell>
          <cell r="N47" t="str">
            <v/>
          </cell>
          <cell r="O47"/>
          <cell r="P47"/>
          <cell r="Q47"/>
          <cell r="R47">
            <v>40026</v>
          </cell>
          <cell r="S47" t="str">
            <v>Global</v>
          </cell>
          <cell r="T47">
            <v>55.799572155778606</v>
          </cell>
          <cell r="U47" t="str">
            <v/>
          </cell>
          <cell r="V47" t="str">
            <v/>
          </cell>
          <cell r="W47" t="str">
            <v/>
          </cell>
          <cell r="X47" t="str">
            <v/>
          </cell>
          <cell r="Y47" t="str">
            <v/>
          </cell>
          <cell r="Z47" t="str">
            <v/>
          </cell>
          <cell r="AA47"/>
          <cell r="AB47">
            <v>55.799572155778606</v>
          </cell>
          <cell r="AC47" t="str">
            <v/>
          </cell>
          <cell r="AD47" t="str">
            <v/>
          </cell>
          <cell r="AE47" t="str">
            <v/>
          </cell>
          <cell r="AF47" t="str">
            <v/>
          </cell>
          <cell r="AG47" t="str">
            <v/>
          </cell>
          <cell r="AH47" t="str">
            <v/>
          </cell>
          <cell r="AI47"/>
          <cell r="AJ47">
            <v>61.61529155288531</v>
          </cell>
          <cell r="AK47" t="str">
            <v/>
          </cell>
          <cell r="AL47" t="str">
            <v/>
          </cell>
          <cell r="AM47" t="str">
            <v/>
          </cell>
          <cell r="AN47" t="str">
            <v/>
          </cell>
        </row>
        <row r="48">
          <cell r="B48">
            <v>40057</v>
          </cell>
          <cell r="C48"/>
          <cell r="D48" t="str">
            <v>Global</v>
          </cell>
          <cell r="E48" t="str">
            <v/>
          </cell>
          <cell r="F48" t="str">
            <v/>
          </cell>
          <cell r="G48" t="str">
            <v/>
          </cell>
          <cell r="H48" t="str">
            <v/>
          </cell>
          <cell r="I48" t="str">
            <v/>
          </cell>
          <cell r="J48" t="str">
            <v/>
          </cell>
          <cell r="K48" t="str">
            <v/>
          </cell>
          <cell r="L48" t="str">
            <v/>
          </cell>
          <cell r="M48" t="str">
            <v/>
          </cell>
          <cell r="N48" t="str">
            <v/>
          </cell>
          <cell r="O48"/>
          <cell r="P48"/>
          <cell r="Q48"/>
          <cell r="R48">
            <v>40057</v>
          </cell>
          <cell r="S48" t="str">
            <v>Global</v>
          </cell>
          <cell r="T48">
            <v>44.110479079500692</v>
          </cell>
          <cell r="U48" t="str">
            <v/>
          </cell>
          <cell r="V48" t="str">
            <v/>
          </cell>
          <cell r="W48" t="str">
            <v/>
          </cell>
          <cell r="X48" t="str">
            <v/>
          </cell>
          <cell r="Y48" t="str">
            <v/>
          </cell>
          <cell r="Z48" t="str">
            <v/>
          </cell>
          <cell r="AA48"/>
          <cell r="AB48">
            <v>44.110479079500692</v>
          </cell>
          <cell r="AC48" t="str">
            <v/>
          </cell>
          <cell r="AD48" t="str">
            <v/>
          </cell>
          <cell r="AE48" t="str">
            <v/>
          </cell>
          <cell r="AF48" t="str">
            <v/>
          </cell>
          <cell r="AG48" t="str">
            <v/>
          </cell>
          <cell r="AH48" t="str">
            <v/>
          </cell>
          <cell r="AI48"/>
          <cell r="AJ48">
            <v>59.670312389175933</v>
          </cell>
          <cell r="AK48" t="str">
            <v/>
          </cell>
          <cell r="AL48" t="str">
            <v/>
          </cell>
          <cell r="AM48" t="str">
            <v/>
          </cell>
          <cell r="AN48" t="str">
            <v/>
          </cell>
        </row>
        <row r="49">
          <cell r="B49">
            <v>40087</v>
          </cell>
          <cell r="C49"/>
          <cell r="D49" t="str">
            <v>Global</v>
          </cell>
          <cell r="E49" t="str">
            <v/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  <cell r="L49" t="str">
            <v/>
          </cell>
          <cell r="M49" t="str">
            <v/>
          </cell>
          <cell r="N49" t="str">
            <v/>
          </cell>
          <cell r="O49"/>
          <cell r="P49"/>
          <cell r="Q49"/>
          <cell r="R49">
            <v>40087</v>
          </cell>
          <cell r="S49" t="str">
            <v>Global</v>
          </cell>
          <cell r="T49">
            <v>45</v>
          </cell>
          <cell r="U49" t="str">
            <v/>
          </cell>
          <cell r="V49" t="str">
            <v/>
          </cell>
          <cell r="W49" t="str">
            <v/>
          </cell>
          <cell r="X49" t="str">
            <v/>
          </cell>
          <cell r="Y49" t="str">
            <v/>
          </cell>
          <cell r="Z49" t="str">
            <v/>
          </cell>
          <cell r="AA49"/>
          <cell r="AB49">
            <v>45</v>
          </cell>
          <cell r="AC49" t="str">
            <v/>
          </cell>
          <cell r="AD49" t="str">
            <v/>
          </cell>
          <cell r="AE49" t="str">
            <v/>
          </cell>
          <cell r="AF49" t="str">
            <v/>
          </cell>
          <cell r="AG49" t="str">
            <v/>
          </cell>
          <cell r="AH49" t="str">
            <v/>
          </cell>
          <cell r="AI49"/>
          <cell r="AJ49">
            <v>58.203281150258363</v>
          </cell>
          <cell r="AK49" t="str">
            <v/>
          </cell>
          <cell r="AL49" t="str">
            <v/>
          </cell>
          <cell r="AM49" t="str">
            <v/>
          </cell>
          <cell r="AN49" t="str">
            <v/>
          </cell>
        </row>
      </sheetData>
      <sheetData sheetId="73"/>
      <sheetData sheetId="74">
        <row r="13">
          <cell r="B13"/>
          <cell r="C13"/>
          <cell r="D13"/>
          <cell r="E13" t="str">
            <v>Mensual</v>
          </cell>
          <cell r="F13"/>
          <cell r="G13"/>
          <cell r="H13"/>
          <cell r="I13"/>
          <cell r="J13"/>
          <cell r="K13" t="str">
            <v>Acumulado</v>
          </cell>
          <cell r="L13"/>
          <cell r="M13"/>
          <cell r="N13"/>
          <cell r="O13"/>
          <cell r="P13"/>
          <cell r="Q13"/>
          <cell r="R13"/>
          <cell r="S13"/>
          <cell r="U13"/>
          <cell r="V13"/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</row>
        <row r="14">
          <cell r="B14"/>
          <cell r="C14"/>
          <cell r="D14"/>
          <cell r="E14" t="str">
            <v>Días</v>
          </cell>
          <cell r="F14" t="str">
            <v>Periodo Promedio de Pago</v>
          </cell>
          <cell r="G14"/>
          <cell r="H14"/>
          <cell r="I14"/>
          <cell r="J14"/>
          <cell r="K14" t="str">
            <v>Días</v>
          </cell>
          <cell r="L14" t="str">
            <v>Acum. Promedio de Pago</v>
          </cell>
          <cell r="M14"/>
          <cell r="N14"/>
          <cell r="O14"/>
          <cell r="P14"/>
          <cell r="Q14"/>
          <cell r="R14"/>
          <cell r="S14"/>
          <cell r="T14" t="str">
            <v>Periodo promedio de pago</v>
          </cell>
          <cell r="U14"/>
          <cell r="V14"/>
          <cell r="W14" t="str">
            <v>Var 1.</v>
          </cell>
          <cell r="X14"/>
          <cell r="Y14" t="str">
            <v>Var. 2</v>
          </cell>
          <cell r="Z14"/>
          <cell r="AA14"/>
          <cell r="AB14" t="str">
            <v>Cumplimiento Proyectado  TM</v>
          </cell>
          <cell r="AC14"/>
          <cell r="AD14"/>
          <cell r="AE14" t="str">
            <v>Var 1.</v>
          </cell>
          <cell r="AF14"/>
          <cell r="AG14" t="str">
            <v>Var. 2</v>
          </cell>
          <cell r="AH14"/>
          <cell r="AI14"/>
          <cell r="AJ14" t="str">
            <v>Acum. Margen Neto</v>
          </cell>
          <cell r="AK14"/>
          <cell r="AL14"/>
          <cell r="AM14" t="str">
            <v>Var 1.</v>
          </cell>
          <cell r="AN14"/>
        </row>
        <row r="15">
          <cell r="B15"/>
          <cell r="C15" t="str">
            <v>Fecha</v>
          </cell>
          <cell r="D15" t="str">
            <v>TIPO</v>
          </cell>
          <cell r="E15"/>
          <cell r="F15" t="str">
            <v>Performance</v>
          </cell>
          <cell r="G15"/>
          <cell r="H15"/>
          <cell r="I15" t="str">
            <v>Sup</v>
          </cell>
          <cell r="J15" t="str">
            <v>Inf</v>
          </cell>
          <cell r="K15"/>
          <cell r="L15" t="str">
            <v>Performance</v>
          </cell>
          <cell r="M15"/>
          <cell r="N15"/>
          <cell r="O15" t="str">
            <v>Sup</v>
          </cell>
          <cell r="P15" t="str">
            <v>Inf</v>
          </cell>
          <cell r="Q15"/>
          <cell r="R15" t="str">
            <v>Fecha</v>
          </cell>
          <cell r="S15" t="str">
            <v>TIPO</v>
          </cell>
          <cell r="T15" t="str">
            <v>Anteriores</v>
          </cell>
          <cell r="U15" t="str">
            <v>Real</v>
          </cell>
          <cell r="V15" t="str">
            <v>Programado</v>
          </cell>
          <cell r="W15" t="str">
            <v>Unidades</v>
          </cell>
          <cell r="X15" t="str">
            <v>%</v>
          </cell>
          <cell r="Y15" t="str">
            <v>Unidades</v>
          </cell>
          <cell r="Z15" t="str">
            <v>%</v>
          </cell>
          <cell r="AA15"/>
          <cell r="AB15" t="str">
            <v>Anteriores</v>
          </cell>
          <cell r="AC15" t="str">
            <v>Real</v>
          </cell>
          <cell r="AD15" t="str">
            <v>Inicial</v>
          </cell>
          <cell r="AE15" t="str">
            <v>Unidades</v>
          </cell>
          <cell r="AF15" t="str">
            <v>%</v>
          </cell>
          <cell r="AG15" t="str">
            <v>Unidades</v>
          </cell>
          <cell r="AH15" t="str">
            <v>%</v>
          </cell>
          <cell r="AI15"/>
          <cell r="AJ15" t="str">
            <v>Anterior</v>
          </cell>
          <cell r="AK15" t="str">
            <v>Real</v>
          </cell>
          <cell r="AL15" t="str">
            <v>Programado</v>
          </cell>
          <cell r="AM15" t="str">
            <v>Unidades</v>
          </cell>
          <cell r="AN15" t="str">
            <v>%</v>
          </cell>
        </row>
        <row r="16">
          <cell r="B16">
            <v>39083</v>
          </cell>
          <cell r="C16">
            <v>39083</v>
          </cell>
          <cell r="D16" t="str">
            <v>Global</v>
          </cell>
          <cell r="E16">
            <v>52.206431076470004</v>
          </cell>
          <cell r="F16" t="str">
            <v>c</v>
          </cell>
          <cell r="G16" t="str">
            <v>g</v>
          </cell>
          <cell r="H16" t="str">
            <v>c</v>
          </cell>
          <cell r="I16">
            <v>60</v>
          </cell>
          <cell r="J16">
            <v>50</v>
          </cell>
          <cell r="K16">
            <v>52.206431076470004</v>
          </cell>
          <cell r="L16" t="str">
            <v>c</v>
          </cell>
          <cell r="M16" t="str">
            <v>g</v>
          </cell>
          <cell r="N16" t="str">
            <v>c</v>
          </cell>
          <cell r="O16">
            <v>60</v>
          </cell>
          <cell r="P16">
            <v>50</v>
          </cell>
          <cell r="Q16"/>
          <cell r="R16">
            <v>39083</v>
          </cell>
          <cell r="S16" t="str">
            <v>Global</v>
          </cell>
          <cell r="T16"/>
          <cell r="U16">
            <v>52.206431076470004</v>
          </cell>
          <cell r="V16">
            <v>52.206431076470004</v>
          </cell>
          <cell r="W16">
            <v>52.206431076470004</v>
          </cell>
          <cell r="X16"/>
          <cell r="Y16">
            <v>0</v>
          </cell>
          <cell r="Z16">
            <v>0</v>
          </cell>
          <cell r="AA16"/>
          <cell r="AB16"/>
          <cell r="AC16">
            <v>52.206431076470004</v>
          </cell>
          <cell r="AD16">
            <v>52.206431076470004</v>
          </cell>
          <cell r="AE16">
            <v>52.206431076470004</v>
          </cell>
          <cell r="AF16">
            <v>-1</v>
          </cell>
          <cell r="AG16">
            <v>0</v>
          </cell>
          <cell r="AH16">
            <v>0</v>
          </cell>
          <cell r="AI16"/>
          <cell r="AJ16"/>
          <cell r="AK16">
            <v>52.206431076470004</v>
          </cell>
          <cell r="AL16">
            <v>52.206431076470004</v>
          </cell>
          <cell r="AM16">
            <v>52.206431076470004</v>
          </cell>
          <cell r="AN16"/>
        </row>
        <row r="17">
          <cell r="B17">
            <v>39114</v>
          </cell>
          <cell r="C17">
            <v>39114</v>
          </cell>
          <cell r="D17" t="str">
            <v>Global</v>
          </cell>
          <cell r="E17">
            <v>59.813372493255464</v>
          </cell>
          <cell r="F17" t="str">
            <v>c</v>
          </cell>
          <cell r="G17" t="str">
            <v>g</v>
          </cell>
          <cell r="H17" t="str">
            <v>c</v>
          </cell>
          <cell r="I17">
            <v>60</v>
          </cell>
          <cell r="J17">
            <v>50</v>
          </cell>
          <cell r="K17">
            <v>56.009901784862741</v>
          </cell>
          <cell r="L17" t="str">
            <v>c</v>
          </cell>
          <cell r="M17" t="str">
            <v>g</v>
          </cell>
          <cell r="N17" t="str">
            <v>c</v>
          </cell>
          <cell r="O17">
            <v>60</v>
          </cell>
          <cell r="P17">
            <v>50</v>
          </cell>
          <cell r="Q17"/>
          <cell r="R17">
            <v>39114</v>
          </cell>
          <cell r="S17" t="str">
            <v>Global</v>
          </cell>
          <cell r="T17"/>
          <cell r="U17">
            <v>59.813372493255464</v>
          </cell>
          <cell r="V17">
            <v>56.009901784862741</v>
          </cell>
          <cell r="W17">
            <v>59.813372493255464</v>
          </cell>
          <cell r="X17"/>
          <cell r="Y17">
            <v>3.8034707083927231</v>
          </cell>
          <cell r="Z17">
            <v>6.7907112620944732E-2</v>
          </cell>
          <cell r="AA17"/>
          <cell r="AB17"/>
          <cell r="AC17">
            <v>59.813372493255464</v>
          </cell>
          <cell r="AD17">
            <v>56.009901784862741</v>
          </cell>
          <cell r="AE17">
            <v>59.813372493255464</v>
          </cell>
          <cell r="AF17">
            <v>-1</v>
          </cell>
          <cell r="AG17">
            <v>3.8034707083927231</v>
          </cell>
          <cell r="AH17">
            <v>-6.358896931988911E-2</v>
          </cell>
          <cell r="AI17"/>
          <cell r="AJ17"/>
          <cell r="AK17">
            <v>56.009901784862741</v>
          </cell>
          <cell r="AL17">
            <v>108.21633286133275</v>
          </cell>
          <cell r="AM17">
            <v>56.009901784862741</v>
          </cell>
          <cell r="AN17"/>
        </row>
        <row r="18">
          <cell r="B18">
            <v>39142</v>
          </cell>
          <cell r="C18">
            <v>39142</v>
          </cell>
          <cell r="D18" t="str">
            <v>Global</v>
          </cell>
          <cell r="E18">
            <v>52.48728477630857</v>
          </cell>
          <cell r="F18" t="str">
            <v>c</v>
          </cell>
          <cell r="G18" t="str">
            <v>g</v>
          </cell>
          <cell r="H18" t="str">
            <v>c</v>
          </cell>
          <cell r="I18">
            <v>60</v>
          </cell>
          <cell r="J18">
            <v>50</v>
          </cell>
          <cell r="K18">
            <v>54.835696115344689</v>
          </cell>
          <cell r="L18" t="str">
            <v>c</v>
          </cell>
          <cell r="M18" t="str">
            <v>g</v>
          </cell>
          <cell r="N18" t="str">
            <v>c</v>
          </cell>
          <cell r="O18">
            <v>60</v>
          </cell>
          <cell r="P18">
            <v>50</v>
          </cell>
          <cell r="Q18"/>
          <cell r="R18">
            <v>39142</v>
          </cell>
          <cell r="S18" t="str">
            <v>Global</v>
          </cell>
          <cell r="T18"/>
          <cell r="U18">
            <v>52.48728477630857</v>
          </cell>
          <cell r="V18">
            <v>54.835696115344689</v>
          </cell>
          <cell r="W18">
            <v>52.48728477630857</v>
          </cell>
          <cell r="X18"/>
          <cell r="Y18">
            <v>-2.3484113390361188</v>
          </cell>
          <cell r="Z18">
            <v>-4.2826324919744474E-2</v>
          </cell>
          <cell r="AA18"/>
          <cell r="AB18"/>
          <cell r="AC18">
            <v>52.48728477630857</v>
          </cell>
          <cell r="AD18">
            <v>54.835696115344689</v>
          </cell>
          <cell r="AE18">
            <v>52.48728477630857</v>
          </cell>
          <cell r="AF18">
            <v>-1</v>
          </cell>
          <cell r="AG18">
            <v>-2.3484113390361188</v>
          </cell>
          <cell r="AH18">
            <v>4.4742480946473595E-2</v>
          </cell>
          <cell r="AI18"/>
          <cell r="AJ18"/>
          <cell r="AK18">
            <v>54.835696115344689</v>
          </cell>
          <cell r="AL18">
            <v>163.05202897667743</v>
          </cell>
          <cell r="AM18">
            <v>54.835696115344689</v>
          </cell>
          <cell r="AN18"/>
        </row>
        <row r="19">
          <cell r="B19">
            <v>39173</v>
          </cell>
          <cell r="C19">
            <v>39173</v>
          </cell>
          <cell r="D19" t="str">
            <v>Global</v>
          </cell>
          <cell r="E19">
            <v>52.97877198174794</v>
          </cell>
          <cell r="F19" t="str">
            <v>c</v>
          </cell>
          <cell r="G19" t="str">
            <v>g</v>
          </cell>
          <cell r="H19" t="str">
            <v>c</v>
          </cell>
          <cell r="I19">
            <v>60</v>
          </cell>
          <cell r="J19">
            <v>50</v>
          </cell>
          <cell r="K19">
            <v>54.371465081945502</v>
          </cell>
          <cell r="L19" t="str">
            <v>c</v>
          </cell>
          <cell r="M19" t="str">
            <v>g</v>
          </cell>
          <cell r="N19" t="str">
            <v>c</v>
          </cell>
          <cell r="O19">
            <v>60</v>
          </cell>
          <cell r="P19">
            <v>50</v>
          </cell>
          <cell r="Q19"/>
          <cell r="R19">
            <v>39173</v>
          </cell>
          <cell r="S19" t="str">
            <v>Global</v>
          </cell>
          <cell r="T19"/>
          <cell r="U19">
            <v>52.97877198174794</v>
          </cell>
          <cell r="V19">
            <v>54.371465081945502</v>
          </cell>
          <cell r="W19">
            <v>52.97877198174794</v>
          </cell>
          <cell r="X19"/>
          <cell r="Y19">
            <v>-1.3926931001975618</v>
          </cell>
          <cell r="Z19">
            <v>-2.5614411862887598E-2</v>
          </cell>
          <cell r="AA19"/>
          <cell r="AB19"/>
          <cell r="AC19">
            <v>52.97877198174794</v>
          </cell>
          <cell r="AD19">
            <v>54.371465081945502</v>
          </cell>
          <cell r="AE19">
            <v>52.97877198174794</v>
          </cell>
          <cell r="AF19">
            <v>-1</v>
          </cell>
          <cell r="AG19">
            <v>-1.3926931001975618</v>
          </cell>
          <cell r="AH19">
            <v>2.6287757305461179E-2</v>
          </cell>
          <cell r="AI19"/>
          <cell r="AJ19"/>
          <cell r="AK19">
            <v>54.371465081945502</v>
          </cell>
          <cell r="AL19">
            <v>217.42349405862294</v>
          </cell>
          <cell r="AM19">
            <v>54.371465081945502</v>
          </cell>
          <cell r="AN19"/>
        </row>
        <row r="20">
          <cell r="B20">
            <v>39203</v>
          </cell>
          <cell r="C20">
            <v>39203</v>
          </cell>
          <cell r="D20" t="str">
            <v>Global</v>
          </cell>
          <cell r="E20">
            <v>60.261272635883898</v>
          </cell>
          <cell r="F20" t="str">
            <v>g</v>
          </cell>
          <cell r="G20" t="str">
            <v>c</v>
          </cell>
          <cell r="H20" t="str">
            <v>c</v>
          </cell>
          <cell r="I20">
            <v>60</v>
          </cell>
          <cell r="J20">
            <v>50</v>
          </cell>
          <cell r="K20">
            <v>55.54942659273317</v>
          </cell>
          <cell r="L20" t="str">
            <v>c</v>
          </cell>
          <cell r="M20" t="str">
            <v>g</v>
          </cell>
          <cell r="N20" t="str">
            <v>c</v>
          </cell>
          <cell r="O20">
            <v>60</v>
          </cell>
          <cell r="P20">
            <v>50</v>
          </cell>
          <cell r="Q20"/>
          <cell r="R20">
            <v>39203</v>
          </cell>
          <cell r="S20" t="str">
            <v>Global</v>
          </cell>
          <cell r="T20"/>
          <cell r="U20">
            <v>60.261272635883898</v>
          </cell>
          <cell r="V20">
            <v>55.54942659273317</v>
          </cell>
          <cell r="W20">
            <v>60.261272635883898</v>
          </cell>
          <cell r="X20"/>
          <cell r="Y20">
            <v>4.7118460431507287</v>
          </cell>
          <cell r="Z20">
            <v>8.482258651733976E-2</v>
          </cell>
          <cell r="AA20"/>
          <cell r="AB20"/>
          <cell r="AC20">
            <v>60.261272635883898</v>
          </cell>
          <cell r="AD20">
            <v>55.54942659273317</v>
          </cell>
          <cell r="AE20">
            <v>60.261272635883898</v>
          </cell>
          <cell r="AF20">
            <v>-1</v>
          </cell>
          <cell r="AG20">
            <v>4.7118460431507287</v>
          </cell>
          <cell r="AH20">
            <v>-7.819028435760178E-2</v>
          </cell>
          <cell r="AI20"/>
          <cell r="AJ20"/>
          <cell r="AK20">
            <v>55.54942659273317</v>
          </cell>
          <cell r="AL20">
            <v>272.97292065135611</v>
          </cell>
          <cell r="AM20">
            <v>55.54942659273317</v>
          </cell>
          <cell r="AN20"/>
        </row>
        <row r="21">
          <cell r="B21">
            <v>39234</v>
          </cell>
          <cell r="C21">
            <v>39234</v>
          </cell>
          <cell r="D21" t="str">
            <v>Global</v>
          </cell>
          <cell r="E21">
            <v>58.041400198917643</v>
          </cell>
          <cell r="F21" t="str">
            <v>c</v>
          </cell>
          <cell r="G21" t="str">
            <v>g</v>
          </cell>
          <cell r="H21" t="str">
            <v>c</v>
          </cell>
          <cell r="I21">
            <v>60</v>
          </cell>
          <cell r="J21">
            <v>50</v>
          </cell>
          <cell r="K21">
            <v>55.964755527097225</v>
          </cell>
          <cell r="L21" t="str">
            <v>c</v>
          </cell>
          <cell r="M21" t="str">
            <v>g</v>
          </cell>
          <cell r="N21" t="str">
            <v>c</v>
          </cell>
          <cell r="O21">
            <v>60</v>
          </cell>
          <cell r="P21">
            <v>50</v>
          </cell>
          <cell r="Q21"/>
          <cell r="R21">
            <v>39234</v>
          </cell>
          <cell r="S21" t="str">
            <v>Global</v>
          </cell>
          <cell r="T21"/>
          <cell r="U21">
            <v>58.041400198917643</v>
          </cell>
          <cell r="V21">
            <v>55.964755527097225</v>
          </cell>
          <cell r="W21">
            <v>58.041400198917643</v>
          </cell>
          <cell r="X21"/>
          <cell r="Y21">
            <v>2.0766446718204179</v>
          </cell>
          <cell r="Z21">
            <v>3.7106293992742234E-2</v>
          </cell>
          <cell r="AA21"/>
          <cell r="AB21"/>
          <cell r="AC21">
            <v>58.041400198917643</v>
          </cell>
          <cell r="AD21">
            <v>55.964755527097225</v>
          </cell>
          <cell r="AE21">
            <v>58.041400198917643</v>
          </cell>
          <cell r="AF21">
            <v>-1</v>
          </cell>
          <cell r="AG21">
            <v>2.0766446718204179</v>
          </cell>
          <cell r="AH21">
            <v>-3.5778679782076384E-2</v>
          </cell>
          <cell r="AI21"/>
          <cell r="AJ21"/>
          <cell r="AK21">
            <v>55.964755527097225</v>
          </cell>
          <cell r="AL21">
            <v>328.93767617845333</v>
          </cell>
          <cell r="AM21">
            <v>55.964755527097225</v>
          </cell>
          <cell r="AN21"/>
        </row>
        <row r="22">
          <cell r="B22">
            <v>39264</v>
          </cell>
          <cell r="C22">
            <v>39264</v>
          </cell>
          <cell r="D22" t="str">
            <v>Global</v>
          </cell>
          <cell r="E22">
            <v>54.843868763361172</v>
          </cell>
          <cell r="F22" t="str">
            <v>c</v>
          </cell>
          <cell r="G22" t="str">
            <v>g</v>
          </cell>
          <cell r="H22" t="str">
            <v>c</v>
          </cell>
          <cell r="I22">
            <v>60</v>
          </cell>
          <cell r="J22">
            <v>50</v>
          </cell>
          <cell r="K22">
            <v>55.804628846563503</v>
          </cell>
          <cell r="L22" t="str">
            <v>c</v>
          </cell>
          <cell r="M22" t="str">
            <v>g</v>
          </cell>
          <cell r="N22" t="str">
            <v>c</v>
          </cell>
          <cell r="O22">
            <v>60</v>
          </cell>
          <cell r="P22">
            <v>50</v>
          </cell>
          <cell r="Q22"/>
          <cell r="R22">
            <v>39264</v>
          </cell>
          <cell r="S22" t="str">
            <v>Global</v>
          </cell>
          <cell r="T22"/>
          <cell r="U22">
            <v>54.843868763361172</v>
          </cell>
          <cell r="V22">
            <v>55.804628846563503</v>
          </cell>
          <cell r="W22">
            <v>54.843868763361172</v>
          </cell>
          <cell r="X22"/>
          <cell r="Y22">
            <v>-0.96076008320233086</v>
          </cell>
          <cell r="Z22">
            <v>-1.7216494456830267E-2</v>
          </cell>
          <cell r="AA22"/>
          <cell r="AB22"/>
          <cell r="AC22">
            <v>54.843868763361172</v>
          </cell>
          <cell r="AD22">
            <v>55.804628846563503</v>
          </cell>
          <cell r="AE22">
            <v>54.843868763361172</v>
          </cell>
          <cell r="AF22">
            <v>-1</v>
          </cell>
          <cell r="AG22">
            <v>-0.96076008320233086</v>
          </cell>
          <cell r="AH22">
            <v>1.7518094636025605E-2</v>
          </cell>
          <cell r="AI22"/>
          <cell r="AJ22"/>
          <cell r="AK22">
            <v>55.804628846563503</v>
          </cell>
          <cell r="AL22">
            <v>384.74230502501683</v>
          </cell>
          <cell r="AM22">
            <v>55.804628846563503</v>
          </cell>
          <cell r="AN22"/>
        </row>
        <row r="23">
          <cell r="B23">
            <v>39295</v>
          </cell>
          <cell r="C23">
            <v>39295</v>
          </cell>
          <cell r="D23" t="str">
            <v>Global</v>
          </cell>
          <cell r="E23">
            <v>64.954334719731605</v>
          </cell>
          <cell r="F23" t="str">
            <v>g</v>
          </cell>
          <cell r="G23" t="str">
            <v>c</v>
          </cell>
          <cell r="H23" t="str">
            <v>c</v>
          </cell>
          <cell r="I23">
            <v>60</v>
          </cell>
          <cell r="J23">
            <v>50</v>
          </cell>
          <cell r="K23">
            <v>56.948342080709551</v>
          </cell>
          <cell r="L23" t="str">
            <v>c</v>
          </cell>
          <cell r="M23" t="str">
            <v>g</v>
          </cell>
          <cell r="N23" t="str">
            <v>c</v>
          </cell>
          <cell r="O23">
            <v>60</v>
          </cell>
          <cell r="P23">
            <v>50</v>
          </cell>
          <cell r="Q23"/>
          <cell r="R23">
            <v>39295</v>
          </cell>
          <cell r="S23" t="str">
            <v>Global</v>
          </cell>
          <cell r="T23"/>
          <cell r="U23">
            <v>64.954334719731605</v>
          </cell>
          <cell r="V23">
            <v>56.948342080709551</v>
          </cell>
          <cell r="W23">
            <v>64.954334719731605</v>
          </cell>
          <cell r="X23"/>
          <cell r="Y23">
            <v>8.0059926390220539</v>
          </cell>
          <cell r="Z23">
            <v>0.14058341905152627</v>
          </cell>
          <cell r="AA23"/>
          <cell r="AB23"/>
          <cell r="AC23">
            <v>64.954334719731605</v>
          </cell>
          <cell r="AD23">
            <v>56.948342080709551</v>
          </cell>
          <cell r="AE23">
            <v>64.954334719731605</v>
          </cell>
          <cell r="AF23">
            <v>-1</v>
          </cell>
          <cell r="AG23">
            <v>8.0059926390220539</v>
          </cell>
          <cell r="AH23">
            <v>-0.12325570993170409</v>
          </cell>
          <cell r="AI23"/>
          <cell r="AJ23"/>
          <cell r="AK23">
            <v>56.948342080709551</v>
          </cell>
          <cell r="AL23">
            <v>441.69064710572638</v>
          </cell>
          <cell r="AM23">
            <v>56.948342080709551</v>
          </cell>
          <cell r="AN23"/>
        </row>
        <row r="24">
          <cell r="B24">
            <v>39326</v>
          </cell>
          <cell r="C24">
            <v>39326</v>
          </cell>
          <cell r="D24" t="str">
            <v>Global</v>
          </cell>
          <cell r="E24">
            <v>57.33431495310208</v>
          </cell>
          <cell r="F24" t="str">
            <v>c</v>
          </cell>
          <cell r="G24" t="str">
            <v>g</v>
          </cell>
          <cell r="H24" t="str">
            <v>c</v>
          </cell>
          <cell r="I24">
            <v>60</v>
          </cell>
          <cell r="J24">
            <v>50</v>
          </cell>
          <cell r="K24">
            <v>56.991227955419845</v>
          </cell>
          <cell r="L24" t="str">
            <v>c</v>
          </cell>
          <cell r="M24" t="str">
            <v>g</v>
          </cell>
          <cell r="N24" t="str">
            <v>c</v>
          </cell>
          <cell r="O24">
            <v>60</v>
          </cell>
          <cell r="P24">
            <v>50</v>
          </cell>
          <cell r="Q24"/>
          <cell r="R24">
            <v>39326</v>
          </cell>
          <cell r="S24" t="str">
            <v>Global</v>
          </cell>
          <cell r="T24"/>
          <cell r="U24">
            <v>57.33431495310208</v>
          </cell>
          <cell r="V24">
            <v>56.991227955419845</v>
          </cell>
          <cell r="W24">
            <v>57.33431495310208</v>
          </cell>
          <cell r="X24"/>
          <cell r="Y24">
            <v>0.34308699768223505</v>
          </cell>
          <cell r="Z24">
            <v>6.019996585274523E-3</v>
          </cell>
          <cell r="AA24"/>
          <cell r="AB24"/>
          <cell r="AC24">
            <v>57.33431495310208</v>
          </cell>
          <cell r="AD24">
            <v>56.991227955419845</v>
          </cell>
          <cell r="AE24">
            <v>57.33431495310208</v>
          </cell>
          <cell r="AF24">
            <v>-1</v>
          </cell>
          <cell r="AG24">
            <v>0.34308699768223505</v>
          </cell>
          <cell r="AH24">
            <v>-5.9839730877201402E-3</v>
          </cell>
          <cell r="AI24"/>
          <cell r="AJ24"/>
          <cell r="AK24">
            <v>56.991227955419845</v>
          </cell>
          <cell r="AL24">
            <v>498.68187506114623</v>
          </cell>
          <cell r="AM24">
            <v>56.991227955419845</v>
          </cell>
          <cell r="AN24"/>
        </row>
        <row r="25">
          <cell r="B25">
            <v>39356</v>
          </cell>
          <cell r="C25">
            <v>39356</v>
          </cell>
          <cell r="D25" t="str">
            <v>Global</v>
          </cell>
          <cell r="E25">
            <v>53.100827552752207</v>
          </cell>
          <cell r="F25" t="str">
            <v>c</v>
          </cell>
          <cell r="G25" t="str">
            <v>g</v>
          </cell>
          <cell r="H25" t="str">
            <v>c</v>
          </cell>
          <cell r="I25">
            <v>60</v>
          </cell>
          <cell r="J25">
            <v>50</v>
          </cell>
          <cell r="K25">
            <v>56.602187915153081</v>
          </cell>
          <cell r="L25" t="str">
            <v>c</v>
          </cell>
          <cell r="M25" t="str">
            <v>g</v>
          </cell>
          <cell r="N25" t="str">
            <v>c</v>
          </cell>
          <cell r="O25">
            <v>60</v>
          </cell>
          <cell r="P25">
            <v>50</v>
          </cell>
          <cell r="Q25"/>
          <cell r="R25">
            <v>39356</v>
          </cell>
          <cell r="S25" t="str">
            <v>Global</v>
          </cell>
          <cell r="T25"/>
          <cell r="U25">
            <v>53.100827552752207</v>
          </cell>
          <cell r="V25">
            <v>56.602187915153081</v>
          </cell>
          <cell r="W25">
            <v>53.100827552752207</v>
          </cell>
          <cell r="X25"/>
          <cell r="Y25">
            <v>-3.5013603624008738</v>
          </cell>
          <cell r="Z25">
            <v>-6.1859099292229214E-2</v>
          </cell>
          <cell r="AA25"/>
          <cell r="AB25"/>
          <cell r="AC25">
            <v>53.100827552752207</v>
          </cell>
          <cell r="AD25">
            <v>56.602187915153081</v>
          </cell>
          <cell r="AE25">
            <v>53.100827552752207</v>
          </cell>
          <cell r="AF25">
            <v>-1</v>
          </cell>
          <cell r="AG25">
            <v>-3.5013603624008738</v>
          </cell>
          <cell r="AH25">
            <v>6.5937962245927295E-2</v>
          </cell>
          <cell r="AI25"/>
          <cell r="AJ25"/>
          <cell r="AK25">
            <v>56.602187915153081</v>
          </cell>
          <cell r="AL25">
            <v>555.28406297629931</v>
          </cell>
          <cell r="AM25">
            <v>56.602187915153081</v>
          </cell>
          <cell r="AN25"/>
        </row>
        <row r="26">
          <cell r="B26">
            <v>39387</v>
          </cell>
          <cell r="C26">
            <v>39387</v>
          </cell>
          <cell r="D26" t="str">
            <v>Global</v>
          </cell>
          <cell r="E26">
            <v>47.431867383623512</v>
          </cell>
          <cell r="F26" t="str">
            <v>c</v>
          </cell>
          <cell r="G26" t="str">
            <v>c</v>
          </cell>
          <cell r="H26" t="str">
            <v>g</v>
          </cell>
          <cell r="I26">
            <v>60</v>
          </cell>
          <cell r="J26">
            <v>50</v>
          </cell>
          <cell r="K26">
            <v>55.768522412286757</v>
          </cell>
          <cell r="L26" t="str">
            <v>c</v>
          </cell>
          <cell r="M26" t="str">
            <v>g</v>
          </cell>
          <cell r="N26" t="str">
            <v>c</v>
          </cell>
          <cell r="O26">
            <v>60</v>
          </cell>
          <cell r="P26">
            <v>50</v>
          </cell>
          <cell r="Q26"/>
          <cell r="R26">
            <v>39387</v>
          </cell>
          <cell r="S26" t="str">
            <v>Global</v>
          </cell>
          <cell r="T26"/>
          <cell r="U26">
            <v>47.431867383623512</v>
          </cell>
          <cell r="V26">
            <v>55.768522412286757</v>
          </cell>
          <cell r="W26">
            <v>47.431867383623512</v>
          </cell>
          <cell r="X26"/>
          <cell r="Y26">
            <v>-8.3366550286632446</v>
          </cell>
          <cell r="Z26">
            <v>-0.14948674750662816</v>
          </cell>
          <cell r="AA26"/>
          <cell r="AB26"/>
          <cell r="AC26">
            <v>47.431867383623512</v>
          </cell>
          <cell r="AD26">
            <v>55.768522412286757</v>
          </cell>
          <cell r="AE26">
            <v>47.431867383623512</v>
          </cell>
          <cell r="AF26">
            <v>-1</v>
          </cell>
          <cell r="AG26">
            <v>-8.3366550286632446</v>
          </cell>
          <cell r="AH26">
            <v>0.1757606328512713</v>
          </cell>
          <cell r="AI26"/>
          <cell r="AJ26"/>
          <cell r="AK26">
            <v>55.768522412286757</v>
          </cell>
          <cell r="AL26">
            <v>611.05258538858607</v>
          </cell>
          <cell r="AM26">
            <v>55.768522412286757</v>
          </cell>
          <cell r="AN26"/>
        </row>
        <row r="27">
          <cell r="B27">
            <v>39417</v>
          </cell>
          <cell r="C27">
            <v>39417</v>
          </cell>
          <cell r="D27" t="str">
            <v>Global</v>
          </cell>
          <cell r="E27">
            <v>55.219064176707207</v>
          </cell>
          <cell r="F27" t="str">
            <v>c</v>
          </cell>
          <cell r="G27" t="str">
            <v>g</v>
          </cell>
          <cell r="H27" t="str">
            <v>c</v>
          </cell>
          <cell r="I27">
            <v>60</v>
          </cell>
          <cell r="J27">
            <v>50</v>
          </cell>
          <cell r="K27">
            <v>55.722734225988461</v>
          </cell>
          <cell r="L27" t="str">
            <v>c</v>
          </cell>
          <cell r="M27" t="str">
            <v>g</v>
          </cell>
          <cell r="N27" t="str">
            <v>c</v>
          </cell>
          <cell r="O27">
            <v>60</v>
          </cell>
          <cell r="P27">
            <v>50</v>
          </cell>
          <cell r="Q27"/>
          <cell r="R27">
            <v>39417</v>
          </cell>
          <cell r="S27" t="str">
            <v>Global</v>
          </cell>
          <cell r="T27"/>
          <cell r="U27">
            <v>55.219064176707207</v>
          </cell>
          <cell r="V27">
            <v>55.722734225988461</v>
          </cell>
          <cell r="W27">
            <v>55.219064176707207</v>
          </cell>
          <cell r="X27"/>
          <cell r="Y27">
            <v>-0.50367004928125425</v>
          </cell>
          <cell r="Z27">
            <v>-9.0388610013029114E-3</v>
          </cell>
          <cell r="AA27"/>
          <cell r="AB27"/>
          <cell r="AC27">
            <v>55.219064176707207</v>
          </cell>
          <cell r="AD27">
            <v>55.722734225988461</v>
          </cell>
          <cell r="AE27">
            <v>55.219064176707207</v>
          </cell>
          <cell r="AF27">
            <v>-1</v>
          </cell>
          <cell r="AG27">
            <v>-0.50367004928125425</v>
          </cell>
          <cell r="AH27">
            <v>9.1213072295004416E-3</v>
          </cell>
          <cell r="AI27"/>
          <cell r="AJ27"/>
          <cell r="AK27">
            <v>55.722734225988461</v>
          </cell>
          <cell r="AL27">
            <v>666.77531961457453</v>
          </cell>
          <cell r="AM27">
            <v>55.722734225988461</v>
          </cell>
          <cell r="AN27"/>
        </row>
        <row r="28">
          <cell r="B28">
            <v>39448</v>
          </cell>
          <cell r="C28">
            <v>39448</v>
          </cell>
          <cell r="D28" t="str">
            <v>Global</v>
          </cell>
          <cell r="E28">
            <v>58.811840532447604</v>
          </cell>
          <cell r="F28" t="str">
            <v>c</v>
          </cell>
          <cell r="G28" t="str">
            <v>g</v>
          </cell>
          <cell r="H28" t="str">
            <v>c</v>
          </cell>
          <cell r="I28">
            <v>60</v>
          </cell>
          <cell r="J28">
            <v>50</v>
          </cell>
          <cell r="K28">
            <v>58.811840532447604</v>
          </cell>
          <cell r="L28" t="str">
            <v>c</v>
          </cell>
          <cell r="M28" t="str">
            <v>g</v>
          </cell>
          <cell r="N28" t="str">
            <v>c</v>
          </cell>
          <cell r="O28">
            <v>60</v>
          </cell>
          <cell r="P28">
            <v>50</v>
          </cell>
          <cell r="Q28"/>
          <cell r="R28">
            <v>39448</v>
          </cell>
          <cell r="S28" t="str">
            <v>Global</v>
          </cell>
          <cell r="T28">
            <v>52.206431076470004</v>
          </cell>
          <cell r="U28">
            <v>58.811840532447604</v>
          </cell>
          <cell r="V28">
            <v>58.811840532447604</v>
          </cell>
          <cell r="W28">
            <v>6.6054094559776004</v>
          </cell>
          <cell r="X28">
            <v>0.12652482308745161</v>
          </cell>
          <cell r="Y28">
            <v>0</v>
          </cell>
          <cell r="Z28">
            <v>0</v>
          </cell>
          <cell r="AA28"/>
          <cell r="AB28">
            <v>52.206431076470004</v>
          </cell>
          <cell r="AC28">
            <v>58.811840532447604</v>
          </cell>
          <cell r="AD28">
            <v>58.811840532447604</v>
          </cell>
          <cell r="AE28">
            <v>6.6054094559776004</v>
          </cell>
          <cell r="AF28">
            <v>-0.11231427882848299</v>
          </cell>
          <cell r="AG28">
            <v>0</v>
          </cell>
          <cell r="AH28">
            <v>0</v>
          </cell>
          <cell r="AI28"/>
          <cell r="AJ28">
            <v>52.206431076470004</v>
          </cell>
          <cell r="AK28">
            <v>58.811840532447604</v>
          </cell>
          <cell r="AL28">
            <v>58.811840532447604</v>
          </cell>
          <cell r="AM28">
            <v>6.6054094559776004</v>
          </cell>
          <cell r="AN28">
            <v>0.12652482308745161</v>
          </cell>
        </row>
        <row r="29">
          <cell r="B29">
            <v>39479</v>
          </cell>
          <cell r="C29">
            <v>39479</v>
          </cell>
          <cell r="D29" t="str">
            <v>Global</v>
          </cell>
          <cell r="E29">
            <v>37.972771191893116</v>
          </cell>
          <cell r="F29" t="str">
            <v>c</v>
          </cell>
          <cell r="G29" t="str">
            <v>c</v>
          </cell>
          <cell r="H29" t="str">
            <v>g</v>
          </cell>
          <cell r="I29">
            <v>60</v>
          </cell>
          <cell r="J29">
            <v>50</v>
          </cell>
          <cell r="K29">
            <v>48.39230586217036</v>
          </cell>
          <cell r="L29" t="str">
            <v>c</v>
          </cell>
          <cell r="M29" t="str">
            <v>c</v>
          </cell>
          <cell r="N29" t="str">
            <v>g</v>
          </cell>
          <cell r="O29">
            <v>60</v>
          </cell>
          <cell r="P29">
            <v>50</v>
          </cell>
          <cell r="Q29"/>
          <cell r="R29">
            <v>39479</v>
          </cell>
          <cell r="S29" t="str">
            <v>Global</v>
          </cell>
          <cell r="T29">
            <v>59.813372493255464</v>
          </cell>
          <cell r="U29">
            <v>37.972771191893116</v>
          </cell>
          <cell r="V29">
            <v>48.39230586217036</v>
          </cell>
          <cell r="W29">
            <v>-21.840601301362348</v>
          </cell>
          <cell r="X29">
            <v>-0.36514579250359247</v>
          </cell>
          <cell r="Y29">
            <v>-10.419534670277244</v>
          </cell>
          <cell r="Z29">
            <v>-0.21531387034860205</v>
          </cell>
          <cell r="AA29"/>
          <cell r="AB29">
            <v>59.813372493255464</v>
          </cell>
          <cell r="AC29">
            <v>37.972771191893116</v>
          </cell>
          <cell r="AD29">
            <v>48.39230586217036</v>
          </cell>
          <cell r="AE29">
            <v>-21.840601301362348</v>
          </cell>
          <cell r="AF29">
            <v>0.5751647987709978</v>
          </cell>
          <cell r="AG29">
            <v>-10.419534670277244</v>
          </cell>
          <cell r="AH29">
            <v>0.27439489779723347</v>
          </cell>
          <cell r="AI29"/>
          <cell r="AJ29">
            <v>56.009901784862741</v>
          </cell>
          <cell r="AK29">
            <v>48.39230586217036</v>
          </cell>
          <cell r="AL29">
            <v>107.20414639461796</v>
          </cell>
          <cell r="AM29">
            <v>-7.6175959226923808</v>
          </cell>
          <cell r="AN29">
            <v>-0.13600445064074573</v>
          </cell>
        </row>
        <row r="30">
          <cell r="B30">
            <v>39508</v>
          </cell>
          <cell r="C30">
            <v>39508</v>
          </cell>
          <cell r="D30" t="str">
            <v>Global</v>
          </cell>
          <cell r="E30">
            <v>34.304521331152387</v>
          </cell>
          <cell r="F30" t="str">
            <v>c</v>
          </cell>
          <cell r="G30" t="str">
            <v>c</v>
          </cell>
          <cell r="H30" t="str">
            <v>g</v>
          </cell>
          <cell r="I30">
            <v>60</v>
          </cell>
          <cell r="J30">
            <v>50</v>
          </cell>
          <cell r="K30">
            <v>43.696377685164407</v>
          </cell>
          <cell r="L30" t="str">
            <v>c</v>
          </cell>
          <cell r="M30" t="str">
            <v>c</v>
          </cell>
          <cell r="N30" t="str">
            <v>g</v>
          </cell>
          <cell r="O30">
            <v>60</v>
          </cell>
          <cell r="P30">
            <v>50</v>
          </cell>
          <cell r="Q30"/>
          <cell r="R30">
            <v>39508</v>
          </cell>
          <cell r="S30" t="str">
            <v>Global</v>
          </cell>
          <cell r="T30">
            <v>52.48728477630857</v>
          </cell>
          <cell r="U30">
            <v>34.304521331152387</v>
          </cell>
          <cell r="V30">
            <v>43.696377685164407</v>
          </cell>
          <cell r="W30">
            <v>-18.182763445156183</v>
          </cell>
          <cell r="X30">
            <v>-0.34642225298275331</v>
          </cell>
          <cell r="Y30">
            <v>-9.3918563540120203</v>
          </cell>
          <cell r="Z30">
            <v>-0.2149344373961849</v>
          </cell>
          <cell r="AA30"/>
          <cell r="AB30">
            <v>52.48728477630857</v>
          </cell>
          <cell r="AC30">
            <v>34.304521331152387</v>
          </cell>
          <cell r="AD30">
            <v>43.696377685164407</v>
          </cell>
          <cell r="AE30">
            <v>-18.182763445156183</v>
          </cell>
          <cell r="AF30">
            <v>0.53003985304538204</v>
          </cell>
          <cell r="AG30">
            <v>-9.3918563540120203</v>
          </cell>
          <cell r="AH30">
            <v>0.27377896526669065</v>
          </cell>
          <cell r="AI30"/>
          <cell r="AJ30">
            <v>54.835696115344689</v>
          </cell>
          <cell r="AK30">
            <v>43.696377685164407</v>
          </cell>
          <cell r="AL30">
            <v>150.90052407978237</v>
          </cell>
          <cell r="AM30">
            <v>-11.139318430180282</v>
          </cell>
          <cell r="AN30">
            <v>-0.20313991103074847</v>
          </cell>
        </row>
        <row r="31">
          <cell r="B31">
            <v>39539</v>
          </cell>
          <cell r="C31">
            <v>39539</v>
          </cell>
          <cell r="D31" t="str">
            <v>Global</v>
          </cell>
          <cell r="E31">
            <v>47.285192141539142</v>
          </cell>
          <cell r="F31" t="str">
            <v>c</v>
          </cell>
          <cell r="G31" t="str">
            <v>c</v>
          </cell>
          <cell r="H31" t="str">
            <v>g</v>
          </cell>
          <cell r="I31">
            <v>60</v>
          </cell>
          <cell r="J31">
            <v>50</v>
          </cell>
          <cell r="K31">
            <v>44.593581299258062</v>
          </cell>
          <cell r="L31" t="str">
            <v>c</v>
          </cell>
          <cell r="M31" t="str">
            <v>c</v>
          </cell>
          <cell r="N31" t="str">
            <v>g</v>
          </cell>
          <cell r="O31">
            <v>60</v>
          </cell>
          <cell r="P31">
            <v>50</v>
          </cell>
          <cell r="Q31"/>
          <cell r="R31">
            <v>39539</v>
          </cell>
          <cell r="S31" t="str">
            <v>Global</v>
          </cell>
          <cell r="T31">
            <v>52.97877198174794</v>
          </cell>
          <cell r="U31">
            <v>47.285192141539142</v>
          </cell>
          <cell r="V31">
            <v>44.593581299258062</v>
          </cell>
          <cell r="W31">
            <v>-5.6935798402087983</v>
          </cell>
          <cell r="X31">
            <v>-0.10746907916571435</v>
          </cell>
          <cell r="Y31">
            <v>2.6916108422810794</v>
          </cell>
          <cell r="Z31">
            <v>6.035870553249012E-2</v>
          </cell>
          <cell r="AA31"/>
          <cell r="AB31">
            <v>52.97877198174794</v>
          </cell>
          <cell r="AC31">
            <v>47.285192141539142</v>
          </cell>
          <cell r="AD31">
            <v>44.593581299258062</v>
          </cell>
          <cell r="AE31">
            <v>-5.6935798402087983</v>
          </cell>
          <cell r="AF31">
            <v>0.12040936247369283</v>
          </cell>
          <cell r="AG31">
            <v>2.6916108422810794</v>
          </cell>
          <cell r="AH31">
            <v>-5.6922912234854794E-2</v>
          </cell>
          <cell r="AI31"/>
          <cell r="AJ31">
            <v>54.371465081945502</v>
          </cell>
          <cell r="AK31">
            <v>44.593581299258062</v>
          </cell>
          <cell r="AL31">
            <v>195.49410537904043</v>
          </cell>
          <cell r="AM31">
            <v>-9.7778837826874394</v>
          </cell>
          <cell r="AN31">
            <v>-0.17983484108715453</v>
          </cell>
        </row>
        <row r="32">
          <cell r="B32">
            <v>39569</v>
          </cell>
          <cell r="C32">
            <v>39569</v>
          </cell>
          <cell r="D32" t="str">
            <v>Global</v>
          </cell>
          <cell r="E32">
            <v>51.753420416969789</v>
          </cell>
          <cell r="F32" t="str">
            <v>c</v>
          </cell>
          <cell r="G32" t="str">
            <v>g</v>
          </cell>
          <cell r="H32" t="str">
            <v>c</v>
          </cell>
          <cell r="I32">
            <v>60</v>
          </cell>
          <cell r="J32">
            <v>50</v>
          </cell>
          <cell r="K32">
            <v>46.025549122800385</v>
          </cell>
          <cell r="L32" t="str">
            <v>c</v>
          </cell>
          <cell r="M32" t="str">
            <v>c</v>
          </cell>
          <cell r="N32" t="str">
            <v>g</v>
          </cell>
          <cell r="O32">
            <v>60</v>
          </cell>
          <cell r="P32">
            <v>50</v>
          </cell>
          <cell r="Q32"/>
          <cell r="R32">
            <v>39569</v>
          </cell>
          <cell r="S32" t="str">
            <v>Global</v>
          </cell>
          <cell r="T32">
            <v>60.261272635883898</v>
          </cell>
          <cell r="U32">
            <v>51.753420416969789</v>
          </cell>
          <cell r="V32">
            <v>46.025549122800385</v>
          </cell>
          <cell r="W32">
            <v>-8.5078522189141097</v>
          </cell>
          <cell r="X32">
            <v>-0.14118275049252649</v>
          </cell>
          <cell r="Y32">
            <v>5.7278712941694039</v>
          </cell>
          <cell r="Z32">
            <v>0.1244498197921966</v>
          </cell>
          <cell r="AA32"/>
          <cell r="AB32">
            <v>60.261272635883898</v>
          </cell>
          <cell r="AC32">
            <v>51.753420416969789</v>
          </cell>
          <cell r="AD32">
            <v>46.025549122800385</v>
          </cell>
          <cell r="AE32">
            <v>-8.5078522189141097</v>
          </cell>
          <cell r="AF32">
            <v>0.16439207593174676</v>
          </cell>
          <cell r="AG32">
            <v>5.7278712941694039</v>
          </cell>
          <cell r="AH32">
            <v>-0.11067618812478053</v>
          </cell>
          <cell r="AI32"/>
          <cell r="AJ32">
            <v>55.54942659273317</v>
          </cell>
          <cell r="AK32">
            <v>46.025549122800385</v>
          </cell>
          <cell r="AL32">
            <v>241.51965450184082</v>
          </cell>
          <cell r="AM32">
            <v>-9.5238774699327848</v>
          </cell>
          <cell r="AN32">
            <v>-0.17144870890852137</v>
          </cell>
        </row>
        <row r="33">
          <cell r="B33">
            <v>39600</v>
          </cell>
          <cell r="C33">
            <v>39600</v>
          </cell>
          <cell r="D33" t="str">
            <v>Global</v>
          </cell>
          <cell r="E33">
            <v>55.159372480982938</v>
          </cell>
          <cell r="F33" t="str">
            <v>c</v>
          </cell>
          <cell r="G33" t="str">
            <v>g</v>
          </cell>
          <cell r="H33" t="str">
            <v>c</v>
          </cell>
          <cell r="I33">
            <v>60</v>
          </cell>
          <cell r="J33">
            <v>50</v>
          </cell>
          <cell r="K33">
            <v>47.54785301583081</v>
          </cell>
          <cell r="L33" t="str">
            <v>c</v>
          </cell>
          <cell r="M33" t="str">
            <v>c</v>
          </cell>
          <cell r="N33" t="str">
            <v>g</v>
          </cell>
          <cell r="O33">
            <v>60</v>
          </cell>
          <cell r="P33">
            <v>50</v>
          </cell>
          <cell r="Q33"/>
          <cell r="R33">
            <v>39600</v>
          </cell>
          <cell r="S33" t="str">
            <v>Global</v>
          </cell>
          <cell r="T33">
            <v>58.041400198917643</v>
          </cell>
          <cell r="U33">
            <v>55.159372480982938</v>
          </cell>
          <cell r="V33">
            <v>47.54785301583081</v>
          </cell>
          <cell r="W33">
            <v>-2.8820277179347045</v>
          </cell>
          <cell r="X33">
            <v>-4.9654689722465561E-2</v>
          </cell>
          <cell r="Y33">
            <v>7.6115194651521279</v>
          </cell>
          <cell r="Z33">
            <v>0.16008124410197677</v>
          </cell>
          <cell r="AA33"/>
          <cell r="AB33">
            <v>58.041400198917643</v>
          </cell>
          <cell r="AC33">
            <v>55.159372480982938</v>
          </cell>
          <cell r="AD33">
            <v>47.54785301583081</v>
          </cell>
          <cell r="AE33">
            <v>-2.8820277179347045</v>
          </cell>
          <cell r="AF33">
            <v>5.224910270558869E-2</v>
          </cell>
          <cell r="AG33">
            <v>7.6115194651521279</v>
          </cell>
          <cell r="AH33">
            <v>-0.13799140785686637</v>
          </cell>
          <cell r="AI33"/>
          <cell r="AJ33">
            <v>55.964755527097225</v>
          </cell>
          <cell r="AK33">
            <v>47.54785301583081</v>
          </cell>
          <cell r="AL33">
            <v>289.06750751767163</v>
          </cell>
          <cell r="AM33">
            <v>-8.4169025112664144</v>
          </cell>
          <cell r="AN33">
            <v>-0.15039648493043245</v>
          </cell>
        </row>
        <row r="34">
          <cell r="B34">
            <v>39630</v>
          </cell>
          <cell r="C34">
            <v>39630</v>
          </cell>
          <cell r="D34" t="str">
            <v>Global</v>
          </cell>
          <cell r="E34">
            <v>43.358648854843409</v>
          </cell>
          <cell r="F34" t="str">
            <v>c</v>
          </cell>
          <cell r="G34" t="str">
            <v>c</v>
          </cell>
          <cell r="H34" t="str">
            <v>g</v>
          </cell>
          <cell r="I34">
            <v>60</v>
          </cell>
          <cell r="J34">
            <v>50</v>
          </cell>
          <cell r="K34">
            <v>46.949395278546945</v>
          </cell>
          <cell r="L34" t="str">
            <v>c</v>
          </cell>
          <cell r="M34" t="str">
            <v>c</v>
          </cell>
          <cell r="N34" t="str">
            <v>g</v>
          </cell>
          <cell r="O34">
            <v>60</v>
          </cell>
          <cell r="P34">
            <v>50</v>
          </cell>
          <cell r="Q34"/>
          <cell r="R34">
            <v>39630</v>
          </cell>
          <cell r="S34" t="str">
            <v>Global</v>
          </cell>
          <cell r="T34">
            <v>54.843868763361172</v>
          </cell>
          <cell r="U34">
            <v>43.358648854843409</v>
          </cell>
          <cell r="V34">
            <v>46.949395278546945</v>
          </cell>
          <cell r="W34">
            <v>-11.485219908517763</v>
          </cell>
          <cell r="X34">
            <v>-0.20941666165226014</v>
          </cell>
          <cell r="Y34">
            <v>-3.5907464237035356</v>
          </cell>
          <cell r="Z34">
            <v>-7.6481207103945237E-2</v>
          </cell>
          <cell r="AA34"/>
          <cell r="AB34">
            <v>54.843868763361172</v>
          </cell>
          <cell r="AC34">
            <v>43.358648854843409</v>
          </cell>
          <cell r="AD34">
            <v>46.949395278546945</v>
          </cell>
          <cell r="AE34">
            <v>-11.485219908517763</v>
          </cell>
          <cell r="AF34">
            <v>0.26488878717065467</v>
          </cell>
          <cell r="AG34">
            <v>-3.5907464237035356</v>
          </cell>
          <cell r="AH34">
            <v>8.2814998127009876E-2</v>
          </cell>
          <cell r="AI34"/>
          <cell r="AJ34">
            <v>55.804628846563503</v>
          </cell>
          <cell r="AK34">
            <v>46.949395278546945</v>
          </cell>
          <cell r="AL34">
            <v>336.01690279621857</v>
          </cell>
          <cell r="AM34">
            <v>-8.8552335680165584</v>
          </cell>
          <cell r="AN34">
            <v>-0.1586827786699252</v>
          </cell>
        </row>
        <row r="35">
          <cell r="B35">
            <v>39661</v>
          </cell>
          <cell r="C35">
            <v>39661</v>
          </cell>
          <cell r="D35" t="str">
            <v>Global</v>
          </cell>
          <cell r="E35">
            <v>55.684656169466308</v>
          </cell>
          <cell r="F35" t="str">
            <v>c</v>
          </cell>
          <cell r="G35" t="str">
            <v>g</v>
          </cell>
          <cell r="H35" t="str">
            <v>c</v>
          </cell>
          <cell r="I35">
            <v>60</v>
          </cell>
          <cell r="J35">
            <v>50</v>
          </cell>
          <cell r="K35">
            <v>48.041302889911776</v>
          </cell>
          <cell r="L35" t="str">
            <v>c</v>
          </cell>
          <cell r="M35" t="str">
            <v>c</v>
          </cell>
          <cell r="N35" t="str">
            <v>g</v>
          </cell>
          <cell r="O35">
            <v>60</v>
          </cell>
          <cell r="P35">
            <v>50</v>
          </cell>
          <cell r="Q35"/>
          <cell r="R35">
            <v>39661</v>
          </cell>
          <cell r="S35" t="str">
            <v>Global</v>
          </cell>
          <cell r="T35">
            <v>64.954334719731605</v>
          </cell>
          <cell r="U35">
            <v>55.684656169466308</v>
          </cell>
          <cell r="V35">
            <v>48.041302889911776</v>
          </cell>
          <cell r="W35">
            <v>-9.2696785502652972</v>
          </cell>
          <cell r="X35">
            <v>-0.14271069960553973</v>
          </cell>
          <cell r="Y35">
            <v>7.6433532795545318</v>
          </cell>
          <cell r="Z35">
            <v>0.15909962510945075</v>
          </cell>
          <cell r="AA35"/>
          <cell r="AB35">
            <v>64.954334719731605</v>
          </cell>
          <cell r="AC35">
            <v>55.68465616946628</v>
          </cell>
          <cell r="AD35">
            <v>48.041302889911776</v>
          </cell>
          <cell r="AE35">
            <v>-9.2696785502653256</v>
          </cell>
          <cell r="AF35">
            <v>0.1664673751788055</v>
          </cell>
          <cell r="AG35">
            <v>7.6433532795545034</v>
          </cell>
          <cell r="AH35">
            <v>-0.13726138949827271</v>
          </cell>
          <cell r="AI35"/>
          <cell r="AJ35">
            <v>56.948342080709551</v>
          </cell>
          <cell r="AK35">
            <v>48.041302889911776</v>
          </cell>
          <cell r="AL35">
            <v>384.05820568613035</v>
          </cell>
          <cell r="AM35">
            <v>-8.9070391907977751</v>
          </cell>
          <cell r="AN35">
            <v>-0.15640559260135001</v>
          </cell>
        </row>
        <row r="36">
          <cell r="B36">
            <v>39692</v>
          </cell>
          <cell r="C36">
            <v>39692</v>
          </cell>
          <cell r="D36" t="str">
            <v>Global</v>
          </cell>
          <cell r="E36">
            <v>41.566823963347133</v>
          </cell>
          <cell r="F36" t="str">
            <v>c</v>
          </cell>
          <cell r="G36" t="str">
            <v>c</v>
          </cell>
          <cell r="H36" t="str">
            <v>g</v>
          </cell>
          <cell r="I36">
            <v>60</v>
          </cell>
          <cell r="J36">
            <v>50</v>
          </cell>
          <cell r="K36">
            <v>47.321916342515806</v>
          </cell>
          <cell r="L36" t="str">
            <v>c</v>
          </cell>
          <cell r="M36" t="str">
            <v>c</v>
          </cell>
          <cell r="N36" t="str">
            <v>g</v>
          </cell>
          <cell r="O36">
            <v>60</v>
          </cell>
          <cell r="P36">
            <v>50</v>
          </cell>
          <cell r="Q36"/>
          <cell r="R36">
            <v>39692</v>
          </cell>
          <cell r="S36" t="str">
            <v>Global</v>
          </cell>
          <cell r="T36">
            <v>57.33431495310208</v>
          </cell>
          <cell r="U36">
            <v>41.566823963347133</v>
          </cell>
          <cell r="V36">
            <v>47.321916342515806</v>
          </cell>
          <cell r="W36">
            <v>-15.767490989754947</v>
          </cell>
          <cell r="X36">
            <v>-0.27500966921209979</v>
          </cell>
          <cell r="Y36">
            <v>-5.7550923791686728</v>
          </cell>
          <cell r="Z36">
            <v>-0.12161579293436342</v>
          </cell>
          <cell r="AA36"/>
          <cell r="AB36">
            <v>57.33431495310208</v>
          </cell>
          <cell r="AC36">
            <v>41.566823963347133</v>
          </cell>
          <cell r="AD36">
            <v>47.321916342515806</v>
          </cell>
          <cell r="AE36">
            <v>-15.767490989754947</v>
          </cell>
          <cell r="AF36">
            <v>0.37932874072020595</v>
          </cell>
          <cell r="AG36">
            <v>-5.7550923791686728</v>
          </cell>
          <cell r="AH36">
            <v>0.13845398398115316</v>
          </cell>
          <cell r="AI36"/>
          <cell r="AJ36">
            <v>56.991227955419845</v>
          </cell>
          <cell r="AK36">
            <v>47.321916342515806</v>
          </cell>
          <cell r="AL36">
            <v>431.38012202864616</v>
          </cell>
          <cell r="AM36">
            <v>-9.6693116129040391</v>
          </cell>
          <cell r="AN36">
            <v>-0.16966315623989803</v>
          </cell>
        </row>
        <row r="37">
          <cell r="B37">
            <v>39722</v>
          </cell>
          <cell r="C37">
            <v>39722</v>
          </cell>
          <cell r="D37" t="str">
            <v>Global</v>
          </cell>
          <cell r="E37">
            <v>61</v>
          </cell>
          <cell r="F37" t="str">
            <v>g</v>
          </cell>
          <cell r="G37" t="str">
            <v>c</v>
          </cell>
          <cell r="H37" t="str">
            <v>c</v>
          </cell>
          <cell r="I37">
            <v>60</v>
          </cell>
          <cell r="J37">
            <v>50</v>
          </cell>
          <cell r="K37">
            <v>48.689724708264293</v>
          </cell>
          <cell r="L37" t="str">
            <v>c</v>
          </cell>
          <cell r="M37" t="str">
            <v>c</v>
          </cell>
          <cell r="N37" t="str">
            <v>g</v>
          </cell>
          <cell r="O37">
            <v>60</v>
          </cell>
          <cell r="P37">
            <v>50</v>
          </cell>
          <cell r="Q37"/>
          <cell r="R37">
            <v>39722</v>
          </cell>
          <cell r="S37" t="str">
            <v>Global</v>
          </cell>
          <cell r="T37">
            <v>53.100827552752207</v>
          </cell>
          <cell r="U37">
            <v>61</v>
          </cell>
          <cell r="V37">
            <v>48.689724708264293</v>
          </cell>
          <cell r="W37">
            <v>7.8991724472477927</v>
          </cell>
          <cell r="X37">
            <v>0.14875799137782697</v>
          </cell>
          <cell r="Y37">
            <v>12.310275291735707</v>
          </cell>
          <cell r="Z37">
            <v>0.25283107196632471</v>
          </cell>
          <cell r="AA37"/>
          <cell r="AB37">
            <v>53.100827552752207</v>
          </cell>
          <cell r="AC37">
            <v>61</v>
          </cell>
          <cell r="AD37">
            <v>48.689724708264293</v>
          </cell>
          <cell r="AE37">
            <v>7.8991724472477927</v>
          </cell>
          <cell r="AF37">
            <v>-0.12949463028275066</v>
          </cell>
          <cell r="AG37">
            <v>12.310275291735707</v>
          </cell>
          <cell r="AH37">
            <v>-0.2018077916677985</v>
          </cell>
          <cell r="AI37"/>
          <cell r="AJ37">
            <v>56.602187915153081</v>
          </cell>
          <cell r="AK37">
            <v>48.689724708264293</v>
          </cell>
          <cell r="AL37">
            <v>480.06984673691045</v>
          </cell>
          <cell r="AM37">
            <v>-7.9124632068887877</v>
          </cell>
          <cell r="AN37">
            <v>-0.13979076601684737</v>
          </cell>
        </row>
        <row r="38">
          <cell r="B38">
            <v>39753</v>
          </cell>
          <cell r="C38">
            <v>39753</v>
          </cell>
          <cell r="D38" t="str">
            <v>Global</v>
          </cell>
          <cell r="E38">
            <v>53.021076075169049</v>
          </cell>
          <cell r="F38" t="str">
            <v>c</v>
          </cell>
          <cell r="G38" t="str">
            <v>g</v>
          </cell>
          <cell r="H38" t="str">
            <v>c</v>
          </cell>
          <cell r="I38">
            <v>60</v>
          </cell>
          <cell r="J38">
            <v>50</v>
          </cell>
          <cell r="K38">
            <v>49.08348392343737</v>
          </cell>
          <cell r="L38" t="str">
            <v>c</v>
          </cell>
          <cell r="M38" t="str">
            <v>c</v>
          </cell>
          <cell r="N38" t="str">
            <v>g</v>
          </cell>
          <cell r="O38">
            <v>60</v>
          </cell>
          <cell r="P38">
            <v>50</v>
          </cell>
          <cell r="Q38"/>
          <cell r="R38">
            <v>39753</v>
          </cell>
          <cell r="S38" t="str">
            <v>Global</v>
          </cell>
          <cell r="T38">
            <v>47.431867383623512</v>
          </cell>
          <cell r="U38">
            <v>53.021076075169049</v>
          </cell>
          <cell r="V38">
            <v>49.08348392343737</v>
          </cell>
          <cell r="W38">
            <v>5.5892086915455366</v>
          </cell>
          <cell r="X38">
            <v>0.11783657274845738</v>
          </cell>
          <cell r="Y38">
            <v>3.9375921517316783</v>
          </cell>
          <cell r="Z38">
            <v>8.0222344401503998E-2</v>
          </cell>
          <cell r="AA38"/>
          <cell r="AB38">
            <v>47.431867383623512</v>
          </cell>
          <cell r="AC38">
            <v>53.021076075169049</v>
          </cell>
          <cell r="AD38">
            <v>49.08348392343737</v>
          </cell>
          <cell r="AE38">
            <v>5.5892086915455366</v>
          </cell>
          <cell r="AF38">
            <v>-0.10541484830714498</v>
          </cell>
          <cell r="AG38">
            <v>3.9375921517316783</v>
          </cell>
          <cell r="AH38">
            <v>-7.4264659324327464E-2</v>
          </cell>
          <cell r="AI38"/>
          <cell r="AJ38">
            <v>55.768522412286757</v>
          </cell>
          <cell r="AK38">
            <v>49.08348392343737</v>
          </cell>
          <cell r="AL38">
            <v>529.15333066034782</v>
          </cell>
          <cell r="AM38">
            <v>-6.6850384888493863</v>
          </cell>
          <cell r="AN38">
            <v>-0.11987117821462234</v>
          </cell>
        </row>
        <row r="39">
          <cell r="B39">
            <v>39783</v>
          </cell>
          <cell r="C39">
            <v>39783</v>
          </cell>
          <cell r="D39" t="str">
            <v>Global</v>
          </cell>
          <cell r="E39">
            <v>63.948730017979642</v>
          </cell>
          <cell r="F39" t="str">
            <v>g</v>
          </cell>
          <cell r="G39" t="str">
            <v>c</v>
          </cell>
          <cell r="H39" t="str">
            <v>c</v>
          </cell>
          <cell r="I39">
            <v>60</v>
          </cell>
          <cell r="J39">
            <v>50</v>
          </cell>
          <cell r="K39">
            <v>50.322254431315969</v>
          </cell>
          <cell r="L39" t="str">
            <v>c</v>
          </cell>
          <cell r="M39" t="str">
            <v>g</v>
          </cell>
          <cell r="N39" t="str">
            <v>c</v>
          </cell>
          <cell r="O39">
            <v>60</v>
          </cell>
          <cell r="P39">
            <v>50</v>
          </cell>
          <cell r="Q39"/>
          <cell r="R39">
            <v>39783</v>
          </cell>
          <cell r="S39" t="str">
            <v>Global</v>
          </cell>
          <cell r="T39">
            <v>55.219064176707207</v>
          </cell>
          <cell r="U39">
            <v>63.948730017979642</v>
          </cell>
          <cell r="V39">
            <v>50.322254431315969</v>
          </cell>
          <cell r="W39">
            <v>8.7296658412724355</v>
          </cell>
          <cell r="X39">
            <v>0.15809152095255596</v>
          </cell>
          <cell r="Y39">
            <v>13.626475586663673</v>
          </cell>
          <cell r="Z39">
            <v>0.27078428303052737</v>
          </cell>
          <cell r="AA39"/>
          <cell r="AB39">
            <v>55.219064176707207</v>
          </cell>
          <cell r="AC39">
            <v>63.948730017979642</v>
          </cell>
          <cell r="AD39">
            <v>50.322254431315969</v>
          </cell>
          <cell r="AE39">
            <v>8.7296658412724355</v>
          </cell>
          <cell r="AF39">
            <v>-0.13651038634884582</v>
          </cell>
          <cell r="AG39">
            <v>13.626475586663673</v>
          </cell>
          <cell r="AH39">
            <v>-0.21308438154803844</v>
          </cell>
          <cell r="AI39"/>
          <cell r="AJ39">
            <v>55.722734225988461</v>
          </cell>
          <cell r="AK39">
            <v>50.322254431315969</v>
          </cell>
          <cell r="AL39">
            <v>579.47558509166379</v>
          </cell>
          <cell r="AM39">
            <v>-5.4004797946724921</v>
          </cell>
          <cell r="AN39">
            <v>-9.691699213413274E-2</v>
          </cell>
        </row>
        <row r="40">
          <cell r="B40">
            <v>39814</v>
          </cell>
          <cell r="C40"/>
          <cell r="D40" t="str">
            <v>Global</v>
          </cell>
          <cell r="E40" t="str">
            <v/>
          </cell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  <cell r="L40" t="str">
            <v/>
          </cell>
          <cell r="M40" t="str">
            <v/>
          </cell>
          <cell r="N40" t="str">
            <v/>
          </cell>
          <cell r="O40" t="str">
            <v/>
          </cell>
          <cell r="P40" t="str">
            <v/>
          </cell>
          <cell r="Q40"/>
          <cell r="R40">
            <v>39814</v>
          </cell>
          <cell r="S40" t="str">
            <v>Global</v>
          </cell>
          <cell r="T40">
            <v>58.811840532447604</v>
          </cell>
          <cell r="U40" t="str">
            <v/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 t="str">
            <v/>
          </cell>
          <cell r="AA40"/>
          <cell r="AB40">
            <v>58.811840532447604</v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/>
          <cell r="AJ40">
            <v>58.811840532447604</v>
          </cell>
          <cell r="AK40" t="str">
            <v/>
          </cell>
          <cell r="AL40" t="str">
            <v/>
          </cell>
          <cell r="AM40" t="str">
            <v/>
          </cell>
          <cell r="AN40" t="str">
            <v/>
          </cell>
        </row>
        <row r="41">
          <cell r="B41">
            <v>39845</v>
          </cell>
          <cell r="C41"/>
          <cell r="D41" t="str">
            <v>Global</v>
          </cell>
          <cell r="E41" t="str">
            <v/>
          </cell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  <cell r="J41" t="str">
            <v/>
          </cell>
          <cell r="K41" t="str">
            <v/>
          </cell>
          <cell r="L41" t="str">
            <v/>
          </cell>
          <cell r="M41" t="str">
            <v/>
          </cell>
          <cell r="N41" t="str">
            <v/>
          </cell>
          <cell r="O41"/>
          <cell r="P41"/>
          <cell r="Q41"/>
          <cell r="R41">
            <v>39845</v>
          </cell>
          <cell r="S41" t="str">
            <v>Global</v>
          </cell>
          <cell r="T41">
            <v>37.972771191893116</v>
          </cell>
          <cell r="U41" t="str">
            <v/>
          </cell>
          <cell r="V41" t="str">
            <v/>
          </cell>
          <cell r="W41" t="str">
            <v/>
          </cell>
          <cell r="X41" t="str">
            <v/>
          </cell>
          <cell r="Y41" t="str">
            <v/>
          </cell>
          <cell r="Z41" t="str">
            <v/>
          </cell>
          <cell r="AA41"/>
          <cell r="AB41">
            <v>37.972771191893116</v>
          </cell>
          <cell r="AC41" t="str">
            <v/>
          </cell>
          <cell r="AD41" t="str">
            <v/>
          </cell>
          <cell r="AE41" t="str">
            <v/>
          </cell>
          <cell r="AF41" t="str">
            <v/>
          </cell>
          <cell r="AG41" t="str">
            <v/>
          </cell>
          <cell r="AH41" t="str">
            <v/>
          </cell>
          <cell r="AI41"/>
          <cell r="AJ41">
            <v>48.39230586217036</v>
          </cell>
          <cell r="AK41" t="str">
            <v/>
          </cell>
          <cell r="AL41" t="str">
            <v/>
          </cell>
          <cell r="AM41" t="str">
            <v/>
          </cell>
          <cell r="AN41" t="str">
            <v/>
          </cell>
        </row>
        <row r="42">
          <cell r="B42">
            <v>39873</v>
          </cell>
          <cell r="C42"/>
          <cell r="D42" t="str">
            <v>Global</v>
          </cell>
          <cell r="E42" t="str">
            <v/>
          </cell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  <cell r="J42" t="str">
            <v/>
          </cell>
          <cell r="K42" t="str">
            <v/>
          </cell>
          <cell r="L42" t="str">
            <v/>
          </cell>
          <cell r="M42" t="str">
            <v/>
          </cell>
          <cell r="N42" t="str">
            <v/>
          </cell>
          <cell r="O42"/>
          <cell r="P42"/>
          <cell r="Q42"/>
          <cell r="R42">
            <v>39873</v>
          </cell>
          <cell r="S42" t="str">
            <v>Global</v>
          </cell>
          <cell r="T42">
            <v>34.304521331152387</v>
          </cell>
          <cell r="U42" t="str">
            <v/>
          </cell>
          <cell r="V42" t="str">
            <v/>
          </cell>
          <cell r="W42" t="str">
            <v/>
          </cell>
          <cell r="X42" t="str">
            <v/>
          </cell>
          <cell r="Y42" t="str">
            <v/>
          </cell>
          <cell r="Z42" t="str">
            <v/>
          </cell>
          <cell r="AA42"/>
          <cell r="AB42">
            <v>34.304521331152387</v>
          </cell>
          <cell r="AC42" t="str">
            <v/>
          </cell>
          <cell r="AD42" t="str">
            <v/>
          </cell>
          <cell r="AE42" t="str">
            <v/>
          </cell>
          <cell r="AF42" t="str">
            <v/>
          </cell>
          <cell r="AG42" t="str">
            <v/>
          </cell>
          <cell r="AH42" t="str">
            <v/>
          </cell>
          <cell r="AI42"/>
          <cell r="AJ42">
            <v>43.696377685164407</v>
          </cell>
          <cell r="AK42" t="str">
            <v/>
          </cell>
          <cell r="AL42" t="str">
            <v/>
          </cell>
          <cell r="AM42" t="str">
            <v/>
          </cell>
          <cell r="AN42" t="str">
            <v/>
          </cell>
        </row>
        <row r="43">
          <cell r="B43">
            <v>39904</v>
          </cell>
          <cell r="C43"/>
          <cell r="D43" t="str">
            <v>Global</v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 t="str">
            <v/>
          </cell>
          <cell r="L43" t="str">
            <v/>
          </cell>
          <cell r="M43" t="str">
            <v/>
          </cell>
          <cell r="N43" t="str">
            <v/>
          </cell>
          <cell r="O43"/>
          <cell r="P43"/>
          <cell r="Q43"/>
          <cell r="R43">
            <v>39904</v>
          </cell>
          <cell r="S43" t="str">
            <v>Global</v>
          </cell>
          <cell r="T43">
            <v>47.285192141539142</v>
          </cell>
          <cell r="U43" t="str">
            <v/>
          </cell>
          <cell r="V43" t="str">
            <v/>
          </cell>
          <cell r="W43" t="str">
            <v/>
          </cell>
          <cell r="X43" t="str">
            <v/>
          </cell>
          <cell r="Y43" t="str">
            <v/>
          </cell>
          <cell r="Z43" t="str">
            <v/>
          </cell>
          <cell r="AA43"/>
          <cell r="AB43">
            <v>47.285192141539142</v>
          </cell>
          <cell r="AC43" t="str">
            <v/>
          </cell>
          <cell r="AD43" t="str">
            <v/>
          </cell>
          <cell r="AE43" t="str">
            <v/>
          </cell>
          <cell r="AF43" t="str">
            <v/>
          </cell>
          <cell r="AG43" t="str">
            <v/>
          </cell>
          <cell r="AH43" t="str">
            <v/>
          </cell>
          <cell r="AI43"/>
          <cell r="AJ43">
            <v>44.593581299258062</v>
          </cell>
          <cell r="AK43" t="str">
            <v/>
          </cell>
          <cell r="AL43" t="str">
            <v/>
          </cell>
          <cell r="AM43" t="str">
            <v/>
          </cell>
          <cell r="AN43" t="str">
            <v/>
          </cell>
        </row>
        <row r="44">
          <cell r="B44">
            <v>39934</v>
          </cell>
          <cell r="C44"/>
          <cell r="D44" t="str">
            <v>Global</v>
          </cell>
          <cell r="E44" t="str">
            <v/>
          </cell>
          <cell r="F44" t="str">
            <v/>
          </cell>
          <cell r="G44" t="str">
            <v/>
          </cell>
          <cell r="H44" t="str">
            <v/>
          </cell>
          <cell r="I44" t="str">
            <v/>
          </cell>
          <cell r="J44" t="str">
            <v/>
          </cell>
          <cell r="K44" t="str">
            <v/>
          </cell>
          <cell r="L44" t="str">
            <v/>
          </cell>
          <cell r="M44" t="str">
            <v/>
          </cell>
          <cell r="N44" t="str">
            <v/>
          </cell>
          <cell r="O44"/>
          <cell r="P44"/>
          <cell r="Q44"/>
          <cell r="R44">
            <v>39934</v>
          </cell>
          <cell r="S44" t="str">
            <v>Global</v>
          </cell>
          <cell r="T44">
            <v>51.753420416969789</v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  <cell r="AA44"/>
          <cell r="AB44">
            <v>51.753420416969789</v>
          </cell>
          <cell r="AC44" t="str">
            <v/>
          </cell>
          <cell r="AD44" t="str">
            <v/>
          </cell>
          <cell r="AE44" t="str">
            <v/>
          </cell>
          <cell r="AF44" t="str">
            <v/>
          </cell>
          <cell r="AG44" t="str">
            <v/>
          </cell>
          <cell r="AH44" t="str">
            <v/>
          </cell>
          <cell r="AI44"/>
          <cell r="AJ44">
            <v>46.025549122800385</v>
          </cell>
          <cell r="AK44" t="str">
            <v/>
          </cell>
          <cell r="AL44" t="str">
            <v/>
          </cell>
          <cell r="AM44" t="str">
            <v/>
          </cell>
          <cell r="AN44" t="str">
            <v/>
          </cell>
        </row>
        <row r="45">
          <cell r="B45">
            <v>39965</v>
          </cell>
          <cell r="C45"/>
          <cell r="D45" t="str">
            <v>Global</v>
          </cell>
          <cell r="E45" t="str">
            <v/>
          </cell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  <cell r="M45" t="str">
            <v/>
          </cell>
          <cell r="N45" t="str">
            <v/>
          </cell>
          <cell r="O45"/>
          <cell r="P45"/>
          <cell r="Q45"/>
          <cell r="R45">
            <v>39965</v>
          </cell>
          <cell r="S45" t="str">
            <v>Global</v>
          </cell>
          <cell r="T45">
            <v>55.159372480982938</v>
          </cell>
          <cell r="U45" t="str">
            <v/>
          </cell>
          <cell r="V45" t="str">
            <v/>
          </cell>
          <cell r="W45" t="str">
            <v/>
          </cell>
          <cell r="X45" t="str">
            <v/>
          </cell>
          <cell r="Y45" t="str">
            <v/>
          </cell>
          <cell r="Z45" t="str">
            <v/>
          </cell>
          <cell r="AA45"/>
          <cell r="AB45">
            <v>55.159372480982938</v>
          </cell>
          <cell r="AC45" t="str">
            <v/>
          </cell>
          <cell r="AD45" t="str">
            <v/>
          </cell>
          <cell r="AE45" t="str">
            <v/>
          </cell>
          <cell r="AF45" t="str">
            <v/>
          </cell>
          <cell r="AG45" t="str">
            <v/>
          </cell>
          <cell r="AH45" t="str">
            <v/>
          </cell>
          <cell r="AI45"/>
          <cell r="AJ45">
            <v>47.54785301583081</v>
          </cell>
          <cell r="AK45" t="str">
            <v/>
          </cell>
          <cell r="AL45" t="str">
            <v/>
          </cell>
          <cell r="AM45" t="str">
            <v/>
          </cell>
          <cell r="AN45" t="str">
            <v/>
          </cell>
        </row>
        <row r="46">
          <cell r="B46">
            <v>39995</v>
          </cell>
          <cell r="C46"/>
          <cell r="D46" t="str">
            <v>Global</v>
          </cell>
          <cell r="E46" t="str">
            <v/>
          </cell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  <cell r="M46" t="str">
            <v/>
          </cell>
          <cell r="N46" t="str">
            <v/>
          </cell>
          <cell r="O46"/>
          <cell r="P46"/>
          <cell r="Q46"/>
          <cell r="R46">
            <v>39995</v>
          </cell>
          <cell r="S46" t="str">
            <v>Global</v>
          </cell>
          <cell r="T46">
            <v>43.358648854843409</v>
          </cell>
          <cell r="U46" t="str">
            <v/>
          </cell>
          <cell r="V46" t="str">
            <v/>
          </cell>
          <cell r="W46" t="str">
            <v/>
          </cell>
          <cell r="X46" t="str">
            <v/>
          </cell>
          <cell r="Y46" t="str">
            <v/>
          </cell>
          <cell r="Z46" t="str">
            <v/>
          </cell>
          <cell r="AA46"/>
          <cell r="AB46">
            <v>43.358648854843409</v>
          </cell>
          <cell r="AC46" t="str">
            <v/>
          </cell>
          <cell r="AD46" t="str">
            <v/>
          </cell>
          <cell r="AE46" t="str">
            <v/>
          </cell>
          <cell r="AF46" t="str">
            <v/>
          </cell>
          <cell r="AG46" t="str">
            <v/>
          </cell>
          <cell r="AH46" t="str">
            <v/>
          </cell>
          <cell r="AI46"/>
          <cell r="AJ46">
            <v>46.949395278546945</v>
          </cell>
          <cell r="AK46" t="str">
            <v/>
          </cell>
          <cell r="AL46" t="str">
            <v/>
          </cell>
          <cell r="AM46" t="str">
            <v/>
          </cell>
          <cell r="AN46" t="str">
            <v/>
          </cell>
        </row>
        <row r="47">
          <cell r="B47">
            <v>40026</v>
          </cell>
          <cell r="C47"/>
          <cell r="D47" t="str">
            <v>Global</v>
          </cell>
          <cell r="E47" t="str">
            <v/>
          </cell>
          <cell r="F47" t="str">
            <v/>
          </cell>
          <cell r="G47" t="str">
            <v/>
          </cell>
          <cell r="H47" t="str">
            <v/>
          </cell>
          <cell r="I47" t="str">
            <v/>
          </cell>
          <cell r="J47" t="str">
            <v/>
          </cell>
          <cell r="K47" t="str">
            <v/>
          </cell>
          <cell r="L47" t="str">
            <v/>
          </cell>
          <cell r="M47" t="str">
            <v/>
          </cell>
          <cell r="N47" t="str">
            <v/>
          </cell>
          <cell r="O47"/>
          <cell r="P47"/>
          <cell r="Q47"/>
          <cell r="R47">
            <v>40026</v>
          </cell>
          <cell r="S47" t="str">
            <v>Global</v>
          </cell>
          <cell r="T47">
            <v>55.684656169466308</v>
          </cell>
          <cell r="U47" t="str">
            <v/>
          </cell>
          <cell r="V47" t="str">
            <v/>
          </cell>
          <cell r="W47" t="str">
            <v/>
          </cell>
          <cell r="X47" t="str">
            <v/>
          </cell>
          <cell r="Y47" t="str">
            <v/>
          </cell>
          <cell r="Z47" t="str">
            <v/>
          </cell>
          <cell r="AA47"/>
          <cell r="AB47">
            <v>55.68465616946628</v>
          </cell>
          <cell r="AC47" t="str">
            <v/>
          </cell>
          <cell r="AD47" t="str">
            <v/>
          </cell>
          <cell r="AE47" t="str">
            <v/>
          </cell>
          <cell r="AF47" t="str">
            <v/>
          </cell>
          <cell r="AG47" t="str">
            <v/>
          </cell>
          <cell r="AH47" t="str">
            <v/>
          </cell>
          <cell r="AI47"/>
          <cell r="AJ47">
            <v>48.041302889911776</v>
          </cell>
          <cell r="AK47" t="str">
            <v/>
          </cell>
          <cell r="AL47" t="str">
            <v/>
          </cell>
          <cell r="AM47" t="str">
            <v/>
          </cell>
          <cell r="AN47" t="str">
            <v/>
          </cell>
        </row>
        <row r="48">
          <cell r="B48">
            <v>40057</v>
          </cell>
          <cell r="C48"/>
          <cell r="D48" t="str">
            <v>Global</v>
          </cell>
          <cell r="E48" t="str">
            <v/>
          </cell>
          <cell r="F48" t="str">
            <v/>
          </cell>
          <cell r="G48" t="str">
            <v/>
          </cell>
          <cell r="H48" t="str">
            <v/>
          </cell>
          <cell r="I48" t="str">
            <v/>
          </cell>
          <cell r="J48" t="str">
            <v/>
          </cell>
          <cell r="K48" t="str">
            <v/>
          </cell>
          <cell r="L48" t="str">
            <v/>
          </cell>
          <cell r="M48" t="str">
            <v/>
          </cell>
          <cell r="N48" t="str">
            <v/>
          </cell>
          <cell r="O48"/>
          <cell r="P48"/>
          <cell r="Q48"/>
          <cell r="R48">
            <v>40057</v>
          </cell>
          <cell r="S48" t="str">
            <v>Global</v>
          </cell>
          <cell r="T48">
            <v>41.566823963347133</v>
          </cell>
          <cell r="U48" t="str">
            <v/>
          </cell>
          <cell r="V48" t="str">
            <v/>
          </cell>
          <cell r="W48" t="str">
            <v/>
          </cell>
          <cell r="X48" t="str">
            <v/>
          </cell>
          <cell r="Y48" t="str">
            <v/>
          </cell>
          <cell r="Z48" t="str">
            <v/>
          </cell>
          <cell r="AA48"/>
          <cell r="AB48">
            <v>41.566823963347133</v>
          </cell>
          <cell r="AC48" t="str">
            <v/>
          </cell>
          <cell r="AD48" t="str">
            <v/>
          </cell>
          <cell r="AE48" t="str">
            <v/>
          </cell>
          <cell r="AF48" t="str">
            <v/>
          </cell>
          <cell r="AG48" t="str">
            <v/>
          </cell>
          <cell r="AH48" t="str">
            <v/>
          </cell>
          <cell r="AI48"/>
          <cell r="AJ48">
            <v>47.321916342515806</v>
          </cell>
          <cell r="AK48" t="str">
            <v/>
          </cell>
          <cell r="AL48" t="str">
            <v/>
          </cell>
          <cell r="AM48" t="str">
            <v/>
          </cell>
          <cell r="AN48" t="str">
            <v/>
          </cell>
        </row>
        <row r="49">
          <cell r="B49">
            <v>40087</v>
          </cell>
          <cell r="C49"/>
          <cell r="D49" t="str">
            <v>Global</v>
          </cell>
          <cell r="E49" t="str">
            <v/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  <cell r="L49" t="str">
            <v/>
          </cell>
          <cell r="M49" t="str">
            <v/>
          </cell>
          <cell r="N49" t="str">
            <v/>
          </cell>
          <cell r="O49"/>
          <cell r="P49"/>
          <cell r="Q49"/>
          <cell r="R49">
            <v>40087</v>
          </cell>
          <cell r="S49" t="str">
            <v>Global</v>
          </cell>
          <cell r="T49">
            <v>61</v>
          </cell>
          <cell r="U49" t="str">
            <v/>
          </cell>
          <cell r="V49" t="str">
            <v/>
          </cell>
          <cell r="W49" t="str">
            <v/>
          </cell>
          <cell r="X49" t="str">
            <v/>
          </cell>
          <cell r="Y49" t="str">
            <v/>
          </cell>
          <cell r="Z49" t="str">
            <v/>
          </cell>
          <cell r="AA49"/>
          <cell r="AB49">
            <v>61</v>
          </cell>
          <cell r="AC49" t="str">
            <v/>
          </cell>
          <cell r="AD49" t="str">
            <v/>
          </cell>
          <cell r="AE49" t="str">
            <v/>
          </cell>
          <cell r="AF49" t="str">
            <v/>
          </cell>
          <cell r="AG49" t="str">
            <v/>
          </cell>
          <cell r="AH49" t="str">
            <v/>
          </cell>
          <cell r="AI49"/>
          <cell r="AJ49">
            <v>48.689724708264293</v>
          </cell>
          <cell r="AK49" t="str">
            <v/>
          </cell>
          <cell r="AL49" t="str">
            <v/>
          </cell>
          <cell r="AM49" t="str">
            <v/>
          </cell>
          <cell r="AN49" t="str">
            <v/>
          </cell>
        </row>
      </sheetData>
      <sheetData sheetId="75"/>
      <sheetData sheetId="76">
        <row r="14">
          <cell r="B14"/>
          <cell r="C14"/>
          <cell r="D14"/>
          <cell r="E14" t="str">
            <v>Días</v>
          </cell>
          <cell r="F14" t="str">
            <v>Periodo Promedio de Inventario</v>
          </cell>
          <cell r="G14"/>
          <cell r="H14"/>
          <cell r="I14"/>
          <cell r="J14"/>
          <cell r="K14" t="str">
            <v>Días</v>
          </cell>
          <cell r="L14" t="str">
            <v>Acum. Periodo Promedio de Inventario</v>
          </cell>
          <cell r="M14"/>
          <cell r="N14"/>
          <cell r="O14"/>
          <cell r="P14"/>
          <cell r="Q14"/>
          <cell r="R14"/>
          <cell r="S14"/>
          <cell r="T14" t="str">
            <v>Periodo Promedio de Inventario</v>
          </cell>
          <cell r="U14"/>
          <cell r="V14"/>
          <cell r="W14" t="str">
            <v>Var 1.</v>
          </cell>
          <cell r="X14"/>
          <cell r="Y14" t="str">
            <v>Var. 2</v>
          </cell>
          <cell r="Z14"/>
          <cell r="AA14"/>
          <cell r="AB14" t="str">
            <v>Cumplimiento Proyectado  TM</v>
          </cell>
          <cell r="AC14"/>
          <cell r="AD14"/>
          <cell r="AE14" t="str">
            <v>Var 1.</v>
          </cell>
          <cell r="AF14"/>
          <cell r="AG14" t="str">
            <v>Var. 2</v>
          </cell>
          <cell r="AH14"/>
          <cell r="AI14"/>
          <cell r="AJ14" t="str">
            <v>Acum. Periodo Promedio de Inventario</v>
          </cell>
          <cell r="AK14"/>
          <cell r="AL14"/>
          <cell r="AM14" t="str">
            <v>Var 1.</v>
          </cell>
          <cell r="AN14"/>
        </row>
        <row r="15">
          <cell r="B15"/>
          <cell r="C15" t="str">
            <v>Fecha</v>
          </cell>
          <cell r="D15" t="str">
            <v>TIPO</v>
          </cell>
          <cell r="E15"/>
          <cell r="F15" t="str">
            <v>Performance</v>
          </cell>
          <cell r="G15"/>
          <cell r="H15"/>
          <cell r="I15" t="str">
            <v>Sup</v>
          </cell>
          <cell r="J15" t="str">
            <v>Inf</v>
          </cell>
          <cell r="K15"/>
          <cell r="L15" t="str">
            <v>Performance</v>
          </cell>
          <cell r="M15"/>
          <cell r="N15"/>
          <cell r="O15" t="str">
            <v>Sup</v>
          </cell>
          <cell r="P15" t="str">
            <v>Inf</v>
          </cell>
          <cell r="Q15"/>
          <cell r="R15" t="str">
            <v>Fecha</v>
          </cell>
          <cell r="S15" t="str">
            <v>TIPO</v>
          </cell>
          <cell r="T15" t="str">
            <v>Anteriores</v>
          </cell>
          <cell r="U15" t="str">
            <v>Real</v>
          </cell>
          <cell r="V15" t="str">
            <v>Programado</v>
          </cell>
          <cell r="W15" t="str">
            <v>Unidades</v>
          </cell>
          <cell r="X15" t="str">
            <v>%</v>
          </cell>
          <cell r="Y15" t="str">
            <v>Unidades</v>
          </cell>
          <cell r="Z15" t="str">
            <v>%</v>
          </cell>
          <cell r="AA15"/>
          <cell r="AB15" t="str">
            <v>Anteriores</v>
          </cell>
          <cell r="AC15" t="str">
            <v>Real</v>
          </cell>
          <cell r="AD15" t="str">
            <v>Inicial</v>
          </cell>
          <cell r="AE15" t="str">
            <v>Unidades</v>
          </cell>
          <cell r="AF15" t="str">
            <v>%</v>
          </cell>
          <cell r="AG15" t="str">
            <v>Unidades</v>
          </cell>
          <cell r="AH15" t="str">
            <v>%</v>
          </cell>
          <cell r="AI15"/>
          <cell r="AJ15" t="str">
            <v>Anterior</v>
          </cell>
          <cell r="AK15" t="str">
            <v>Real</v>
          </cell>
          <cell r="AL15" t="str">
            <v>Programado</v>
          </cell>
          <cell r="AM15" t="str">
            <v>Unidades</v>
          </cell>
          <cell r="AN15" t="str">
            <v>%</v>
          </cell>
        </row>
        <row r="16">
          <cell r="B16">
            <v>39083</v>
          </cell>
          <cell r="C16">
            <v>39083</v>
          </cell>
          <cell r="D16" t="str">
            <v>Global</v>
          </cell>
          <cell r="E16">
            <v>175.50392059906875</v>
          </cell>
          <cell r="F16" t="str">
            <v>g</v>
          </cell>
          <cell r="G16" t="str">
            <v>c</v>
          </cell>
          <cell r="H16" t="str">
            <v>c</v>
          </cell>
          <cell r="I16">
            <v>230</v>
          </cell>
          <cell r="J16">
            <v>190</v>
          </cell>
          <cell r="K16">
            <v>175.50392059906875</v>
          </cell>
          <cell r="L16" t="str">
            <v>g</v>
          </cell>
          <cell r="M16" t="str">
            <v>c</v>
          </cell>
          <cell r="N16" t="str">
            <v>c</v>
          </cell>
          <cell r="O16">
            <v>230</v>
          </cell>
          <cell r="P16">
            <v>190</v>
          </cell>
          <cell r="Q16"/>
          <cell r="R16">
            <v>39083</v>
          </cell>
          <cell r="S16" t="str">
            <v>Global</v>
          </cell>
          <cell r="T16"/>
          <cell r="U16">
            <v>175.50392059906875</v>
          </cell>
          <cell r="V16">
            <v>175.50392059906875</v>
          </cell>
          <cell r="W16">
            <v>175.50392059906875</v>
          </cell>
          <cell r="X16"/>
          <cell r="Y16">
            <v>0</v>
          </cell>
          <cell r="Z16">
            <v>0</v>
          </cell>
          <cell r="AA16"/>
          <cell r="AB16"/>
          <cell r="AC16">
            <v>175.50392059906875</v>
          </cell>
          <cell r="AD16">
            <v>175.50392059906875</v>
          </cell>
          <cell r="AE16">
            <v>175.50392059906875</v>
          </cell>
          <cell r="AF16">
            <v>-1</v>
          </cell>
          <cell r="AG16">
            <v>0</v>
          </cell>
          <cell r="AH16">
            <v>0</v>
          </cell>
          <cell r="AI16"/>
          <cell r="AJ16"/>
          <cell r="AK16">
            <v>175.50392059906875</v>
          </cell>
          <cell r="AL16">
            <v>175.50392059906875</v>
          </cell>
          <cell r="AM16">
            <v>175.50392059906875</v>
          </cell>
          <cell r="AN16"/>
        </row>
        <row r="17">
          <cell r="B17">
            <v>39114</v>
          </cell>
          <cell r="C17">
            <v>39114</v>
          </cell>
          <cell r="D17" t="str">
            <v>Global</v>
          </cell>
          <cell r="E17">
            <v>189.56290428079245</v>
          </cell>
          <cell r="F17" t="str">
            <v>g</v>
          </cell>
          <cell r="G17" t="str">
            <v>c</v>
          </cell>
          <cell r="H17" t="str">
            <v>c</v>
          </cell>
          <cell r="I17">
            <v>230</v>
          </cell>
          <cell r="J17">
            <v>190</v>
          </cell>
          <cell r="K17">
            <v>182.5334124399306</v>
          </cell>
          <cell r="L17" t="str">
            <v>g</v>
          </cell>
          <cell r="M17" t="str">
            <v>c</v>
          </cell>
          <cell r="N17" t="str">
            <v>c</v>
          </cell>
          <cell r="O17">
            <v>230</v>
          </cell>
          <cell r="P17">
            <v>190</v>
          </cell>
          <cell r="Q17"/>
          <cell r="R17">
            <v>39114</v>
          </cell>
          <cell r="S17" t="str">
            <v>Global</v>
          </cell>
          <cell r="T17"/>
          <cell r="U17">
            <v>189.56290428079245</v>
          </cell>
          <cell r="V17">
            <v>182.5334124399306</v>
          </cell>
          <cell r="W17">
            <v>189.56290428079245</v>
          </cell>
          <cell r="X17"/>
          <cell r="Y17">
            <v>7.0294918408618514</v>
          </cell>
          <cell r="Z17">
            <v>3.8510712898522925E-2</v>
          </cell>
          <cell r="AA17"/>
          <cell r="AB17"/>
          <cell r="AC17">
            <v>189.56290428079245</v>
          </cell>
          <cell r="AD17">
            <v>182.5334124399306</v>
          </cell>
          <cell r="AE17">
            <v>189.56290428079245</v>
          </cell>
          <cell r="AF17">
            <v>-1</v>
          </cell>
          <cell r="AG17">
            <v>7.0294918408618514</v>
          </cell>
          <cell r="AH17">
            <v>-3.7082634218609134E-2</v>
          </cell>
          <cell r="AI17"/>
          <cell r="AJ17"/>
          <cell r="AK17">
            <v>182.5334124399306</v>
          </cell>
          <cell r="AL17">
            <v>358.03733303899935</v>
          </cell>
          <cell r="AM17">
            <v>182.5334124399306</v>
          </cell>
          <cell r="AN17"/>
        </row>
        <row r="18">
          <cell r="B18">
            <v>39142</v>
          </cell>
          <cell r="C18">
            <v>39142</v>
          </cell>
          <cell r="D18" t="str">
            <v>Global</v>
          </cell>
          <cell r="E18">
            <v>184.64561783862302</v>
          </cell>
          <cell r="F18" t="str">
            <v>g</v>
          </cell>
          <cell r="G18" t="str">
            <v>c</v>
          </cell>
          <cell r="H18" t="str">
            <v>c</v>
          </cell>
          <cell r="I18">
            <v>230</v>
          </cell>
          <cell r="J18">
            <v>190</v>
          </cell>
          <cell r="K18">
            <v>183.23748090616141</v>
          </cell>
          <cell r="L18" t="str">
            <v>g</v>
          </cell>
          <cell r="M18" t="str">
            <v>c</v>
          </cell>
          <cell r="N18" t="str">
            <v>c</v>
          </cell>
          <cell r="O18">
            <v>230</v>
          </cell>
          <cell r="P18">
            <v>190</v>
          </cell>
          <cell r="Q18"/>
          <cell r="R18">
            <v>39142</v>
          </cell>
          <cell r="S18" t="str">
            <v>Global</v>
          </cell>
          <cell r="T18"/>
          <cell r="U18">
            <v>184.64561783862302</v>
          </cell>
          <cell r="V18">
            <v>183.23748090616141</v>
          </cell>
          <cell r="W18">
            <v>184.64561783862302</v>
          </cell>
          <cell r="X18"/>
          <cell r="Y18">
            <v>1.4081369324616162</v>
          </cell>
          <cell r="Z18">
            <v>7.68476474080515E-3</v>
          </cell>
          <cell r="AA18"/>
          <cell r="AB18"/>
          <cell r="AC18">
            <v>184.64561783862302</v>
          </cell>
          <cell r="AD18">
            <v>183.23748090616141</v>
          </cell>
          <cell r="AE18">
            <v>184.64561783862302</v>
          </cell>
          <cell r="AF18">
            <v>-1</v>
          </cell>
          <cell r="AG18">
            <v>1.4081369324616162</v>
          </cell>
          <cell r="AH18">
            <v>-7.626159499178109E-3</v>
          </cell>
          <cell r="AI18"/>
          <cell r="AJ18"/>
          <cell r="AK18">
            <v>183.23748090616141</v>
          </cell>
          <cell r="AL18">
            <v>541.27481394516076</v>
          </cell>
          <cell r="AM18">
            <v>183.23748090616141</v>
          </cell>
          <cell r="AN18"/>
        </row>
        <row r="19">
          <cell r="B19">
            <v>39173</v>
          </cell>
          <cell r="C19">
            <v>39173</v>
          </cell>
          <cell r="D19" t="str">
            <v>Global</v>
          </cell>
          <cell r="E19">
            <v>191.10682886047812</v>
          </cell>
          <cell r="F19" t="str">
            <v>c</v>
          </cell>
          <cell r="G19" t="str">
            <v>g</v>
          </cell>
          <cell r="H19" t="str">
            <v>c</v>
          </cell>
          <cell r="I19">
            <v>230</v>
          </cell>
          <cell r="J19">
            <v>190</v>
          </cell>
          <cell r="K19">
            <v>185.20481789474059</v>
          </cell>
          <cell r="L19" t="str">
            <v>g</v>
          </cell>
          <cell r="M19" t="str">
            <v>c</v>
          </cell>
          <cell r="N19" t="str">
            <v>c</v>
          </cell>
          <cell r="O19">
            <v>230</v>
          </cell>
          <cell r="P19">
            <v>190</v>
          </cell>
          <cell r="Q19"/>
          <cell r="R19">
            <v>39173</v>
          </cell>
          <cell r="S19" t="str">
            <v>Global</v>
          </cell>
          <cell r="T19"/>
          <cell r="U19">
            <v>191.10682886047812</v>
          </cell>
          <cell r="V19">
            <v>185.20481789474059</v>
          </cell>
          <cell r="W19">
            <v>191.10682886047812</v>
          </cell>
          <cell r="X19"/>
          <cell r="Y19">
            <v>5.9020109657375315</v>
          </cell>
          <cell r="Z19">
            <v>3.1867480732017839E-2</v>
          </cell>
          <cell r="AA19"/>
          <cell r="AB19"/>
          <cell r="AC19">
            <v>191.10682886047812</v>
          </cell>
          <cell r="AD19">
            <v>185.20481789474059</v>
          </cell>
          <cell r="AE19">
            <v>191.10682886047812</v>
          </cell>
          <cell r="AF19">
            <v>-1</v>
          </cell>
          <cell r="AG19">
            <v>5.9020109657375315</v>
          </cell>
          <cell r="AH19">
            <v>-3.0883307524538717E-2</v>
          </cell>
          <cell r="AI19"/>
          <cell r="AJ19"/>
          <cell r="AK19">
            <v>185.20481789474059</v>
          </cell>
          <cell r="AL19">
            <v>726.47963183990134</v>
          </cell>
          <cell r="AM19">
            <v>185.20481789474059</v>
          </cell>
          <cell r="AN19"/>
        </row>
        <row r="20">
          <cell r="B20">
            <v>39203</v>
          </cell>
          <cell r="C20">
            <v>39203</v>
          </cell>
          <cell r="D20" t="str">
            <v>Global</v>
          </cell>
          <cell r="E20">
            <v>191.99514447028275</v>
          </cell>
          <cell r="F20" t="str">
            <v>c</v>
          </cell>
          <cell r="G20" t="str">
            <v>g</v>
          </cell>
          <cell r="H20" t="str">
            <v>c</v>
          </cell>
          <cell r="I20">
            <v>230</v>
          </cell>
          <cell r="J20">
            <v>190</v>
          </cell>
          <cell r="K20">
            <v>186.56288320984902</v>
          </cell>
          <cell r="L20" t="str">
            <v>g</v>
          </cell>
          <cell r="M20" t="str">
            <v>c</v>
          </cell>
          <cell r="N20" t="str">
            <v>c</v>
          </cell>
          <cell r="O20">
            <v>230</v>
          </cell>
          <cell r="P20">
            <v>190</v>
          </cell>
          <cell r="Q20"/>
          <cell r="R20">
            <v>39203</v>
          </cell>
          <cell r="S20" t="str">
            <v>Global</v>
          </cell>
          <cell r="T20"/>
          <cell r="U20">
            <v>191.99514447028275</v>
          </cell>
          <cell r="V20">
            <v>186.56288320984902</v>
          </cell>
          <cell r="W20">
            <v>191.99514447028275</v>
          </cell>
          <cell r="X20"/>
          <cell r="Y20">
            <v>5.4322612604337337</v>
          </cell>
          <cell r="Z20">
            <v>2.9117588487970858E-2</v>
          </cell>
          <cell r="AA20"/>
          <cell r="AB20"/>
          <cell r="AC20">
            <v>191.99514447028275</v>
          </cell>
          <cell r="AD20">
            <v>186.56288320984902</v>
          </cell>
          <cell r="AE20">
            <v>191.99514447028275</v>
          </cell>
          <cell r="AF20">
            <v>-1</v>
          </cell>
          <cell r="AG20">
            <v>5.4322612604337337</v>
          </cell>
          <cell r="AH20">
            <v>-2.8293742924704768E-2</v>
          </cell>
          <cell r="AI20"/>
          <cell r="AJ20"/>
          <cell r="AK20">
            <v>186.56288320984902</v>
          </cell>
          <cell r="AL20">
            <v>913.04251504975036</v>
          </cell>
          <cell r="AM20">
            <v>186.56288320984902</v>
          </cell>
          <cell r="AN20"/>
        </row>
        <row r="21">
          <cell r="B21">
            <v>39234</v>
          </cell>
          <cell r="C21">
            <v>39234</v>
          </cell>
          <cell r="D21" t="str">
            <v>Global</v>
          </cell>
          <cell r="E21">
            <v>187.96171333204791</v>
          </cell>
          <cell r="F21" t="str">
            <v>g</v>
          </cell>
          <cell r="G21" t="str">
            <v>c</v>
          </cell>
          <cell r="H21" t="str">
            <v>c</v>
          </cell>
          <cell r="I21">
            <v>230</v>
          </cell>
          <cell r="J21">
            <v>190</v>
          </cell>
          <cell r="K21">
            <v>186.79602156354895</v>
          </cell>
          <cell r="L21" t="str">
            <v>g</v>
          </cell>
          <cell r="M21" t="str">
            <v>c</v>
          </cell>
          <cell r="N21" t="str">
            <v>c</v>
          </cell>
          <cell r="O21">
            <v>230</v>
          </cell>
          <cell r="P21">
            <v>190</v>
          </cell>
          <cell r="Q21"/>
          <cell r="R21">
            <v>39234</v>
          </cell>
          <cell r="S21" t="str">
            <v>Global</v>
          </cell>
          <cell r="T21"/>
          <cell r="U21">
            <v>187.96171333204791</v>
          </cell>
          <cell r="V21">
            <v>186.79602156354895</v>
          </cell>
          <cell r="W21">
            <v>187.96171333204791</v>
          </cell>
          <cell r="X21"/>
          <cell r="Y21">
            <v>1.1656917684989594</v>
          </cell>
          <cell r="Z21">
            <v>6.2404528680091165E-3</v>
          </cell>
          <cell r="AA21"/>
          <cell r="AB21"/>
          <cell r="AC21">
            <v>187.96171333204791</v>
          </cell>
          <cell r="AD21">
            <v>186.79602156354895</v>
          </cell>
          <cell r="AE21">
            <v>187.96171333204791</v>
          </cell>
          <cell r="AF21">
            <v>-1</v>
          </cell>
          <cell r="AG21">
            <v>1.1656917684989594</v>
          </cell>
          <cell r="AH21">
            <v>-6.2017511323685381E-3</v>
          </cell>
          <cell r="AI21"/>
          <cell r="AJ21"/>
          <cell r="AK21">
            <v>186.79602156354895</v>
          </cell>
          <cell r="AL21">
            <v>1099.8385366132993</v>
          </cell>
          <cell r="AM21">
            <v>186.79602156354895</v>
          </cell>
          <cell r="AN21"/>
        </row>
        <row r="22">
          <cell r="B22">
            <v>39264</v>
          </cell>
          <cell r="C22">
            <v>39264</v>
          </cell>
          <cell r="D22" t="str">
            <v>Global</v>
          </cell>
          <cell r="E22">
            <v>201.5318315783486</v>
          </cell>
          <cell r="F22" t="str">
            <v>c</v>
          </cell>
          <cell r="G22" t="str">
            <v>g</v>
          </cell>
          <cell r="H22" t="str">
            <v>c</v>
          </cell>
          <cell r="I22">
            <v>230</v>
          </cell>
          <cell r="J22">
            <v>190</v>
          </cell>
          <cell r="K22">
            <v>188.9011372799489</v>
          </cell>
          <cell r="L22" t="str">
            <v>g</v>
          </cell>
          <cell r="M22" t="str">
            <v>c</v>
          </cell>
          <cell r="N22" t="str">
            <v>c</v>
          </cell>
          <cell r="O22">
            <v>230</v>
          </cell>
          <cell r="P22">
            <v>190</v>
          </cell>
          <cell r="Q22"/>
          <cell r="R22">
            <v>39264</v>
          </cell>
          <cell r="S22" t="str">
            <v>Global</v>
          </cell>
          <cell r="T22"/>
          <cell r="U22">
            <v>201.5318315783486</v>
          </cell>
          <cell r="V22">
            <v>188.9011372799489</v>
          </cell>
          <cell r="W22">
            <v>201.5318315783486</v>
          </cell>
          <cell r="X22"/>
          <cell r="Y22">
            <v>12.630694298399703</v>
          </cell>
          <cell r="Z22">
            <v>6.6864045819275297E-2</v>
          </cell>
          <cell r="AA22"/>
          <cell r="AB22"/>
          <cell r="AC22">
            <v>201.5318315783486</v>
          </cell>
          <cell r="AD22">
            <v>188.9011372799489</v>
          </cell>
          <cell r="AE22">
            <v>201.5318315783486</v>
          </cell>
          <cell r="AF22">
            <v>-1</v>
          </cell>
          <cell r="AG22">
            <v>12.630694298399703</v>
          </cell>
          <cell r="AH22">
            <v>-6.2673445675946904E-2</v>
          </cell>
          <cell r="AI22"/>
          <cell r="AJ22"/>
          <cell r="AK22">
            <v>188.9011372799489</v>
          </cell>
          <cell r="AL22">
            <v>1288.7396738932482</v>
          </cell>
          <cell r="AM22">
            <v>188.9011372799489</v>
          </cell>
          <cell r="AN22"/>
        </row>
        <row r="23">
          <cell r="B23">
            <v>39295</v>
          </cell>
          <cell r="C23">
            <v>39295</v>
          </cell>
          <cell r="D23" t="str">
            <v>Global</v>
          </cell>
          <cell r="E23">
            <v>185.0290905433294</v>
          </cell>
          <cell r="F23" t="str">
            <v>g</v>
          </cell>
          <cell r="G23" t="str">
            <v>c</v>
          </cell>
          <cell r="H23" t="str">
            <v>c</v>
          </cell>
          <cell r="I23">
            <v>230</v>
          </cell>
          <cell r="J23">
            <v>190</v>
          </cell>
          <cell r="K23">
            <v>188.41713143787138</v>
          </cell>
          <cell r="L23" t="str">
            <v>g</v>
          </cell>
          <cell r="M23" t="str">
            <v>c</v>
          </cell>
          <cell r="N23" t="str">
            <v>c</v>
          </cell>
          <cell r="O23">
            <v>230</v>
          </cell>
          <cell r="P23">
            <v>190</v>
          </cell>
          <cell r="Q23"/>
          <cell r="R23">
            <v>39295</v>
          </cell>
          <cell r="S23" t="str">
            <v>Global</v>
          </cell>
          <cell r="T23"/>
          <cell r="U23">
            <v>185.0290905433294</v>
          </cell>
          <cell r="V23">
            <v>188.41713143787138</v>
          </cell>
          <cell r="W23">
            <v>185.0290905433294</v>
          </cell>
          <cell r="X23"/>
          <cell r="Y23">
            <v>-3.3880408945419731</v>
          </cell>
          <cell r="Z23">
            <v>-1.7981596836162184E-2</v>
          </cell>
          <cell r="AA23"/>
          <cell r="AB23"/>
          <cell r="AC23">
            <v>185.0290905433294</v>
          </cell>
          <cell r="AD23">
            <v>188.41713143787138</v>
          </cell>
          <cell r="AE23">
            <v>185.0290905433294</v>
          </cell>
          <cell r="AF23">
            <v>-1</v>
          </cell>
          <cell r="AG23">
            <v>-3.3880408945419731</v>
          </cell>
          <cell r="AH23">
            <v>1.8310855253047764E-2</v>
          </cell>
          <cell r="AI23"/>
          <cell r="AJ23"/>
          <cell r="AK23">
            <v>188.41713143787138</v>
          </cell>
          <cell r="AL23">
            <v>1477.1568053311196</v>
          </cell>
          <cell r="AM23">
            <v>188.41713143787138</v>
          </cell>
          <cell r="AN23"/>
        </row>
        <row r="24">
          <cell r="B24">
            <v>39326</v>
          </cell>
          <cell r="C24">
            <v>39326</v>
          </cell>
          <cell r="D24" t="str">
            <v>Global</v>
          </cell>
          <cell r="E24">
            <v>177.32118326427235</v>
          </cell>
          <cell r="F24" t="str">
            <v>g</v>
          </cell>
          <cell r="G24" t="str">
            <v>c</v>
          </cell>
          <cell r="H24" t="str">
            <v>c</v>
          </cell>
          <cell r="I24">
            <v>230</v>
          </cell>
          <cell r="J24">
            <v>190</v>
          </cell>
          <cell r="K24">
            <v>187.18424830747153</v>
          </cell>
          <cell r="L24" t="str">
            <v>g</v>
          </cell>
          <cell r="M24" t="str">
            <v>c</v>
          </cell>
          <cell r="N24" t="str">
            <v>c</v>
          </cell>
          <cell r="O24">
            <v>230</v>
          </cell>
          <cell r="P24">
            <v>190</v>
          </cell>
          <cell r="Q24"/>
          <cell r="R24">
            <v>39326</v>
          </cell>
          <cell r="S24" t="str">
            <v>Global</v>
          </cell>
          <cell r="T24"/>
          <cell r="U24">
            <v>177.32118326427235</v>
          </cell>
          <cell r="V24">
            <v>187.18424830747153</v>
          </cell>
          <cell r="W24">
            <v>177.32118326427235</v>
          </cell>
          <cell r="X24"/>
          <cell r="Y24">
            <v>-9.8630650431991853</v>
          </cell>
          <cell r="Z24">
            <v>-5.269174694121681E-2</v>
          </cell>
          <cell r="AA24"/>
          <cell r="AB24"/>
          <cell r="AC24">
            <v>177.32118326427235</v>
          </cell>
          <cell r="AD24">
            <v>187.18424830747153</v>
          </cell>
          <cell r="AE24">
            <v>177.32118326427235</v>
          </cell>
          <cell r="AF24">
            <v>-1</v>
          </cell>
          <cell r="AG24">
            <v>-9.8630650431991853</v>
          </cell>
          <cell r="AH24">
            <v>5.562259884370202E-2</v>
          </cell>
          <cell r="AI24"/>
          <cell r="AJ24"/>
          <cell r="AK24">
            <v>187.18424830747153</v>
          </cell>
          <cell r="AL24">
            <v>1664.3410536385911</v>
          </cell>
          <cell r="AM24">
            <v>187.18424830747153</v>
          </cell>
          <cell r="AN24"/>
        </row>
        <row r="25">
          <cell r="B25">
            <v>39356</v>
          </cell>
          <cell r="C25">
            <v>39356</v>
          </cell>
          <cell r="D25" t="str">
            <v>Global</v>
          </cell>
          <cell r="E25">
            <v>187.80858640395286</v>
          </cell>
          <cell r="F25" t="str">
            <v>g</v>
          </cell>
          <cell r="G25" t="str">
            <v>c</v>
          </cell>
          <cell r="H25" t="str">
            <v>c</v>
          </cell>
          <cell r="I25">
            <v>230</v>
          </cell>
          <cell r="J25">
            <v>190</v>
          </cell>
          <cell r="K25">
            <v>187.24668211711969</v>
          </cell>
          <cell r="L25" t="str">
            <v>g</v>
          </cell>
          <cell r="M25" t="str">
            <v>c</v>
          </cell>
          <cell r="N25" t="str">
            <v>c</v>
          </cell>
          <cell r="O25">
            <v>230</v>
          </cell>
          <cell r="P25">
            <v>190</v>
          </cell>
          <cell r="Q25"/>
          <cell r="R25">
            <v>39356</v>
          </cell>
          <cell r="S25" t="str">
            <v>Global</v>
          </cell>
          <cell r="T25"/>
          <cell r="U25">
            <v>187.80858640395286</v>
          </cell>
          <cell r="V25">
            <v>187.24668211711969</v>
          </cell>
          <cell r="W25">
            <v>187.80858640395286</v>
          </cell>
          <cell r="X25"/>
          <cell r="Y25">
            <v>0.56190428683316895</v>
          </cell>
          <cell r="Z25">
            <v>3.0008771342699969E-3</v>
          </cell>
          <cell r="AA25"/>
          <cell r="AB25"/>
          <cell r="AC25">
            <v>187.80858640395286</v>
          </cell>
          <cell r="AD25">
            <v>187.24668211711969</v>
          </cell>
          <cell r="AE25">
            <v>187.80858640395286</v>
          </cell>
          <cell r="AF25">
            <v>-1</v>
          </cell>
          <cell r="AG25">
            <v>0.56190428683316895</v>
          </cell>
          <cell r="AH25">
            <v>-2.9918988135323454E-3</v>
          </cell>
          <cell r="AI25"/>
          <cell r="AJ25"/>
          <cell r="AK25">
            <v>187.24668211711969</v>
          </cell>
          <cell r="AL25">
            <v>1851.5877357557108</v>
          </cell>
          <cell r="AM25">
            <v>187.24668211711969</v>
          </cell>
          <cell r="AN25"/>
        </row>
        <row r="26">
          <cell r="B26">
            <v>39387</v>
          </cell>
          <cell r="C26">
            <v>39387</v>
          </cell>
          <cell r="D26" t="str">
            <v>Global</v>
          </cell>
          <cell r="E26">
            <v>176.52746198209957</v>
          </cell>
          <cell r="F26" t="str">
            <v>g</v>
          </cell>
          <cell r="G26" t="str">
            <v>c</v>
          </cell>
          <cell r="H26" t="str">
            <v>c</v>
          </cell>
          <cell r="I26">
            <v>230</v>
          </cell>
          <cell r="J26">
            <v>190</v>
          </cell>
          <cell r="K26">
            <v>186.27220755939061</v>
          </cell>
          <cell r="L26" t="str">
            <v>g</v>
          </cell>
          <cell r="M26" t="str">
            <v>c</v>
          </cell>
          <cell r="N26" t="str">
            <v>c</v>
          </cell>
          <cell r="O26">
            <v>230</v>
          </cell>
          <cell r="P26">
            <v>190</v>
          </cell>
          <cell r="Q26"/>
          <cell r="R26">
            <v>39387</v>
          </cell>
          <cell r="S26" t="str">
            <v>Global</v>
          </cell>
          <cell r="T26"/>
          <cell r="U26">
            <v>176.52746198209957</v>
          </cell>
          <cell r="V26">
            <v>186.27220755939061</v>
          </cell>
          <cell r="W26">
            <v>176.52746198209957</v>
          </cell>
          <cell r="X26"/>
          <cell r="Y26">
            <v>-9.7447455772910416</v>
          </cell>
          <cell r="Z26">
            <v>-5.2314543886983533E-2</v>
          </cell>
          <cell r="AA26"/>
          <cell r="AB26"/>
          <cell r="AC26">
            <v>176.52746198209957</v>
          </cell>
          <cell r="AD26">
            <v>186.27220755939061</v>
          </cell>
          <cell r="AE26">
            <v>176.52746198209957</v>
          </cell>
          <cell r="AF26">
            <v>-1</v>
          </cell>
          <cell r="AG26">
            <v>-9.7447455772910416</v>
          </cell>
          <cell r="AH26">
            <v>5.5202434045526605E-2</v>
          </cell>
          <cell r="AI26"/>
          <cell r="AJ26"/>
          <cell r="AK26">
            <v>186.27220755939061</v>
          </cell>
          <cell r="AL26">
            <v>2037.8599433151014</v>
          </cell>
          <cell r="AM26">
            <v>186.27220755939061</v>
          </cell>
          <cell r="AN26"/>
        </row>
        <row r="27">
          <cell r="B27">
            <v>39417</v>
          </cell>
          <cell r="C27">
            <v>39417</v>
          </cell>
          <cell r="D27" t="str">
            <v>Global</v>
          </cell>
          <cell r="E27">
            <v>182.75964574711497</v>
          </cell>
          <cell r="F27" t="str">
            <v>g</v>
          </cell>
          <cell r="G27" t="str">
            <v>c</v>
          </cell>
          <cell r="H27" t="str">
            <v>c</v>
          </cell>
          <cell r="I27">
            <v>230</v>
          </cell>
          <cell r="J27">
            <v>190</v>
          </cell>
          <cell r="K27">
            <v>185.97949407503415</v>
          </cell>
          <cell r="L27" t="str">
            <v>g</v>
          </cell>
          <cell r="M27" t="str">
            <v>c</v>
          </cell>
          <cell r="N27" t="str">
            <v>c</v>
          </cell>
          <cell r="O27">
            <v>230</v>
          </cell>
          <cell r="P27">
            <v>190</v>
          </cell>
          <cell r="Q27"/>
          <cell r="R27">
            <v>39417</v>
          </cell>
          <cell r="S27" t="str">
            <v>Global</v>
          </cell>
          <cell r="T27"/>
          <cell r="U27">
            <v>182.75964574711497</v>
          </cell>
          <cell r="V27">
            <v>185.97949407503415</v>
          </cell>
          <cell r="W27">
            <v>182.75964574711497</v>
          </cell>
          <cell r="X27"/>
          <cell r="Y27">
            <v>-3.2198483279191805</v>
          </cell>
          <cell r="Z27">
            <v>-1.7312921211733778E-2</v>
          </cell>
          <cell r="AA27"/>
          <cell r="AB27"/>
          <cell r="AC27">
            <v>182.75964574711497</v>
          </cell>
          <cell r="AD27">
            <v>185.97949407503415</v>
          </cell>
          <cell r="AE27">
            <v>182.75964574711497</v>
          </cell>
          <cell r="AF27">
            <v>-1</v>
          </cell>
          <cell r="AG27">
            <v>-3.2198483279191805</v>
          </cell>
          <cell r="AH27">
            <v>1.7617939205104793E-2</v>
          </cell>
          <cell r="AI27"/>
          <cell r="AJ27"/>
          <cell r="AK27">
            <v>185.97949407503415</v>
          </cell>
          <cell r="AL27">
            <v>2223.8394373901356</v>
          </cell>
          <cell r="AM27">
            <v>185.97949407503415</v>
          </cell>
          <cell r="AN27"/>
        </row>
        <row r="28">
          <cell r="B28">
            <v>39448</v>
          </cell>
          <cell r="C28">
            <v>39448</v>
          </cell>
          <cell r="D28" t="str">
            <v>Global</v>
          </cell>
          <cell r="E28">
            <v>198.37164245617896</v>
          </cell>
          <cell r="F28" t="str">
            <v>c</v>
          </cell>
          <cell r="G28" t="str">
            <v>g</v>
          </cell>
          <cell r="H28" t="str">
            <v>c</v>
          </cell>
          <cell r="I28">
            <v>230</v>
          </cell>
          <cell r="J28">
            <v>190</v>
          </cell>
          <cell r="K28">
            <v>198.37164245617896</v>
          </cell>
          <cell r="L28" t="str">
            <v>c</v>
          </cell>
          <cell r="M28" t="str">
            <v>g</v>
          </cell>
          <cell r="N28" t="str">
            <v>c</v>
          </cell>
          <cell r="O28">
            <v>230</v>
          </cell>
          <cell r="P28">
            <v>190</v>
          </cell>
          <cell r="Q28"/>
          <cell r="R28">
            <v>39448</v>
          </cell>
          <cell r="S28" t="str">
            <v>Global</v>
          </cell>
          <cell r="T28">
            <v>175.50392059906875</v>
          </cell>
          <cell r="U28">
            <v>198.37164245617896</v>
          </cell>
          <cell r="V28">
            <v>198.37164245617896</v>
          </cell>
          <cell r="W28">
            <v>22.867721857110212</v>
          </cell>
          <cell r="X28">
            <v>0.1302974986487655</v>
          </cell>
          <cell r="Y28">
            <v>0</v>
          </cell>
          <cell r="Z28">
            <v>0</v>
          </cell>
          <cell r="AA28"/>
          <cell r="AB28">
            <v>175.50392059906875</v>
          </cell>
          <cell r="AC28">
            <v>198.37164245617896</v>
          </cell>
          <cell r="AD28">
            <v>198.37164245617896</v>
          </cell>
          <cell r="AE28">
            <v>22.867721857110212</v>
          </cell>
          <cell r="AF28">
            <v>-0.1152771715451304</v>
          </cell>
          <cell r="AG28">
            <v>0</v>
          </cell>
          <cell r="AH28">
            <v>0</v>
          </cell>
          <cell r="AI28"/>
          <cell r="AJ28">
            <v>175.50392059906875</v>
          </cell>
          <cell r="AK28">
            <v>198.37164245617896</v>
          </cell>
          <cell r="AL28">
            <v>198.37164245617896</v>
          </cell>
          <cell r="AM28">
            <v>22.867721857110212</v>
          </cell>
          <cell r="AN28">
            <v>0.1302974986487655</v>
          </cell>
        </row>
        <row r="29">
          <cell r="B29">
            <v>39479</v>
          </cell>
          <cell r="C29">
            <v>39479</v>
          </cell>
          <cell r="D29" t="str">
            <v>Global</v>
          </cell>
          <cell r="E29">
            <v>199.8831708607986</v>
          </cell>
          <cell r="F29" t="str">
            <v>c</v>
          </cell>
          <cell r="G29" t="str">
            <v>g</v>
          </cell>
          <cell r="H29" t="str">
            <v>c</v>
          </cell>
          <cell r="I29">
            <v>230</v>
          </cell>
          <cell r="J29">
            <v>190</v>
          </cell>
          <cell r="K29">
            <v>199.12740665848878</v>
          </cell>
          <cell r="L29" t="str">
            <v>c</v>
          </cell>
          <cell r="M29" t="str">
            <v>g</v>
          </cell>
          <cell r="N29" t="str">
            <v>c</v>
          </cell>
          <cell r="O29">
            <v>230</v>
          </cell>
          <cell r="P29">
            <v>190</v>
          </cell>
          <cell r="Q29"/>
          <cell r="R29">
            <v>39479</v>
          </cell>
          <cell r="S29" t="str">
            <v>Global</v>
          </cell>
          <cell r="T29">
            <v>189.56290428079245</v>
          </cell>
          <cell r="U29">
            <v>199.8831708607986</v>
          </cell>
          <cell r="V29">
            <v>199.12740665848878</v>
          </cell>
          <cell r="W29">
            <v>10.320266580006148</v>
          </cell>
          <cell r="X29">
            <v>5.4442437560036083E-2</v>
          </cell>
          <cell r="Y29">
            <v>0.75576420230981967</v>
          </cell>
          <cell r="Z29">
            <v>3.7953801286931821E-3</v>
          </cell>
          <cell r="AA29"/>
          <cell r="AB29">
            <v>189.56290428079245</v>
          </cell>
          <cell r="AC29">
            <v>199.8831708607986</v>
          </cell>
          <cell r="AD29">
            <v>199.12740665848878</v>
          </cell>
          <cell r="AE29">
            <v>10.320266580006148</v>
          </cell>
          <cell r="AF29">
            <v>-5.1631493214570501E-2</v>
          </cell>
          <cell r="AG29">
            <v>0.75576420230981967</v>
          </cell>
          <cell r="AH29">
            <v>-3.781029683765369E-3</v>
          </cell>
          <cell r="AI29"/>
          <cell r="AJ29">
            <v>182.5334124399306</v>
          </cell>
          <cell r="AK29">
            <v>199.12740665848878</v>
          </cell>
          <cell r="AL29">
            <v>397.49904911466774</v>
          </cell>
          <cell r="AM29">
            <v>16.59399421855818</v>
          </cell>
          <cell r="AN29">
            <v>9.0909351864656873E-2</v>
          </cell>
        </row>
        <row r="30">
          <cell r="B30">
            <v>39508</v>
          </cell>
          <cell r="C30">
            <v>39508</v>
          </cell>
          <cell r="D30" t="str">
            <v>Global</v>
          </cell>
          <cell r="E30">
            <v>186.56658806317546</v>
          </cell>
          <cell r="F30" t="str">
            <v>g</v>
          </cell>
          <cell r="G30" t="str">
            <v>c</v>
          </cell>
          <cell r="H30" t="str">
            <v>c</v>
          </cell>
          <cell r="I30">
            <v>230</v>
          </cell>
          <cell r="J30">
            <v>190</v>
          </cell>
          <cell r="K30">
            <v>194.94046712671798</v>
          </cell>
          <cell r="L30" t="str">
            <v>c</v>
          </cell>
          <cell r="M30" t="str">
            <v>g</v>
          </cell>
          <cell r="N30" t="str">
            <v>c</v>
          </cell>
          <cell r="O30">
            <v>230</v>
          </cell>
          <cell r="P30">
            <v>190</v>
          </cell>
          <cell r="Q30"/>
          <cell r="R30">
            <v>39508</v>
          </cell>
          <cell r="S30" t="str">
            <v>Global</v>
          </cell>
          <cell r="T30">
            <v>184.64561783862302</v>
          </cell>
          <cell r="U30">
            <v>186.56658806317546</v>
          </cell>
          <cell r="V30">
            <v>194.94046712671798</v>
          </cell>
          <cell r="W30">
            <v>1.920970224552434</v>
          </cell>
          <cell r="X30">
            <v>1.0403551663117794E-2</v>
          </cell>
          <cell r="Y30">
            <v>-8.3738790635425175</v>
          </cell>
          <cell r="Z30">
            <v>-4.2956083910988152E-2</v>
          </cell>
          <cell r="AA30"/>
          <cell r="AB30">
            <v>184.64561783862302</v>
          </cell>
          <cell r="AC30">
            <v>186.56658806317546</v>
          </cell>
          <cell r="AD30">
            <v>194.94046712671798</v>
          </cell>
          <cell r="AE30">
            <v>1.920970224552434</v>
          </cell>
          <cell r="AF30">
            <v>-1.0296432198791949E-2</v>
          </cell>
          <cell r="AG30">
            <v>-8.3738790635425175</v>
          </cell>
          <cell r="AH30">
            <v>4.4884130381946719E-2</v>
          </cell>
          <cell r="AI30"/>
          <cell r="AJ30">
            <v>183.23748090616141</v>
          </cell>
          <cell r="AK30">
            <v>194.94046712671798</v>
          </cell>
          <cell r="AL30">
            <v>592.43951624138572</v>
          </cell>
          <cell r="AM30">
            <v>11.702986220556568</v>
          </cell>
          <cell r="AN30">
            <v>6.3867862419205723E-2</v>
          </cell>
        </row>
        <row r="31">
          <cell r="B31">
            <v>39539</v>
          </cell>
          <cell r="C31">
            <v>39539</v>
          </cell>
          <cell r="D31" t="str">
            <v>Global</v>
          </cell>
          <cell r="E31">
            <v>207.61184050109432</v>
          </cell>
          <cell r="F31" t="str">
            <v>c</v>
          </cell>
          <cell r="G31" t="str">
            <v>g</v>
          </cell>
          <cell r="H31" t="str">
            <v>c</v>
          </cell>
          <cell r="I31">
            <v>230</v>
          </cell>
          <cell r="J31">
            <v>190</v>
          </cell>
          <cell r="K31">
            <v>198.10831047031206</v>
          </cell>
          <cell r="L31" t="str">
            <v>c</v>
          </cell>
          <cell r="M31" t="str">
            <v>g</v>
          </cell>
          <cell r="N31" t="str">
            <v>c</v>
          </cell>
          <cell r="O31">
            <v>230</v>
          </cell>
          <cell r="P31">
            <v>190</v>
          </cell>
          <cell r="Q31"/>
          <cell r="R31">
            <v>39539</v>
          </cell>
          <cell r="S31" t="str">
            <v>Global</v>
          </cell>
          <cell r="T31">
            <v>191.10682886047812</v>
          </cell>
          <cell r="U31">
            <v>207.61184050109432</v>
          </cell>
          <cell r="V31">
            <v>198.10831047031206</v>
          </cell>
          <cell r="W31">
            <v>16.505011640616203</v>
          </cell>
          <cell r="X31">
            <v>8.6365368202860227E-2</v>
          </cell>
          <cell r="Y31">
            <v>9.5035300307822581</v>
          </cell>
          <cell r="Z31">
            <v>4.7971384987438137E-2</v>
          </cell>
          <cell r="AA31"/>
          <cell r="AB31">
            <v>191.10682886047812</v>
          </cell>
          <cell r="AC31">
            <v>207.61184050109432</v>
          </cell>
          <cell r="AD31">
            <v>198.10831047031206</v>
          </cell>
          <cell r="AE31">
            <v>16.505011640616203</v>
          </cell>
          <cell r="AF31">
            <v>-7.9499375376565817E-2</v>
          </cell>
          <cell r="AG31">
            <v>9.5035300307822581</v>
          </cell>
          <cell r="AH31">
            <v>-4.5775472188120059E-2</v>
          </cell>
          <cell r="AI31"/>
          <cell r="AJ31">
            <v>185.20481789474059</v>
          </cell>
          <cell r="AK31">
            <v>198.10831047031206</v>
          </cell>
          <cell r="AL31">
            <v>790.54782671169778</v>
          </cell>
          <cell r="AM31">
            <v>12.903492575571477</v>
          </cell>
          <cell r="AN31">
            <v>6.9671473573139187E-2</v>
          </cell>
        </row>
        <row r="32">
          <cell r="B32">
            <v>39569</v>
          </cell>
          <cell r="C32">
            <v>39569</v>
          </cell>
          <cell r="D32" t="str">
            <v>Global</v>
          </cell>
          <cell r="E32">
            <v>205.19649134071915</v>
          </cell>
          <cell r="F32" t="str">
            <v>c</v>
          </cell>
          <cell r="G32" t="str">
            <v>g</v>
          </cell>
          <cell r="H32" t="str">
            <v>c</v>
          </cell>
          <cell r="I32">
            <v>230</v>
          </cell>
          <cell r="J32">
            <v>190</v>
          </cell>
          <cell r="K32">
            <v>199.52594664439312</v>
          </cell>
          <cell r="L32" t="str">
            <v>c</v>
          </cell>
          <cell r="M32" t="str">
            <v>g</v>
          </cell>
          <cell r="N32" t="str">
            <v>c</v>
          </cell>
          <cell r="O32">
            <v>230</v>
          </cell>
          <cell r="P32">
            <v>190</v>
          </cell>
          <cell r="Q32"/>
          <cell r="R32">
            <v>39569</v>
          </cell>
          <cell r="S32" t="str">
            <v>Global</v>
          </cell>
          <cell r="T32">
            <v>191.99514447028275</v>
          </cell>
          <cell r="U32">
            <v>205.19649134071915</v>
          </cell>
          <cell r="V32">
            <v>199.52594664439312</v>
          </cell>
          <cell r="W32">
            <v>13.201346870436396</v>
          </cell>
          <cell r="X32">
            <v>6.8758753805254313E-2</v>
          </cell>
          <cell r="Y32">
            <v>5.6705446963260329</v>
          </cell>
          <cell r="Z32">
            <v>2.8420086668890399E-2</v>
          </cell>
          <cell r="AA32"/>
          <cell r="AB32">
            <v>191.99514447028275</v>
          </cell>
          <cell r="AC32">
            <v>205.19649134071915</v>
          </cell>
          <cell r="AD32">
            <v>199.52594664439312</v>
          </cell>
          <cell r="AE32">
            <v>13.201346870436396</v>
          </cell>
          <cell r="AF32">
            <v>-6.4335149125509083E-2</v>
          </cell>
          <cell r="AG32">
            <v>5.6705446963260329</v>
          </cell>
          <cell r="AH32">
            <v>-2.7634705931254722E-2</v>
          </cell>
          <cell r="AI32"/>
          <cell r="AJ32">
            <v>186.56288320984902</v>
          </cell>
          <cell r="AK32">
            <v>199.52594664439312</v>
          </cell>
          <cell r="AL32">
            <v>990.0737733560909</v>
          </cell>
          <cell r="AM32">
            <v>12.963063434544097</v>
          </cell>
          <cell r="AN32">
            <v>6.9483614379838965E-2</v>
          </cell>
        </row>
        <row r="33">
          <cell r="B33">
            <v>39600</v>
          </cell>
          <cell r="C33">
            <v>39600</v>
          </cell>
          <cell r="D33" t="str">
            <v>Global</v>
          </cell>
          <cell r="E33">
            <v>206.69753826874467</v>
          </cell>
          <cell r="F33" t="str">
            <v>c</v>
          </cell>
          <cell r="G33" t="str">
            <v>g</v>
          </cell>
          <cell r="H33" t="str">
            <v>c</v>
          </cell>
          <cell r="I33">
            <v>230</v>
          </cell>
          <cell r="J33">
            <v>190</v>
          </cell>
          <cell r="K33">
            <v>200.7212119151186</v>
          </cell>
          <cell r="L33" t="str">
            <v>c</v>
          </cell>
          <cell r="M33" t="str">
            <v>g</v>
          </cell>
          <cell r="N33" t="str">
            <v>c</v>
          </cell>
          <cell r="O33">
            <v>230</v>
          </cell>
          <cell r="P33">
            <v>190</v>
          </cell>
          <cell r="Q33"/>
          <cell r="R33">
            <v>39600</v>
          </cell>
          <cell r="S33" t="str">
            <v>Global</v>
          </cell>
          <cell r="T33">
            <v>187.96171333204791</v>
          </cell>
          <cell r="U33">
            <v>206.69753826874467</v>
          </cell>
          <cell r="V33">
            <v>200.7212119151186</v>
          </cell>
          <cell r="W33">
            <v>18.735824936696758</v>
          </cell>
          <cell r="X33">
            <v>9.9678943145184995E-2</v>
          </cell>
          <cell r="Y33">
            <v>5.9763263536260638</v>
          </cell>
          <cell r="Z33">
            <v>2.9774263998332939E-2</v>
          </cell>
          <cell r="AA33"/>
          <cell r="AB33">
            <v>187.96171333204791</v>
          </cell>
          <cell r="AC33">
            <v>206.69753826874467</v>
          </cell>
          <cell r="AD33">
            <v>200.7212119151186</v>
          </cell>
          <cell r="AE33">
            <v>18.735824936696758</v>
          </cell>
          <cell r="AF33">
            <v>-9.0643677199177652E-2</v>
          </cell>
          <cell r="AG33">
            <v>5.9763263536260638</v>
          </cell>
          <cell r="AH33">
            <v>-2.8913389117657284E-2</v>
          </cell>
          <cell r="AI33"/>
          <cell r="AJ33">
            <v>186.79602156354895</v>
          </cell>
          <cell r="AK33">
            <v>200.7212119151186</v>
          </cell>
          <cell r="AL33">
            <v>1190.7949852712095</v>
          </cell>
          <cell r="AM33">
            <v>13.925190351569654</v>
          </cell>
          <cell r="AN33">
            <v>7.4547574595063004E-2</v>
          </cell>
        </row>
        <row r="34">
          <cell r="B34">
            <v>39630</v>
          </cell>
          <cell r="C34">
            <v>39630</v>
          </cell>
          <cell r="D34" t="str">
            <v>Global</v>
          </cell>
          <cell r="E34">
            <v>199.50759052015337</v>
          </cell>
          <cell r="F34" t="str">
            <v>c</v>
          </cell>
          <cell r="G34" t="str">
            <v>g</v>
          </cell>
          <cell r="H34" t="str">
            <v>c</v>
          </cell>
          <cell r="I34">
            <v>230</v>
          </cell>
          <cell r="J34">
            <v>190</v>
          </cell>
          <cell r="K34">
            <v>200.54783743012331</v>
          </cell>
          <cell r="L34" t="str">
            <v>c</v>
          </cell>
          <cell r="M34" t="str">
            <v>g</v>
          </cell>
          <cell r="N34" t="str">
            <v>c</v>
          </cell>
          <cell r="O34">
            <v>230</v>
          </cell>
          <cell r="P34">
            <v>190</v>
          </cell>
          <cell r="Q34"/>
          <cell r="R34">
            <v>39630</v>
          </cell>
          <cell r="S34" t="str">
            <v>Global</v>
          </cell>
          <cell r="T34">
            <v>201.5318315783486</v>
          </cell>
          <cell r="U34">
            <v>199.50759052015337</v>
          </cell>
          <cell r="V34">
            <v>200.54783743012331</v>
          </cell>
          <cell r="W34">
            <v>-2.0242410581952299</v>
          </cell>
          <cell r="X34">
            <v>-1.004427460586188E-2</v>
          </cell>
          <cell r="Y34">
            <v>-1.0402469099699374</v>
          </cell>
          <cell r="Z34">
            <v>-5.1870263140204598E-3</v>
          </cell>
          <cell r="AA34"/>
          <cell r="AB34">
            <v>201.5318315783486</v>
          </cell>
          <cell r="AC34">
            <v>199.50759052015337</v>
          </cell>
          <cell r="AD34">
            <v>200.54783743012331</v>
          </cell>
          <cell r="AE34">
            <v>-2.0242410581952299</v>
          </cell>
          <cell r="AF34">
            <v>1.0146185681044306E-2</v>
          </cell>
          <cell r="AG34">
            <v>-1.0402469099699374</v>
          </cell>
          <cell r="AH34">
            <v>5.2140718418673959E-3</v>
          </cell>
          <cell r="AI34"/>
          <cell r="AJ34">
            <v>188.9011372799489</v>
          </cell>
          <cell r="AK34">
            <v>200.54783743012331</v>
          </cell>
          <cell r="AL34">
            <v>1391.3428227013328</v>
          </cell>
          <cell r="AM34">
            <v>11.646700150174411</v>
          </cell>
          <cell r="AN34">
            <v>6.1655002811942694E-2</v>
          </cell>
        </row>
        <row r="35">
          <cell r="B35">
            <v>39661</v>
          </cell>
          <cell r="C35">
            <v>39661</v>
          </cell>
          <cell r="D35" t="str">
            <v>Global</v>
          </cell>
          <cell r="E35">
            <v>198.80870862133452</v>
          </cell>
          <cell r="F35" t="str">
            <v>c</v>
          </cell>
          <cell r="G35" t="str">
            <v>g</v>
          </cell>
          <cell r="H35" t="str">
            <v>c</v>
          </cell>
          <cell r="I35">
            <v>230</v>
          </cell>
          <cell r="J35">
            <v>190</v>
          </cell>
          <cell r="K35">
            <v>200.33044632902511</v>
          </cell>
          <cell r="L35" t="str">
            <v>c</v>
          </cell>
          <cell r="M35" t="str">
            <v>g</v>
          </cell>
          <cell r="N35" t="str">
            <v>c</v>
          </cell>
          <cell r="O35">
            <v>230</v>
          </cell>
          <cell r="P35">
            <v>190</v>
          </cell>
          <cell r="Q35"/>
          <cell r="R35">
            <v>39661</v>
          </cell>
          <cell r="S35" t="str">
            <v>Global</v>
          </cell>
          <cell r="T35">
            <v>185.0290905433294</v>
          </cell>
          <cell r="U35">
            <v>198.80870862133452</v>
          </cell>
          <cell r="V35">
            <v>200.33044632902511</v>
          </cell>
          <cell r="W35">
            <v>13.779618078005115</v>
          </cell>
          <cell r="X35">
            <v>7.4472711493862365E-2</v>
          </cell>
          <cell r="Y35">
            <v>-1.5217377076905905</v>
          </cell>
          <cell r="Z35">
            <v>-7.5961379589364331E-3</v>
          </cell>
          <cell r="AA35"/>
          <cell r="AB35">
            <v>185.0290905433294</v>
          </cell>
          <cell r="AC35">
            <v>198.80870862133452</v>
          </cell>
          <cell r="AD35">
            <v>200.33044632902511</v>
          </cell>
          <cell r="AE35">
            <v>13.779618078005115</v>
          </cell>
          <cell r="AF35">
            <v>-6.9310938004485401E-2</v>
          </cell>
          <cell r="AG35">
            <v>-1.5217377076905905</v>
          </cell>
          <cell r="AH35">
            <v>7.6542809328790096E-3</v>
          </cell>
          <cell r="AI35"/>
          <cell r="AJ35">
            <v>188.41713143787138</v>
          </cell>
          <cell r="AK35">
            <v>200.33044632902511</v>
          </cell>
          <cell r="AL35">
            <v>1591.6732690303579</v>
          </cell>
          <cell r="AM35">
            <v>11.913314891153732</v>
          </cell>
          <cell r="AN35">
            <v>6.3228406038450036E-2</v>
          </cell>
        </row>
        <row r="36">
          <cell r="B36">
            <v>39692</v>
          </cell>
          <cell r="C36">
            <v>39692</v>
          </cell>
          <cell r="D36" t="str">
            <v>Global</v>
          </cell>
          <cell r="E36">
            <v>150</v>
          </cell>
          <cell r="F36" t="str">
            <v>g</v>
          </cell>
          <cell r="G36" t="str">
            <v>c</v>
          </cell>
          <cell r="H36" t="str">
            <v>c</v>
          </cell>
          <cell r="I36">
            <v>230</v>
          </cell>
          <cell r="J36">
            <v>190</v>
          </cell>
          <cell r="K36">
            <v>194.73817451468858</v>
          </cell>
          <cell r="L36" t="str">
            <v>c</v>
          </cell>
          <cell r="M36" t="str">
            <v>g</v>
          </cell>
          <cell r="N36" t="str">
            <v>c</v>
          </cell>
          <cell r="O36">
            <v>230</v>
          </cell>
          <cell r="P36">
            <v>190</v>
          </cell>
          <cell r="Q36"/>
          <cell r="R36">
            <v>39692</v>
          </cell>
          <cell r="S36" t="str">
            <v>Global</v>
          </cell>
          <cell r="T36">
            <v>177.32118326427235</v>
          </cell>
          <cell r="U36">
            <v>150</v>
          </cell>
          <cell r="V36">
            <v>194.73817451468858</v>
          </cell>
          <cell r="W36">
            <v>-27.321183264272349</v>
          </cell>
          <cell r="X36">
            <v>-0.15407737959628864</v>
          </cell>
          <cell r="Y36">
            <v>-44.738174514688581</v>
          </cell>
          <cell r="Z36">
            <v>-0.22973499996177738</v>
          </cell>
          <cell r="AA36"/>
          <cell r="AB36">
            <v>177.32118326427235</v>
          </cell>
          <cell r="AC36">
            <v>150</v>
          </cell>
          <cell r="AD36">
            <v>194.73817451468858</v>
          </cell>
          <cell r="AE36">
            <v>-27.321183264272349</v>
          </cell>
          <cell r="AF36">
            <v>0.18214122176181569</v>
          </cell>
          <cell r="AG36">
            <v>-44.738174514688581</v>
          </cell>
          <cell r="AH36">
            <v>0.29825449676459059</v>
          </cell>
          <cell r="AI36"/>
          <cell r="AJ36">
            <v>187.18424830747153</v>
          </cell>
          <cell r="AK36">
            <v>194.73817451468858</v>
          </cell>
          <cell r="AL36">
            <v>1786.4114435450465</v>
          </cell>
          <cell r="AM36">
            <v>7.5539262072170459</v>
          </cell>
          <cell r="AN36">
            <v>4.0355565575201924E-2</v>
          </cell>
        </row>
        <row r="37">
          <cell r="B37">
            <v>39722</v>
          </cell>
          <cell r="C37">
            <v>39722</v>
          </cell>
          <cell r="D37" t="str">
            <v>Global</v>
          </cell>
          <cell r="E37">
            <v>182</v>
          </cell>
          <cell r="F37" t="str">
            <v>g</v>
          </cell>
          <cell r="G37" t="str">
            <v>c</v>
          </cell>
          <cell r="H37" t="str">
            <v>c</v>
          </cell>
          <cell r="I37">
            <v>230</v>
          </cell>
          <cell r="J37">
            <v>190</v>
          </cell>
          <cell r="K37">
            <v>193.46435706321972</v>
          </cell>
          <cell r="L37" t="str">
            <v>c</v>
          </cell>
          <cell r="M37" t="str">
            <v>g</v>
          </cell>
          <cell r="N37" t="str">
            <v>c</v>
          </cell>
          <cell r="O37">
            <v>230</v>
          </cell>
          <cell r="P37">
            <v>190</v>
          </cell>
          <cell r="Q37"/>
          <cell r="R37">
            <v>39722</v>
          </cell>
          <cell r="S37" t="str">
            <v>Global</v>
          </cell>
          <cell r="T37">
            <v>187.80858640395286</v>
          </cell>
          <cell r="U37">
            <v>182</v>
          </cell>
          <cell r="V37">
            <v>193.46435706321972</v>
          </cell>
          <cell r="W37">
            <v>-5.8085864039528587</v>
          </cell>
          <cell r="X37">
            <v>-3.0928225994200864E-2</v>
          </cell>
          <cell r="Y37">
            <v>-11.464357063219722</v>
          </cell>
          <cell r="Z37">
            <v>-5.9258238764225868E-2</v>
          </cell>
          <cell r="AA37"/>
          <cell r="AB37">
            <v>187.80858640395286</v>
          </cell>
          <cell r="AC37">
            <v>182</v>
          </cell>
          <cell r="AD37">
            <v>193.46435706321972</v>
          </cell>
          <cell r="AE37">
            <v>-5.8085864039528587</v>
          </cell>
          <cell r="AF37">
            <v>3.1915309911829004E-2</v>
          </cell>
          <cell r="AG37">
            <v>-11.464357063219722</v>
          </cell>
          <cell r="AH37">
            <v>6.2990972874833684E-2</v>
          </cell>
          <cell r="AI37"/>
          <cell r="AJ37">
            <v>187.24668211711969</v>
          </cell>
          <cell r="AK37">
            <v>193.46435706321972</v>
          </cell>
          <cell r="AL37">
            <v>1979.8758006082662</v>
          </cell>
          <cell r="AM37">
            <v>6.2176749461000327</v>
          </cell>
          <cell r="AN37">
            <v>3.3205795028244944E-2</v>
          </cell>
        </row>
        <row r="38">
          <cell r="B38">
            <v>39753</v>
          </cell>
          <cell r="C38">
            <v>39753</v>
          </cell>
          <cell r="D38" t="str">
            <v>Global</v>
          </cell>
          <cell r="E38">
            <v>186</v>
          </cell>
          <cell r="F38" t="str">
            <v>g</v>
          </cell>
          <cell r="G38" t="str">
            <v>c</v>
          </cell>
          <cell r="H38" t="str">
            <v>c</v>
          </cell>
          <cell r="I38">
            <v>230</v>
          </cell>
          <cell r="J38">
            <v>190</v>
          </cell>
          <cell r="K38">
            <v>192.78577914838206</v>
          </cell>
          <cell r="L38" t="str">
            <v>c</v>
          </cell>
          <cell r="M38" t="str">
            <v>g</v>
          </cell>
          <cell r="N38" t="str">
            <v>c</v>
          </cell>
          <cell r="O38">
            <v>230</v>
          </cell>
          <cell r="P38">
            <v>190</v>
          </cell>
          <cell r="Q38"/>
          <cell r="R38">
            <v>39753</v>
          </cell>
          <cell r="S38" t="str">
            <v>Global</v>
          </cell>
          <cell r="T38">
            <v>176.52746198209957</v>
          </cell>
          <cell r="U38">
            <v>186</v>
          </cell>
          <cell r="V38">
            <v>192.78577914838206</v>
          </cell>
          <cell r="W38">
            <v>9.4725380179004333</v>
          </cell>
          <cell r="X38">
            <v>5.3660421509152956E-2</v>
          </cell>
          <cell r="Y38">
            <v>-6.785779148382062</v>
          </cell>
          <cell r="Z38">
            <v>-3.519854617056184E-2</v>
          </cell>
          <cell r="AA38"/>
          <cell r="AB38">
            <v>176.52746198209957</v>
          </cell>
          <cell r="AC38">
            <v>186</v>
          </cell>
          <cell r="AD38">
            <v>192.78577914838206</v>
          </cell>
          <cell r="AE38">
            <v>9.4725380179004333</v>
          </cell>
          <cell r="AF38">
            <v>-5.0927623752152873E-2</v>
          </cell>
          <cell r="AG38">
            <v>-6.785779148382062</v>
          </cell>
          <cell r="AH38">
            <v>3.648268359345197E-2</v>
          </cell>
          <cell r="AI38"/>
          <cell r="AJ38">
            <v>186.27220755939061</v>
          </cell>
          <cell r="AK38">
            <v>192.78577914838206</v>
          </cell>
          <cell r="AL38">
            <v>2172.6615797566483</v>
          </cell>
          <cell r="AM38">
            <v>6.5135715889914536</v>
          </cell>
          <cell r="AN38">
            <v>3.4968027030627624E-2</v>
          </cell>
        </row>
        <row r="39">
          <cell r="B39">
            <v>39783</v>
          </cell>
          <cell r="C39">
            <v>39783</v>
          </cell>
          <cell r="D39" t="str">
            <v>Global</v>
          </cell>
          <cell r="E39">
            <v>110</v>
          </cell>
          <cell r="F39" t="str">
            <v>g</v>
          </cell>
          <cell r="G39" t="str">
            <v>c</v>
          </cell>
          <cell r="H39" t="str">
            <v>c</v>
          </cell>
          <cell r="I39">
            <v>230</v>
          </cell>
          <cell r="J39">
            <v>190</v>
          </cell>
          <cell r="K39">
            <v>185.88696421934947</v>
          </cell>
          <cell r="L39" t="str">
            <v>g</v>
          </cell>
          <cell r="M39" t="str">
            <v>c</v>
          </cell>
          <cell r="N39" t="str">
            <v>c</v>
          </cell>
          <cell r="O39">
            <v>230</v>
          </cell>
          <cell r="P39">
            <v>190</v>
          </cell>
          <cell r="Q39"/>
          <cell r="R39">
            <v>39783</v>
          </cell>
          <cell r="S39" t="str">
            <v>Global</v>
          </cell>
          <cell r="T39">
            <v>182.75964574711497</v>
          </cell>
          <cell r="U39">
            <v>110</v>
          </cell>
          <cell r="V39">
            <v>185.88696421934947</v>
          </cell>
          <cell r="W39">
            <v>-72.759645747114973</v>
          </cell>
          <cell r="X39">
            <v>-0.39811658339386746</v>
          </cell>
          <cell r="Y39">
            <v>-75.886964219349466</v>
          </cell>
          <cell r="Z39">
            <v>-0.40824252813016881</v>
          </cell>
          <cell r="AA39"/>
          <cell r="AB39">
            <v>182.75964574711497</v>
          </cell>
          <cell r="AC39">
            <v>110</v>
          </cell>
          <cell r="AD39">
            <v>185.88696421934947</v>
          </cell>
          <cell r="AE39">
            <v>-72.759645747114973</v>
          </cell>
          <cell r="AF39">
            <v>0.66145132497377257</v>
          </cell>
          <cell r="AG39">
            <v>-75.886964219349466</v>
          </cell>
          <cell r="AH39">
            <v>0.68988149290317691</v>
          </cell>
          <cell r="AI39"/>
          <cell r="AJ39">
            <v>185.97949407503415</v>
          </cell>
          <cell r="AK39">
            <v>185.88696421934947</v>
          </cell>
          <cell r="AL39">
            <v>2358.5485439759977</v>
          </cell>
          <cell r="AM39">
            <v>-9.25298556846883E-2</v>
          </cell>
          <cell r="AN39">
            <v>-4.9752719322571082E-4</v>
          </cell>
        </row>
        <row r="40">
          <cell r="B40">
            <v>39814</v>
          </cell>
          <cell r="C40"/>
          <cell r="D40" t="str">
            <v>Global</v>
          </cell>
          <cell r="E40" t="str">
            <v/>
          </cell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  <cell r="L40" t="str">
            <v/>
          </cell>
          <cell r="M40" t="str">
            <v/>
          </cell>
          <cell r="N40" t="str">
            <v/>
          </cell>
          <cell r="O40" t="str">
            <v/>
          </cell>
          <cell r="P40" t="str">
            <v/>
          </cell>
          <cell r="Q40"/>
          <cell r="R40">
            <v>39814</v>
          </cell>
          <cell r="S40" t="str">
            <v>Global</v>
          </cell>
          <cell r="T40">
            <v>198.37164245617896</v>
          </cell>
          <cell r="U40" t="str">
            <v/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 t="str">
            <v/>
          </cell>
          <cell r="AA40"/>
          <cell r="AB40">
            <v>198.37164245617896</v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/>
          <cell r="AJ40">
            <v>198.37164245617896</v>
          </cell>
          <cell r="AK40" t="str">
            <v/>
          </cell>
          <cell r="AL40" t="str">
            <v/>
          </cell>
          <cell r="AM40" t="str">
            <v/>
          </cell>
          <cell r="AN40" t="str">
            <v/>
          </cell>
        </row>
        <row r="41">
          <cell r="B41">
            <v>39845</v>
          </cell>
          <cell r="C41"/>
          <cell r="D41" t="str">
            <v>Global</v>
          </cell>
          <cell r="E41" t="str">
            <v/>
          </cell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  <cell r="J41" t="str">
            <v/>
          </cell>
          <cell r="K41" t="str">
            <v/>
          </cell>
          <cell r="L41" t="str">
            <v/>
          </cell>
          <cell r="M41" t="str">
            <v/>
          </cell>
          <cell r="N41" t="str">
            <v/>
          </cell>
          <cell r="O41"/>
          <cell r="P41"/>
          <cell r="Q41"/>
          <cell r="R41">
            <v>39845</v>
          </cell>
          <cell r="S41" t="str">
            <v>Global</v>
          </cell>
          <cell r="T41">
            <v>199.8831708607986</v>
          </cell>
          <cell r="U41" t="str">
            <v/>
          </cell>
          <cell r="V41" t="str">
            <v/>
          </cell>
          <cell r="W41" t="str">
            <v/>
          </cell>
          <cell r="X41" t="str">
            <v/>
          </cell>
          <cell r="Y41" t="str">
            <v/>
          </cell>
          <cell r="Z41" t="str">
            <v/>
          </cell>
          <cell r="AA41"/>
          <cell r="AB41">
            <v>199.8831708607986</v>
          </cell>
          <cell r="AC41" t="str">
            <v/>
          </cell>
          <cell r="AD41" t="str">
            <v/>
          </cell>
          <cell r="AE41" t="str">
            <v/>
          </cell>
          <cell r="AF41" t="str">
            <v/>
          </cell>
          <cell r="AG41" t="str">
            <v/>
          </cell>
          <cell r="AH41" t="str">
            <v/>
          </cell>
          <cell r="AI41"/>
          <cell r="AJ41">
            <v>199.12740665848878</v>
          </cell>
          <cell r="AK41" t="str">
            <v/>
          </cell>
          <cell r="AL41" t="str">
            <v/>
          </cell>
          <cell r="AM41" t="str">
            <v/>
          </cell>
          <cell r="AN41" t="str">
            <v/>
          </cell>
        </row>
        <row r="42">
          <cell r="B42">
            <v>39873</v>
          </cell>
          <cell r="C42"/>
          <cell r="D42" t="str">
            <v>Global</v>
          </cell>
          <cell r="E42" t="str">
            <v/>
          </cell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  <cell r="J42" t="str">
            <v/>
          </cell>
          <cell r="K42" t="str">
            <v/>
          </cell>
          <cell r="L42" t="str">
            <v/>
          </cell>
          <cell r="M42" t="str">
            <v/>
          </cell>
          <cell r="N42" t="str">
            <v/>
          </cell>
          <cell r="O42"/>
          <cell r="P42"/>
          <cell r="Q42"/>
          <cell r="R42">
            <v>39873</v>
          </cell>
          <cell r="S42" t="str">
            <v>Global</v>
          </cell>
          <cell r="T42">
            <v>186.56658806317546</v>
          </cell>
          <cell r="U42" t="str">
            <v/>
          </cell>
          <cell r="V42" t="str">
            <v/>
          </cell>
          <cell r="W42" t="str">
            <v/>
          </cell>
          <cell r="X42" t="str">
            <v/>
          </cell>
          <cell r="Y42" t="str">
            <v/>
          </cell>
          <cell r="Z42" t="str">
            <v/>
          </cell>
          <cell r="AA42"/>
          <cell r="AB42">
            <v>186.56658806317546</v>
          </cell>
          <cell r="AC42" t="str">
            <v/>
          </cell>
          <cell r="AD42" t="str">
            <v/>
          </cell>
          <cell r="AE42" t="str">
            <v/>
          </cell>
          <cell r="AF42" t="str">
            <v/>
          </cell>
          <cell r="AG42" t="str">
            <v/>
          </cell>
          <cell r="AH42" t="str">
            <v/>
          </cell>
          <cell r="AI42"/>
          <cell r="AJ42">
            <v>194.94046712671798</v>
          </cell>
          <cell r="AK42" t="str">
            <v/>
          </cell>
          <cell r="AL42" t="str">
            <v/>
          </cell>
          <cell r="AM42" t="str">
            <v/>
          </cell>
          <cell r="AN42" t="str">
            <v/>
          </cell>
        </row>
        <row r="43">
          <cell r="B43">
            <v>39904</v>
          </cell>
          <cell r="C43"/>
          <cell r="D43" t="str">
            <v>Global</v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 t="str">
            <v/>
          </cell>
          <cell r="L43" t="str">
            <v/>
          </cell>
          <cell r="M43" t="str">
            <v/>
          </cell>
          <cell r="N43" t="str">
            <v/>
          </cell>
          <cell r="O43"/>
          <cell r="P43"/>
          <cell r="Q43"/>
          <cell r="R43">
            <v>39904</v>
          </cell>
          <cell r="S43" t="str">
            <v>Global</v>
          </cell>
          <cell r="T43">
            <v>207.61184050109432</v>
          </cell>
          <cell r="U43" t="str">
            <v/>
          </cell>
          <cell r="V43" t="str">
            <v/>
          </cell>
          <cell r="W43" t="str">
            <v/>
          </cell>
          <cell r="X43" t="str">
            <v/>
          </cell>
          <cell r="Y43" t="str">
            <v/>
          </cell>
          <cell r="Z43" t="str">
            <v/>
          </cell>
          <cell r="AA43"/>
          <cell r="AB43">
            <v>207.61184050109432</v>
          </cell>
          <cell r="AC43" t="str">
            <v/>
          </cell>
          <cell r="AD43" t="str">
            <v/>
          </cell>
          <cell r="AE43" t="str">
            <v/>
          </cell>
          <cell r="AF43" t="str">
            <v/>
          </cell>
          <cell r="AG43" t="str">
            <v/>
          </cell>
          <cell r="AH43" t="str">
            <v/>
          </cell>
          <cell r="AI43"/>
          <cell r="AJ43">
            <v>198.10831047031206</v>
          </cell>
          <cell r="AK43" t="str">
            <v/>
          </cell>
          <cell r="AL43" t="str">
            <v/>
          </cell>
          <cell r="AM43" t="str">
            <v/>
          </cell>
          <cell r="AN43" t="str">
            <v/>
          </cell>
        </row>
        <row r="44">
          <cell r="B44">
            <v>39934</v>
          </cell>
          <cell r="C44"/>
          <cell r="D44" t="str">
            <v>Global</v>
          </cell>
          <cell r="E44" t="str">
            <v/>
          </cell>
          <cell r="F44" t="str">
            <v/>
          </cell>
          <cell r="G44" t="str">
            <v/>
          </cell>
          <cell r="H44" t="str">
            <v/>
          </cell>
          <cell r="I44" t="str">
            <v/>
          </cell>
          <cell r="J44" t="str">
            <v/>
          </cell>
          <cell r="K44" t="str">
            <v/>
          </cell>
          <cell r="L44" t="str">
            <v/>
          </cell>
          <cell r="M44" t="str">
            <v/>
          </cell>
          <cell r="N44" t="str">
            <v/>
          </cell>
          <cell r="O44"/>
          <cell r="P44"/>
          <cell r="Q44"/>
          <cell r="R44">
            <v>39934</v>
          </cell>
          <cell r="S44" t="str">
            <v>Global</v>
          </cell>
          <cell r="T44">
            <v>205.19649134071915</v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  <cell r="AA44"/>
          <cell r="AB44">
            <v>205.19649134071915</v>
          </cell>
          <cell r="AC44" t="str">
            <v/>
          </cell>
          <cell r="AD44" t="str">
            <v/>
          </cell>
          <cell r="AE44" t="str">
            <v/>
          </cell>
          <cell r="AF44" t="str">
            <v/>
          </cell>
          <cell r="AG44" t="str">
            <v/>
          </cell>
          <cell r="AH44" t="str">
            <v/>
          </cell>
          <cell r="AI44"/>
          <cell r="AJ44">
            <v>199.52594664439312</v>
          </cell>
          <cell r="AK44" t="str">
            <v/>
          </cell>
          <cell r="AL44" t="str">
            <v/>
          </cell>
          <cell r="AM44" t="str">
            <v/>
          </cell>
          <cell r="AN44" t="str">
            <v/>
          </cell>
        </row>
        <row r="45">
          <cell r="B45">
            <v>39965</v>
          </cell>
          <cell r="C45"/>
          <cell r="D45" t="str">
            <v>Global</v>
          </cell>
          <cell r="E45" t="str">
            <v/>
          </cell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  <cell r="M45" t="str">
            <v/>
          </cell>
          <cell r="N45" t="str">
            <v/>
          </cell>
          <cell r="O45"/>
          <cell r="P45"/>
          <cell r="Q45"/>
          <cell r="R45">
            <v>39965</v>
          </cell>
          <cell r="S45" t="str">
            <v>Global</v>
          </cell>
          <cell r="T45">
            <v>206.69753826874467</v>
          </cell>
          <cell r="U45" t="str">
            <v/>
          </cell>
          <cell r="V45" t="str">
            <v/>
          </cell>
          <cell r="W45" t="str">
            <v/>
          </cell>
          <cell r="X45" t="str">
            <v/>
          </cell>
          <cell r="Y45" t="str">
            <v/>
          </cell>
          <cell r="Z45" t="str">
            <v/>
          </cell>
          <cell r="AA45"/>
          <cell r="AB45">
            <v>206.69753826874467</v>
          </cell>
          <cell r="AC45" t="str">
            <v/>
          </cell>
          <cell r="AD45" t="str">
            <v/>
          </cell>
          <cell r="AE45" t="str">
            <v/>
          </cell>
          <cell r="AF45" t="str">
            <v/>
          </cell>
          <cell r="AG45" t="str">
            <v/>
          </cell>
          <cell r="AH45" t="str">
            <v/>
          </cell>
          <cell r="AI45"/>
          <cell r="AJ45">
            <v>200.7212119151186</v>
          </cell>
          <cell r="AK45" t="str">
            <v/>
          </cell>
          <cell r="AL45" t="str">
            <v/>
          </cell>
          <cell r="AM45" t="str">
            <v/>
          </cell>
          <cell r="AN45" t="str">
            <v/>
          </cell>
        </row>
        <row r="46">
          <cell r="B46">
            <v>39995</v>
          </cell>
          <cell r="C46"/>
          <cell r="D46" t="str">
            <v>Global</v>
          </cell>
          <cell r="E46" t="str">
            <v/>
          </cell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  <cell r="M46" t="str">
            <v/>
          </cell>
          <cell r="N46" t="str">
            <v/>
          </cell>
          <cell r="O46"/>
          <cell r="P46"/>
          <cell r="Q46"/>
          <cell r="R46">
            <v>39995</v>
          </cell>
          <cell r="S46" t="str">
            <v>Global</v>
          </cell>
          <cell r="T46">
            <v>199.50759052015337</v>
          </cell>
          <cell r="U46" t="str">
            <v/>
          </cell>
          <cell r="V46" t="str">
            <v/>
          </cell>
          <cell r="W46" t="str">
            <v/>
          </cell>
          <cell r="X46" t="str">
            <v/>
          </cell>
          <cell r="Y46" t="str">
            <v/>
          </cell>
          <cell r="Z46" t="str">
            <v/>
          </cell>
          <cell r="AA46"/>
          <cell r="AB46">
            <v>199.50759052015337</v>
          </cell>
          <cell r="AC46" t="str">
            <v/>
          </cell>
          <cell r="AD46" t="str">
            <v/>
          </cell>
          <cell r="AE46" t="str">
            <v/>
          </cell>
          <cell r="AF46" t="str">
            <v/>
          </cell>
          <cell r="AG46" t="str">
            <v/>
          </cell>
          <cell r="AH46" t="str">
            <v/>
          </cell>
          <cell r="AI46"/>
          <cell r="AJ46">
            <v>200.54783743012331</v>
          </cell>
          <cell r="AK46" t="str">
            <v/>
          </cell>
          <cell r="AL46" t="str">
            <v/>
          </cell>
          <cell r="AM46" t="str">
            <v/>
          </cell>
          <cell r="AN46" t="str">
            <v/>
          </cell>
        </row>
        <row r="47">
          <cell r="B47">
            <v>40026</v>
          </cell>
          <cell r="C47"/>
          <cell r="D47" t="str">
            <v>Global</v>
          </cell>
          <cell r="E47" t="str">
            <v/>
          </cell>
          <cell r="F47" t="str">
            <v/>
          </cell>
          <cell r="G47" t="str">
            <v/>
          </cell>
          <cell r="H47" t="str">
            <v/>
          </cell>
          <cell r="I47" t="str">
            <v/>
          </cell>
          <cell r="J47" t="str">
            <v/>
          </cell>
          <cell r="K47" t="str">
            <v/>
          </cell>
          <cell r="L47" t="str">
            <v/>
          </cell>
          <cell r="M47" t="str">
            <v/>
          </cell>
          <cell r="N47" t="str">
            <v/>
          </cell>
          <cell r="O47"/>
          <cell r="P47"/>
          <cell r="Q47"/>
          <cell r="R47">
            <v>40026</v>
          </cell>
          <cell r="S47" t="str">
            <v>Global</v>
          </cell>
          <cell r="T47">
            <v>198.80870862133452</v>
          </cell>
          <cell r="U47" t="str">
            <v/>
          </cell>
          <cell r="V47" t="str">
            <v/>
          </cell>
          <cell r="W47" t="str">
            <v/>
          </cell>
          <cell r="X47" t="str">
            <v/>
          </cell>
          <cell r="Y47" t="str">
            <v/>
          </cell>
          <cell r="Z47" t="str">
            <v/>
          </cell>
          <cell r="AA47"/>
          <cell r="AB47">
            <v>198.80870862133452</v>
          </cell>
          <cell r="AC47" t="str">
            <v/>
          </cell>
          <cell r="AD47" t="str">
            <v/>
          </cell>
          <cell r="AE47" t="str">
            <v/>
          </cell>
          <cell r="AF47" t="str">
            <v/>
          </cell>
          <cell r="AG47" t="str">
            <v/>
          </cell>
          <cell r="AH47" t="str">
            <v/>
          </cell>
          <cell r="AI47"/>
          <cell r="AJ47">
            <v>200.33044632902511</v>
          </cell>
          <cell r="AK47" t="str">
            <v/>
          </cell>
          <cell r="AL47" t="str">
            <v/>
          </cell>
          <cell r="AM47" t="str">
            <v/>
          </cell>
          <cell r="AN47" t="str">
            <v/>
          </cell>
        </row>
        <row r="48">
          <cell r="B48">
            <v>40057</v>
          </cell>
          <cell r="C48"/>
          <cell r="D48" t="str">
            <v>Global</v>
          </cell>
          <cell r="E48" t="str">
            <v/>
          </cell>
          <cell r="F48" t="str">
            <v/>
          </cell>
          <cell r="G48" t="str">
            <v/>
          </cell>
          <cell r="H48" t="str">
            <v/>
          </cell>
          <cell r="I48" t="str">
            <v/>
          </cell>
          <cell r="J48" t="str">
            <v/>
          </cell>
          <cell r="K48" t="str">
            <v/>
          </cell>
          <cell r="L48" t="str">
            <v/>
          </cell>
          <cell r="M48" t="str">
            <v/>
          </cell>
          <cell r="N48" t="str">
            <v/>
          </cell>
          <cell r="O48"/>
          <cell r="P48"/>
          <cell r="Q48"/>
          <cell r="R48">
            <v>40057</v>
          </cell>
          <cell r="S48" t="str">
            <v>Global</v>
          </cell>
          <cell r="T48">
            <v>150</v>
          </cell>
          <cell r="U48" t="str">
            <v/>
          </cell>
          <cell r="V48" t="str">
            <v/>
          </cell>
          <cell r="W48" t="str">
            <v/>
          </cell>
          <cell r="X48" t="str">
            <v/>
          </cell>
          <cell r="Y48" t="str">
            <v/>
          </cell>
          <cell r="Z48" t="str">
            <v/>
          </cell>
          <cell r="AA48"/>
          <cell r="AB48">
            <v>150</v>
          </cell>
          <cell r="AC48" t="str">
            <v/>
          </cell>
          <cell r="AD48" t="str">
            <v/>
          </cell>
          <cell r="AE48" t="str">
            <v/>
          </cell>
          <cell r="AF48" t="str">
            <v/>
          </cell>
          <cell r="AG48" t="str">
            <v/>
          </cell>
          <cell r="AH48" t="str">
            <v/>
          </cell>
          <cell r="AI48"/>
          <cell r="AJ48">
            <v>194.73817451468858</v>
          </cell>
          <cell r="AK48" t="str">
            <v/>
          </cell>
          <cell r="AL48" t="str">
            <v/>
          </cell>
          <cell r="AM48" t="str">
            <v/>
          </cell>
          <cell r="AN48" t="str">
            <v/>
          </cell>
        </row>
        <row r="49">
          <cell r="B49">
            <v>40087</v>
          </cell>
          <cell r="C49"/>
          <cell r="D49" t="str">
            <v>Global</v>
          </cell>
          <cell r="E49" t="str">
            <v/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  <cell r="L49" t="str">
            <v/>
          </cell>
          <cell r="M49" t="str">
            <v/>
          </cell>
          <cell r="N49" t="str">
            <v/>
          </cell>
          <cell r="O49"/>
          <cell r="P49"/>
          <cell r="Q49"/>
          <cell r="R49">
            <v>40087</v>
          </cell>
          <cell r="S49" t="str">
            <v>Global</v>
          </cell>
          <cell r="T49">
            <v>182</v>
          </cell>
          <cell r="U49" t="str">
            <v/>
          </cell>
          <cell r="V49" t="str">
            <v/>
          </cell>
          <cell r="W49" t="str">
            <v/>
          </cell>
          <cell r="X49" t="str">
            <v/>
          </cell>
          <cell r="Y49" t="str">
            <v/>
          </cell>
          <cell r="Z49" t="str">
            <v/>
          </cell>
          <cell r="AA49"/>
          <cell r="AB49">
            <v>182</v>
          </cell>
          <cell r="AC49" t="str">
            <v/>
          </cell>
          <cell r="AD49" t="str">
            <v/>
          </cell>
          <cell r="AE49" t="str">
            <v/>
          </cell>
          <cell r="AF49" t="str">
            <v/>
          </cell>
          <cell r="AG49" t="str">
            <v/>
          </cell>
          <cell r="AH49" t="str">
            <v/>
          </cell>
          <cell r="AI49"/>
          <cell r="AJ49">
            <v>193.46435706321972</v>
          </cell>
          <cell r="AK49" t="str">
            <v/>
          </cell>
          <cell r="AL49" t="str">
            <v/>
          </cell>
          <cell r="AM49" t="str">
            <v/>
          </cell>
          <cell r="AN49" t="str">
            <v/>
          </cell>
        </row>
        <row r="50">
          <cell r="B50">
            <v>40118</v>
          </cell>
          <cell r="C50"/>
          <cell r="D50" t="str">
            <v>Global</v>
          </cell>
          <cell r="E50"/>
          <cell r="F50" t="str">
            <v/>
          </cell>
          <cell r="G50" t="str">
            <v/>
          </cell>
          <cell r="H50" t="str">
            <v/>
          </cell>
          <cell r="I50"/>
          <cell r="J50"/>
          <cell r="K50" t="str">
            <v/>
          </cell>
          <cell r="L50" t="str">
            <v/>
          </cell>
          <cell r="M50" t="str">
            <v/>
          </cell>
          <cell r="N50" t="str">
            <v/>
          </cell>
          <cell r="O50"/>
          <cell r="P50"/>
          <cell r="Q50"/>
          <cell r="R50">
            <v>40118</v>
          </cell>
          <cell r="S50"/>
          <cell r="T50"/>
          <cell r="U50"/>
          <cell r="V50"/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 t="str">
            <v/>
          </cell>
          <cell r="AL50" t="str">
            <v/>
          </cell>
          <cell r="AM50"/>
          <cell r="AN50"/>
        </row>
      </sheetData>
      <sheetData sheetId="77"/>
      <sheetData sheetId="78">
        <row r="10">
          <cell r="B10"/>
          <cell r="C10"/>
          <cell r="D10"/>
          <cell r="E10"/>
          <cell r="F10"/>
          <cell r="G10"/>
          <cell r="H10"/>
          <cell r="I10"/>
          <cell r="J10"/>
          <cell r="K10"/>
          <cell r="L10"/>
          <cell r="Y10" t="str">
            <v>Grado de endeudamiento</v>
          </cell>
          <cell r="Z10"/>
          <cell r="AA10"/>
          <cell r="AB10"/>
          <cell r="AC10"/>
          <cell r="AD10"/>
          <cell r="AE10"/>
          <cell r="AF10"/>
          <cell r="AG10"/>
          <cell r="AH10"/>
          <cell r="AI10" t="str">
            <v>Acum. Grado de endeudamiento</v>
          </cell>
          <cell r="AJ10"/>
          <cell r="AK10"/>
          <cell r="AL10"/>
          <cell r="AM10"/>
          <cell r="AN10"/>
          <cell r="AO10"/>
          <cell r="AP10"/>
          <cell r="AQ10"/>
          <cell r="AR10"/>
        </row>
        <row r="11">
          <cell r="B11"/>
          <cell r="C11"/>
          <cell r="D11" t="str">
            <v>Act. Cte.</v>
          </cell>
          <cell r="E11" t="str">
            <v>Pas. Total.</v>
          </cell>
          <cell r="F11" t="str">
            <v>Patrimonio</v>
          </cell>
          <cell r="G11" t="str">
            <v>Apalan.</v>
          </cell>
          <cell r="H11"/>
          <cell r="I11"/>
          <cell r="J11"/>
          <cell r="K11"/>
          <cell r="L11"/>
          <cell r="M11" t="str">
            <v>Act. Cte.</v>
          </cell>
          <cell r="N11" t="str">
            <v>Acumulado mensual</v>
          </cell>
          <cell r="O11"/>
          <cell r="P11"/>
          <cell r="Q11"/>
          <cell r="R11"/>
          <cell r="S11"/>
          <cell r="T11"/>
          <cell r="U11"/>
          <cell r="V11"/>
          <cell r="W11"/>
          <cell r="X11"/>
          <cell r="Y11"/>
          <cell r="Z11" t="str">
            <v>Valores del mes</v>
          </cell>
          <cell r="AA11"/>
          <cell r="AB11" t="str">
            <v>Var 1.</v>
          </cell>
          <cell r="AC11"/>
          <cell r="AD11"/>
          <cell r="AE11" t="str">
            <v>Límites Mensual</v>
          </cell>
          <cell r="AF11"/>
          <cell r="AG11" t="str">
            <v>Acum. 
Anual Ant.</v>
          </cell>
          <cell r="AH11" t="str">
            <v>Avance 
del Año</v>
          </cell>
          <cell r="AI11"/>
          <cell r="AJ11" t="str">
            <v>Valores del mes</v>
          </cell>
          <cell r="AK11"/>
          <cell r="AL11" t="str">
            <v>Var 1.</v>
          </cell>
          <cell r="AM11"/>
          <cell r="AN11"/>
          <cell r="AO11" t="str">
            <v>Límites Mensual</v>
          </cell>
          <cell r="AP11"/>
          <cell r="AQ11" t="str">
            <v>Acum. 
Anual Ant.</v>
          </cell>
          <cell r="AR11" t="str">
            <v>Avance 
del Año</v>
          </cell>
        </row>
        <row r="12">
          <cell r="B12" t="str">
            <v>Mes-Año</v>
          </cell>
          <cell r="C12"/>
          <cell r="D12"/>
          <cell r="E12"/>
          <cell r="F12"/>
          <cell r="G12"/>
          <cell r="H12" t="str">
            <v>Performance</v>
          </cell>
          <cell r="I12"/>
          <cell r="J12"/>
          <cell r="K12" t="str">
            <v>Sup</v>
          </cell>
          <cell r="L12" t="str">
            <v>Inf</v>
          </cell>
          <cell r="M12"/>
          <cell r="N12" t="str">
            <v>Pas. Total.</v>
          </cell>
          <cell r="O12" t="str">
            <v>Patrimonio</v>
          </cell>
          <cell r="P12" t="str">
            <v>Apalan.</v>
          </cell>
          <cell r="Q12" t="str">
            <v>Performance</v>
          </cell>
          <cell r="R12"/>
          <cell r="S12"/>
          <cell r="T12" t="str">
            <v>Sup</v>
          </cell>
          <cell r="U12" t="str">
            <v>Inf</v>
          </cell>
          <cell r="V12"/>
          <cell r="W12"/>
          <cell r="X12"/>
          <cell r="Y12" t="str">
            <v>Fecha</v>
          </cell>
          <cell r="Z12" t="str">
            <v>Anteriores</v>
          </cell>
          <cell r="AA12" t="str">
            <v>Real</v>
          </cell>
          <cell r="AB12" t="str">
            <v>Unidades</v>
          </cell>
          <cell r="AC12" t="str">
            <v>%</v>
          </cell>
          <cell r="AD12" t="str">
            <v>Mes-Año</v>
          </cell>
          <cell r="AE12" t="str">
            <v>Superior</v>
          </cell>
          <cell r="AF12" t="str">
            <v>Inferior</v>
          </cell>
          <cell r="AG12"/>
          <cell r="AH12"/>
          <cell r="AI12" t="str">
            <v>Fecha</v>
          </cell>
          <cell r="AJ12" t="str">
            <v>Anteriores</v>
          </cell>
          <cell r="AK12" t="str">
            <v>Real</v>
          </cell>
          <cell r="AL12" t="str">
            <v>Unidades</v>
          </cell>
          <cell r="AM12" t="str">
            <v>%</v>
          </cell>
          <cell r="AN12" t="str">
            <v>Mes-Año</v>
          </cell>
          <cell r="AO12" t="str">
            <v>Superior</v>
          </cell>
          <cell r="AP12" t="str">
            <v>Inferior</v>
          </cell>
          <cell r="AQ12"/>
          <cell r="AR12"/>
        </row>
        <row r="13">
          <cell r="B13">
            <v>39083</v>
          </cell>
          <cell r="C13"/>
          <cell r="D13">
            <v>4500</v>
          </cell>
          <cell r="E13">
            <v>112055868.09909999</v>
          </cell>
          <cell r="F13">
            <v>155296295.24584702</v>
          </cell>
          <cell r="G13">
            <v>0.72156175987138771</v>
          </cell>
          <cell r="H13" t="str">
            <v>g</v>
          </cell>
          <cell r="I13" t="str">
            <v>c</v>
          </cell>
          <cell r="J13" t="str">
            <v>c</v>
          </cell>
          <cell r="K13">
            <v>1.1000000000000001</v>
          </cell>
          <cell r="L13">
            <v>0.8</v>
          </cell>
          <cell r="M13"/>
          <cell r="N13">
            <v>112055868.09909999</v>
          </cell>
          <cell r="O13">
            <v>155296295.24584702</v>
          </cell>
          <cell r="P13">
            <v>0.72156175987138771</v>
          </cell>
          <cell r="Q13" t="str">
            <v>c</v>
          </cell>
          <cell r="R13" t="str">
            <v>c</v>
          </cell>
          <cell r="S13" t="str">
            <v>g</v>
          </cell>
          <cell r="T13">
            <v>0.4</v>
          </cell>
          <cell r="U13">
            <v>0.3</v>
          </cell>
          <cell r="V13"/>
          <cell r="W13"/>
          <cell r="X13"/>
          <cell r="Y13">
            <v>39083</v>
          </cell>
          <cell r="Z13"/>
          <cell r="AA13">
            <v>0.72156175987138771</v>
          </cell>
          <cell r="AB13">
            <v>0.72156175987138771</v>
          </cell>
          <cell r="AC13"/>
          <cell r="AD13">
            <v>39083</v>
          </cell>
          <cell r="AE13">
            <v>0.2</v>
          </cell>
          <cell r="AF13">
            <v>0.1</v>
          </cell>
          <cell r="AG13"/>
          <cell r="AH13"/>
          <cell r="AI13">
            <v>39083</v>
          </cell>
          <cell r="AJ13"/>
          <cell r="AK13">
            <v>0.72156175987138771</v>
          </cell>
          <cell r="AL13">
            <v>0.72156175987138771</v>
          </cell>
          <cell r="AM13"/>
          <cell r="AN13">
            <v>39083</v>
          </cell>
          <cell r="AO13">
            <v>0.2</v>
          </cell>
          <cell r="AP13">
            <v>0.1</v>
          </cell>
          <cell r="AQ13"/>
          <cell r="AR13"/>
        </row>
        <row r="14">
          <cell r="B14">
            <v>39114</v>
          </cell>
          <cell r="C14"/>
          <cell r="D14">
            <v>6000</v>
          </cell>
          <cell r="E14">
            <v>113081417.7991</v>
          </cell>
          <cell r="F14">
            <v>157215407.545847</v>
          </cell>
          <cell r="G14">
            <v>0.71927694342631976</v>
          </cell>
          <cell r="H14" t="str">
            <v>g</v>
          </cell>
          <cell r="I14" t="str">
            <v>c</v>
          </cell>
          <cell r="J14" t="str">
            <v>c</v>
          </cell>
          <cell r="K14">
            <v>1.1000000000000001</v>
          </cell>
          <cell r="L14">
            <v>0.8</v>
          </cell>
          <cell r="M14"/>
          <cell r="N14">
            <v>225137285.89819998</v>
          </cell>
          <cell r="O14">
            <v>312511702.79169405</v>
          </cell>
          <cell r="P14">
            <v>0.72041233620062595</v>
          </cell>
          <cell r="Q14" t="str">
            <v>c</v>
          </cell>
          <cell r="R14" t="str">
            <v>c</v>
          </cell>
          <cell r="S14" t="str">
            <v>g</v>
          </cell>
          <cell r="T14">
            <v>0.4</v>
          </cell>
          <cell r="U14">
            <v>0.3</v>
          </cell>
          <cell r="V14"/>
          <cell r="W14"/>
          <cell r="X14"/>
          <cell r="Y14">
            <v>39114</v>
          </cell>
          <cell r="Z14"/>
          <cell r="AA14">
            <v>0.71927694342631976</v>
          </cell>
          <cell r="AB14">
            <v>0.71927694342631976</v>
          </cell>
          <cell r="AC14"/>
          <cell r="AD14">
            <v>39114</v>
          </cell>
          <cell r="AE14">
            <v>0.2</v>
          </cell>
          <cell r="AF14">
            <v>0.1</v>
          </cell>
          <cell r="AG14"/>
          <cell r="AH14"/>
          <cell r="AI14">
            <v>39114</v>
          </cell>
          <cell r="AJ14"/>
          <cell r="AK14">
            <v>0.72041233620062595</v>
          </cell>
          <cell r="AL14">
            <v>0.72041233620062595</v>
          </cell>
          <cell r="AM14"/>
          <cell r="AN14">
            <v>39114</v>
          </cell>
          <cell r="AO14">
            <v>0.2</v>
          </cell>
          <cell r="AP14">
            <v>0.1</v>
          </cell>
          <cell r="AQ14"/>
          <cell r="AR14"/>
        </row>
        <row r="15">
          <cell r="B15">
            <v>39142</v>
          </cell>
          <cell r="C15"/>
          <cell r="D15">
            <v>7000</v>
          </cell>
          <cell r="E15">
            <v>114791421.854331</v>
          </cell>
          <cell r="F15">
            <v>155607916.891516</v>
          </cell>
          <cell r="G15">
            <v>0.73769653978697802</v>
          </cell>
          <cell r="H15" t="str">
            <v>g</v>
          </cell>
          <cell r="I15" t="str">
            <v>c</v>
          </cell>
          <cell r="J15" t="str">
            <v>c</v>
          </cell>
          <cell r="K15">
            <v>1.1000000000000001</v>
          </cell>
          <cell r="L15">
            <v>0.8</v>
          </cell>
          <cell r="M15"/>
          <cell r="N15">
            <v>339928707.75253099</v>
          </cell>
          <cell r="O15">
            <v>468119619.68321002</v>
          </cell>
          <cell r="P15">
            <v>0.72615778843572187</v>
          </cell>
          <cell r="Q15" t="str">
            <v>c</v>
          </cell>
          <cell r="R15" t="str">
            <v>c</v>
          </cell>
          <cell r="S15" t="str">
            <v>g</v>
          </cell>
          <cell r="T15">
            <v>0.4</v>
          </cell>
          <cell r="U15">
            <v>0.3</v>
          </cell>
          <cell r="V15"/>
          <cell r="W15"/>
          <cell r="X15"/>
          <cell r="Y15">
            <v>39142</v>
          </cell>
          <cell r="Z15"/>
          <cell r="AA15">
            <v>0.73769653978697802</v>
          </cell>
          <cell r="AB15">
            <v>0.73769653978697802</v>
          </cell>
          <cell r="AC15"/>
          <cell r="AD15">
            <v>39142</v>
          </cell>
          <cell r="AE15">
            <v>0.2</v>
          </cell>
          <cell r="AF15">
            <v>0.1</v>
          </cell>
          <cell r="AG15"/>
          <cell r="AH15"/>
          <cell r="AI15">
            <v>39142</v>
          </cell>
          <cell r="AJ15"/>
          <cell r="AK15">
            <v>0.72615778843572187</v>
          </cell>
          <cell r="AL15">
            <v>0.72615778843572187</v>
          </cell>
          <cell r="AM15"/>
          <cell r="AN15">
            <v>39142</v>
          </cell>
          <cell r="AO15">
            <v>0.2</v>
          </cell>
          <cell r="AP15">
            <v>0.1</v>
          </cell>
          <cell r="AQ15"/>
          <cell r="AR15"/>
        </row>
        <row r="16">
          <cell r="B16">
            <v>39173</v>
          </cell>
          <cell r="C16"/>
          <cell r="D16"/>
          <cell r="E16">
            <v>111537142.63</v>
          </cell>
          <cell r="F16">
            <v>157456387.261516</v>
          </cell>
          <cell r="G16">
            <v>0.7083684858382423</v>
          </cell>
          <cell r="H16" t="str">
            <v>g</v>
          </cell>
          <cell r="I16" t="str">
            <v>c</v>
          </cell>
          <cell r="J16" t="str">
            <v>c</v>
          </cell>
          <cell r="K16">
            <v>1.1000000000000001</v>
          </cell>
          <cell r="L16">
            <v>0.8</v>
          </cell>
          <cell r="M16"/>
          <cell r="N16">
            <v>451465850.38253099</v>
          </cell>
          <cell r="O16">
            <v>625576006.94472599</v>
          </cell>
          <cell r="P16">
            <v>0.72168025207274478</v>
          </cell>
          <cell r="Q16" t="str">
            <v>c</v>
          </cell>
          <cell r="R16" t="str">
            <v>c</v>
          </cell>
          <cell r="S16" t="str">
            <v>g</v>
          </cell>
          <cell r="T16">
            <v>0.4</v>
          </cell>
          <cell r="U16">
            <v>0.3</v>
          </cell>
          <cell r="V16"/>
          <cell r="W16"/>
          <cell r="X16"/>
          <cell r="Y16">
            <v>39173</v>
          </cell>
          <cell r="Z16"/>
          <cell r="AA16">
            <v>0.7083684858382423</v>
          </cell>
          <cell r="AB16">
            <v>0.7083684858382423</v>
          </cell>
          <cell r="AC16"/>
          <cell r="AD16"/>
          <cell r="AE16"/>
          <cell r="AF16"/>
          <cell r="AG16"/>
          <cell r="AH16"/>
          <cell r="AI16">
            <v>39173</v>
          </cell>
          <cell r="AJ16"/>
          <cell r="AK16">
            <v>0.72168025207274478</v>
          </cell>
          <cell r="AL16">
            <v>0.72168025207274478</v>
          </cell>
          <cell r="AM16"/>
          <cell r="AN16"/>
          <cell r="AO16"/>
          <cell r="AP16"/>
          <cell r="AQ16"/>
          <cell r="AR16"/>
        </row>
        <row r="17">
          <cell r="B17">
            <v>39203</v>
          </cell>
          <cell r="C17"/>
          <cell r="D17"/>
          <cell r="E17">
            <v>121734449.6110386</v>
          </cell>
          <cell r="F17">
            <v>159693211.65047744</v>
          </cell>
          <cell r="G17">
            <v>0.76230196858636878</v>
          </cell>
          <cell r="H17" t="str">
            <v>g</v>
          </cell>
          <cell r="I17" t="str">
            <v>c</v>
          </cell>
          <cell r="J17" t="str">
            <v>c</v>
          </cell>
          <cell r="K17">
            <v>1.1000000000000001</v>
          </cell>
          <cell r="L17">
            <v>0.8</v>
          </cell>
          <cell r="M17"/>
          <cell r="N17">
            <v>573200299.99356961</v>
          </cell>
          <cell r="O17">
            <v>785269218.5952034</v>
          </cell>
          <cell r="P17">
            <v>0.72994112900412478</v>
          </cell>
          <cell r="Q17" t="str">
            <v>c</v>
          </cell>
          <cell r="R17" t="str">
            <v>c</v>
          </cell>
          <cell r="S17" t="str">
            <v>g</v>
          </cell>
          <cell r="T17">
            <v>0.4</v>
          </cell>
          <cell r="U17">
            <v>0.3</v>
          </cell>
          <cell r="V17"/>
          <cell r="W17"/>
          <cell r="X17"/>
          <cell r="Y17">
            <v>39203</v>
          </cell>
          <cell r="Z17"/>
          <cell r="AA17">
            <v>0.76230196858636878</v>
          </cell>
          <cell r="AB17">
            <v>0.76230196858636878</v>
          </cell>
          <cell r="AC17"/>
          <cell r="AD17"/>
          <cell r="AE17"/>
          <cell r="AF17"/>
          <cell r="AG17"/>
          <cell r="AH17"/>
          <cell r="AI17">
            <v>39203</v>
          </cell>
          <cell r="AJ17"/>
          <cell r="AK17">
            <v>0.72994112900412478</v>
          </cell>
          <cell r="AL17">
            <v>0.72994112900412478</v>
          </cell>
          <cell r="AM17"/>
          <cell r="AN17"/>
          <cell r="AO17"/>
          <cell r="AP17"/>
          <cell r="AQ17"/>
          <cell r="AR17"/>
        </row>
        <row r="18">
          <cell r="B18">
            <v>39234</v>
          </cell>
          <cell r="C18"/>
          <cell r="D18"/>
          <cell r="E18">
            <v>119538932.06</v>
          </cell>
          <cell r="F18">
            <v>162048910.59047744</v>
          </cell>
          <cell r="G18">
            <v>0.73767192648454949</v>
          </cell>
          <cell r="H18" t="str">
            <v>g</v>
          </cell>
          <cell r="I18" t="str">
            <v>c</v>
          </cell>
          <cell r="J18" t="str">
            <v>c</v>
          </cell>
          <cell r="K18">
            <v>1.1000000000000001</v>
          </cell>
          <cell r="L18">
            <v>0.8</v>
          </cell>
          <cell r="M18"/>
          <cell r="N18">
            <v>692739232.05356956</v>
          </cell>
          <cell r="O18">
            <v>947318129.18568087</v>
          </cell>
          <cell r="P18">
            <v>0.73126356470033094</v>
          </cell>
          <cell r="Q18" t="str">
            <v>c</v>
          </cell>
          <cell r="R18" t="str">
            <v>c</v>
          </cell>
          <cell r="S18" t="str">
            <v>g</v>
          </cell>
          <cell r="T18">
            <v>0.4</v>
          </cell>
          <cell r="U18">
            <v>0.3</v>
          </cell>
          <cell r="V18"/>
          <cell r="W18"/>
          <cell r="X18"/>
          <cell r="Y18">
            <v>39234</v>
          </cell>
          <cell r="Z18"/>
          <cell r="AA18">
            <v>0.73767192648454949</v>
          </cell>
          <cell r="AB18">
            <v>0.73767192648454949</v>
          </cell>
          <cell r="AC18"/>
          <cell r="AD18"/>
          <cell r="AE18"/>
          <cell r="AF18"/>
          <cell r="AG18"/>
          <cell r="AH18"/>
          <cell r="AI18">
            <v>39234</v>
          </cell>
          <cell r="AJ18"/>
          <cell r="AK18">
            <v>0.73126356470033094</v>
          </cell>
          <cell r="AL18">
            <v>0.73126356470033094</v>
          </cell>
          <cell r="AM18"/>
          <cell r="AN18"/>
          <cell r="AO18"/>
          <cell r="AP18"/>
          <cell r="AQ18"/>
          <cell r="AR18"/>
        </row>
        <row r="19">
          <cell r="B19">
            <v>39264</v>
          </cell>
          <cell r="C19"/>
          <cell r="D19"/>
          <cell r="E19">
            <v>123479743.55853565</v>
          </cell>
          <cell r="F19">
            <v>164957382.42194176</v>
          </cell>
          <cell r="G19">
            <v>0.74855542532003116</v>
          </cell>
          <cell r="H19" t="str">
            <v>g</v>
          </cell>
          <cell r="I19" t="str">
            <v>c</v>
          </cell>
          <cell r="J19" t="str">
            <v>c</v>
          </cell>
          <cell r="K19">
            <v>1.1000000000000001</v>
          </cell>
          <cell r="L19">
            <v>0.8</v>
          </cell>
          <cell r="M19"/>
          <cell r="N19">
            <v>816218975.61210525</v>
          </cell>
          <cell r="O19">
            <v>1112275511.6076226</v>
          </cell>
          <cell r="P19">
            <v>0.73382805527417094</v>
          </cell>
          <cell r="Q19" t="str">
            <v>c</v>
          </cell>
          <cell r="R19" t="str">
            <v>c</v>
          </cell>
          <cell r="S19" t="str">
            <v>g</v>
          </cell>
          <cell r="T19">
            <v>0.4</v>
          </cell>
          <cell r="U19">
            <v>0.3</v>
          </cell>
          <cell r="V19"/>
          <cell r="W19"/>
          <cell r="X19"/>
          <cell r="Y19">
            <v>39264</v>
          </cell>
          <cell r="Z19"/>
          <cell r="AA19">
            <v>0.74855542532003116</v>
          </cell>
          <cell r="AB19">
            <v>0.74855542532003116</v>
          </cell>
          <cell r="AC19"/>
          <cell r="AD19"/>
          <cell r="AE19"/>
          <cell r="AF19"/>
          <cell r="AG19"/>
          <cell r="AH19"/>
          <cell r="AI19">
            <v>39264</v>
          </cell>
          <cell r="AJ19"/>
          <cell r="AK19">
            <v>0.73382805527417094</v>
          </cell>
          <cell r="AL19">
            <v>0.73382805527417094</v>
          </cell>
          <cell r="AM19"/>
          <cell r="AN19"/>
          <cell r="AO19"/>
          <cell r="AP19"/>
          <cell r="AQ19"/>
          <cell r="AR19"/>
        </row>
        <row r="20">
          <cell r="B20">
            <v>39295</v>
          </cell>
          <cell r="C20"/>
          <cell r="D20"/>
          <cell r="E20">
            <v>141552395.52952436</v>
          </cell>
          <cell r="F20">
            <v>93208033.153926313</v>
          </cell>
          <cell r="G20">
            <v>1.5186716288258206</v>
          </cell>
          <cell r="H20" t="str">
            <v>c</v>
          </cell>
          <cell r="I20" t="str">
            <v>c</v>
          </cell>
          <cell r="J20" t="str">
            <v>g</v>
          </cell>
          <cell r="K20">
            <v>1.1000000000000001</v>
          </cell>
          <cell r="L20">
            <v>0.8</v>
          </cell>
          <cell r="M20"/>
          <cell r="N20">
            <v>957771371.14162958</v>
          </cell>
          <cell r="O20">
            <v>1205483544.761549</v>
          </cell>
          <cell r="P20">
            <v>0.7945121899868669</v>
          </cell>
          <cell r="Q20" t="str">
            <v>c</v>
          </cell>
          <cell r="R20" t="str">
            <v>c</v>
          </cell>
          <cell r="S20" t="str">
            <v>g</v>
          </cell>
          <cell r="T20">
            <v>0.4</v>
          </cell>
          <cell r="U20">
            <v>0.3</v>
          </cell>
          <cell r="V20"/>
          <cell r="W20"/>
          <cell r="X20"/>
          <cell r="Y20">
            <v>39295</v>
          </cell>
          <cell r="Z20"/>
          <cell r="AA20">
            <v>1.5186716288258206</v>
          </cell>
          <cell r="AB20">
            <v>1.5186716288258206</v>
          </cell>
          <cell r="AC20"/>
          <cell r="AD20"/>
          <cell r="AE20"/>
          <cell r="AF20"/>
          <cell r="AG20"/>
          <cell r="AH20"/>
          <cell r="AI20">
            <v>39295</v>
          </cell>
          <cell r="AJ20"/>
          <cell r="AK20">
            <v>0.7945121899868669</v>
          </cell>
          <cell r="AL20">
            <v>0.7945121899868669</v>
          </cell>
          <cell r="AM20"/>
          <cell r="AN20"/>
          <cell r="AO20"/>
          <cell r="AP20"/>
          <cell r="AQ20"/>
          <cell r="AR20"/>
        </row>
        <row r="21">
          <cell r="B21">
            <v>39326</v>
          </cell>
          <cell r="C21"/>
          <cell r="D21"/>
          <cell r="E21">
            <v>132879584.87301928</v>
          </cell>
          <cell r="F21">
            <v>109911756.183907</v>
          </cell>
          <cell r="G21">
            <v>1.2089660786666165</v>
          </cell>
          <cell r="H21" t="str">
            <v>c</v>
          </cell>
          <cell r="I21" t="str">
            <v>c</v>
          </cell>
          <cell r="J21" t="str">
            <v>g</v>
          </cell>
          <cell r="K21">
            <v>1.1000000000000001</v>
          </cell>
          <cell r="L21">
            <v>0.8</v>
          </cell>
          <cell r="M21"/>
          <cell r="N21">
            <v>1090650956.0146489</v>
          </cell>
          <cell r="O21">
            <v>1315395300.945456</v>
          </cell>
          <cell r="P21">
            <v>0.82914311403631336</v>
          </cell>
          <cell r="Q21" t="str">
            <v>c</v>
          </cell>
          <cell r="R21" t="str">
            <v>c</v>
          </cell>
          <cell r="S21" t="str">
            <v>g</v>
          </cell>
          <cell r="T21">
            <v>0.4</v>
          </cell>
          <cell r="U21">
            <v>0.3</v>
          </cell>
          <cell r="V21"/>
          <cell r="W21"/>
          <cell r="X21"/>
          <cell r="Y21">
            <v>39326</v>
          </cell>
          <cell r="Z21"/>
          <cell r="AA21">
            <v>1.2089660786666165</v>
          </cell>
          <cell r="AB21">
            <v>1.2089660786666165</v>
          </cell>
          <cell r="AC21"/>
          <cell r="AD21"/>
          <cell r="AE21"/>
          <cell r="AF21"/>
          <cell r="AG21"/>
          <cell r="AH21"/>
          <cell r="AI21">
            <v>39326</v>
          </cell>
          <cell r="AJ21"/>
          <cell r="AK21">
            <v>0.82914311403631336</v>
          </cell>
          <cell r="AL21">
            <v>0.82914311403631336</v>
          </cell>
          <cell r="AM21"/>
          <cell r="AN21"/>
          <cell r="AO21"/>
          <cell r="AP21"/>
          <cell r="AQ21"/>
          <cell r="AR21"/>
        </row>
        <row r="22">
          <cell r="B22">
            <v>39356</v>
          </cell>
          <cell r="C22"/>
          <cell r="D22"/>
          <cell r="E22">
            <v>129400094.08445111</v>
          </cell>
          <cell r="F22">
            <v>98074016.51945588</v>
          </cell>
          <cell r="G22">
            <v>1.3194126097484828</v>
          </cell>
          <cell r="H22" t="str">
            <v>c</v>
          </cell>
          <cell r="I22" t="str">
            <v>c</v>
          </cell>
          <cell r="J22" t="str">
            <v>g</v>
          </cell>
          <cell r="K22">
            <v>1.1000000000000001</v>
          </cell>
          <cell r="L22">
            <v>0.8</v>
          </cell>
          <cell r="M22"/>
          <cell r="N22">
            <v>1220051050.0991001</v>
          </cell>
          <cell r="O22">
            <v>1413469317.4649119</v>
          </cell>
          <cell r="P22">
            <v>0.86316061836226365</v>
          </cell>
          <cell r="Q22" t="str">
            <v>c</v>
          </cell>
          <cell r="R22" t="str">
            <v>c</v>
          </cell>
          <cell r="S22" t="str">
            <v>g</v>
          </cell>
          <cell r="T22">
            <v>0.4</v>
          </cell>
          <cell r="U22">
            <v>0.3</v>
          </cell>
          <cell r="V22"/>
          <cell r="W22"/>
          <cell r="X22"/>
          <cell r="Y22">
            <v>39356</v>
          </cell>
          <cell r="Z22"/>
          <cell r="AA22">
            <v>1.3194126097484828</v>
          </cell>
          <cell r="AB22">
            <v>1.3194126097484828</v>
          </cell>
          <cell r="AC22"/>
          <cell r="AD22"/>
          <cell r="AE22"/>
          <cell r="AF22"/>
          <cell r="AG22"/>
          <cell r="AH22"/>
          <cell r="AI22">
            <v>39356</v>
          </cell>
          <cell r="AJ22"/>
          <cell r="AK22">
            <v>0.86316061836226365</v>
          </cell>
          <cell r="AL22">
            <v>0.86316061836226365</v>
          </cell>
          <cell r="AM22"/>
          <cell r="AN22"/>
          <cell r="AO22"/>
          <cell r="AP22"/>
          <cell r="AQ22"/>
          <cell r="AR22"/>
        </row>
        <row r="23">
          <cell r="B23">
            <v>39387</v>
          </cell>
          <cell r="C23"/>
          <cell r="D23"/>
          <cell r="E23">
            <v>141051102.09999999</v>
          </cell>
          <cell r="F23">
            <v>100219742.16945593</v>
          </cell>
          <cell r="G23">
            <v>1.407418329429591</v>
          </cell>
          <cell r="H23" t="str">
            <v>c</v>
          </cell>
          <cell r="I23" t="str">
            <v>c</v>
          </cell>
          <cell r="J23" t="str">
            <v>g</v>
          </cell>
          <cell r="K23">
            <v>1.1000000000000001</v>
          </cell>
          <cell r="L23">
            <v>0.8</v>
          </cell>
          <cell r="M23"/>
          <cell r="N23">
            <v>1361102152.1991</v>
          </cell>
          <cell r="O23">
            <v>1513689059.6343679</v>
          </cell>
          <cell r="P23">
            <v>0.89919534235642473</v>
          </cell>
          <cell r="Q23" t="str">
            <v>c</v>
          </cell>
          <cell r="R23" t="str">
            <v>c</v>
          </cell>
          <cell r="S23" t="str">
            <v>g</v>
          </cell>
          <cell r="T23">
            <v>0.4</v>
          </cell>
          <cell r="U23">
            <v>0.3</v>
          </cell>
          <cell r="V23"/>
          <cell r="W23"/>
          <cell r="X23"/>
          <cell r="Y23">
            <v>39387</v>
          </cell>
          <cell r="Z23"/>
          <cell r="AA23">
            <v>1.407418329429591</v>
          </cell>
          <cell r="AB23">
            <v>1.407418329429591</v>
          </cell>
          <cell r="AC23"/>
          <cell r="AD23"/>
          <cell r="AE23"/>
          <cell r="AF23"/>
          <cell r="AG23"/>
          <cell r="AH23"/>
          <cell r="AI23">
            <v>39387</v>
          </cell>
          <cell r="AJ23"/>
          <cell r="AK23">
            <v>0.89919534235642473</v>
          </cell>
          <cell r="AL23">
            <v>0.89919534235642473</v>
          </cell>
          <cell r="AM23"/>
          <cell r="AN23"/>
          <cell r="AO23"/>
          <cell r="AP23"/>
          <cell r="AQ23"/>
          <cell r="AR23"/>
        </row>
        <row r="24">
          <cell r="B24">
            <v>39417</v>
          </cell>
          <cell r="C24"/>
          <cell r="D24"/>
          <cell r="E24">
            <v>131533625.20061199</v>
          </cell>
          <cell r="F24">
            <v>120722262.20884401</v>
          </cell>
          <cell r="G24">
            <v>1.0895556693020283</v>
          </cell>
          <cell r="H24" t="str">
            <v>c</v>
          </cell>
          <cell r="I24" t="str">
            <v>g</v>
          </cell>
          <cell r="J24" t="str">
            <v>c</v>
          </cell>
          <cell r="K24">
            <v>1.1000000000000001</v>
          </cell>
          <cell r="L24">
            <v>0.8</v>
          </cell>
          <cell r="M24"/>
          <cell r="N24">
            <v>1492635777.3997121</v>
          </cell>
          <cell r="O24">
            <v>1634411321.8432119</v>
          </cell>
          <cell r="P24">
            <v>0.91325589675699748</v>
          </cell>
          <cell r="Q24" t="str">
            <v>c</v>
          </cell>
          <cell r="R24" t="str">
            <v>c</v>
          </cell>
          <cell r="S24" t="str">
            <v>g</v>
          </cell>
          <cell r="T24">
            <v>0.4</v>
          </cell>
          <cell r="U24">
            <v>0.3</v>
          </cell>
          <cell r="V24"/>
          <cell r="W24"/>
          <cell r="X24"/>
          <cell r="Y24">
            <v>39417</v>
          </cell>
          <cell r="Z24"/>
          <cell r="AA24">
            <v>1.0895556693020283</v>
          </cell>
          <cell r="AB24">
            <v>1.0895556693020283</v>
          </cell>
          <cell r="AC24"/>
          <cell r="AD24"/>
          <cell r="AE24"/>
          <cell r="AF24"/>
          <cell r="AG24"/>
          <cell r="AH24"/>
          <cell r="AI24">
            <v>39417</v>
          </cell>
          <cell r="AJ24"/>
          <cell r="AK24">
            <v>0.91325589675699748</v>
          </cell>
          <cell r="AL24">
            <v>0.91325589675699748</v>
          </cell>
          <cell r="AM24"/>
          <cell r="AN24"/>
          <cell r="AO24"/>
          <cell r="AP24"/>
          <cell r="AQ24"/>
          <cell r="AR24"/>
        </row>
        <row r="25">
          <cell r="B25">
            <v>39448</v>
          </cell>
          <cell r="C25"/>
          <cell r="D25"/>
          <cell r="E25">
            <v>151796580.39061159</v>
          </cell>
          <cell r="F25">
            <v>106754898.87938844</v>
          </cell>
          <cell r="G25">
            <v>1.4219167643267705</v>
          </cell>
          <cell r="H25" t="str">
            <v>c</v>
          </cell>
          <cell r="I25" t="str">
            <v>c</v>
          </cell>
          <cell r="J25" t="str">
            <v>g</v>
          </cell>
          <cell r="K25">
            <v>1.1000000000000001</v>
          </cell>
          <cell r="L25">
            <v>0.8</v>
          </cell>
          <cell r="M25"/>
          <cell r="N25">
            <v>151796580.39061159</v>
          </cell>
          <cell r="O25">
            <v>106754898.87938844</v>
          </cell>
          <cell r="P25">
            <v>1.4219167643267705</v>
          </cell>
          <cell r="Q25" t="str">
            <v>c</v>
          </cell>
          <cell r="R25" t="str">
            <v>c</v>
          </cell>
          <cell r="S25" t="str">
            <v>g</v>
          </cell>
          <cell r="T25">
            <v>0.4</v>
          </cell>
          <cell r="U25">
            <v>0.3</v>
          </cell>
          <cell r="V25"/>
          <cell r="W25"/>
          <cell r="X25"/>
          <cell r="Y25">
            <v>39448</v>
          </cell>
          <cell r="Z25">
            <v>0.72156175987138771</v>
          </cell>
          <cell r="AA25">
            <v>1.4219167643267705</v>
          </cell>
          <cell r="AB25">
            <v>0.70035500445538279</v>
          </cell>
          <cell r="AC25">
            <v>0.97060992336985152</v>
          </cell>
          <cell r="AD25"/>
          <cell r="AE25"/>
          <cell r="AF25"/>
          <cell r="AG25">
            <v>11.679457365286416</v>
          </cell>
          <cell r="AH25">
            <v>1.4219167643267705</v>
          </cell>
          <cell r="AI25">
            <v>39448</v>
          </cell>
          <cell r="AJ25">
            <v>0.72156175987138771</v>
          </cell>
          <cell r="AK25">
            <v>1.4219167643267705</v>
          </cell>
          <cell r="AL25">
            <v>0.70035500445538279</v>
          </cell>
          <cell r="AM25">
            <v>0.97060992336985152</v>
          </cell>
          <cell r="AN25"/>
          <cell r="AO25"/>
          <cell r="AP25"/>
          <cell r="AQ25">
            <v>9.3841120470579718</v>
          </cell>
          <cell r="AR25">
            <v>1.4219167643267705</v>
          </cell>
        </row>
        <row r="26">
          <cell r="B26">
            <v>39479</v>
          </cell>
          <cell r="C26"/>
          <cell r="D26"/>
          <cell r="E26">
            <v>159383562.9789716</v>
          </cell>
          <cell r="F26">
            <v>108284213.37041686</v>
          </cell>
          <cell r="G26">
            <v>1.4719002707601976</v>
          </cell>
          <cell r="H26" t="str">
            <v>c</v>
          </cell>
          <cell r="I26" t="str">
            <v>c</v>
          </cell>
          <cell r="J26" t="str">
            <v>g</v>
          </cell>
          <cell r="K26">
            <v>1.1000000000000001</v>
          </cell>
          <cell r="L26">
            <v>0.8</v>
          </cell>
          <cell r="M26"/>
          <cell r="N26">
            <v>311180143.36958319</v>
          </cell>
          <cell r="O26">
            <v>215039112.2498053</v>
          </cell>
          <cell r="P26">
            <v>1.4470862538164377</v>
          </cell>
          <cell r="Q26" t="str">
            <v>c</v>
          </cell>
          <cell r="R26" t="str">
            <v>c</v>
          </cell>
          <cell r="S26" t="str">
            <v>g</v>
          </cell>
          <cell r="T26">
            <v>0.4</v>
          </cell>
          <cell r="U26">
            <v>0.3</v>
          </cell>
          <cell r="V26"/>
          <cell r="W26"/>
          <cell r="X26"/>
          <cell r="Y26">
            <v>39479</v>
          </cell>
          <cell r="Z26">
            <v>0.71927694342631976</v>
          </cell>
          <cell r="AA26">
            <v>1.4719002707601976</v>
          </cell>
          <cell r="AB26">
            <v>0.75262332733387782</v>
          </cell>
          <cell r="AC26">
            <v>1.0463609798872606</v>
          </cell>
          <cell r="AD26"/>
          <cell r="AE26"/>
          <cell r="AF26"/>
          <cell r="AG26">
            <v>11.679457365286416</v>
          </cell>
          <cell r="AH26">
            <v>2.8938170350869683</v>
          </cell>
          <cell r="AI26">
            <v>39479</v>
          </cell>
          <cell r="AJ26">
            <v>0.72041233620062595</v>
          </cell>
          <cell r="AK26">
            <v>1.4470862538164377</v>
          </cell>
          <cell r="AL26">
            <v>0.72667391761581179</v>
          </cell>
          <cell r="AM26">
            <v>1.0086916632330434</v>
          </cell>
          <cell r="AN26"/>
          <cell r="AO26"/>
          <cell r="AP26"/>
          <cell r="AQ26">
            <v>9.3841120470579718</v>
          </cell>
          <cell r="AR26">
            <v>2.869003018143208</v>
          </cell>
        </row>
        <row r="27">
          <cell r="B27">
            <v>39508</v>
          </cell>
          <cell r="C27"/>
          <cell r="D27"/>
          <cell r="E27">
            <v>151487800.11648333</v>
          </cell>
          <cell r="F27">
            <v>110324794.39393352</v>
          </cell>
          <cell r="G27">
            <v>1.3731074773234588</v>
          </cell>
          <cell r="H27" t="str">
            <v>c</v>
          </cell>
          <cell r="I27" t="str">
            <v>c</v>
          </cell>
          <cell r="J27" t="str">
            <v>g</v>
          </cell>
          <cell r="K27">
            <v>1.1000000000000001</v>
          </cell>
          <cell r="L27">
            <v>0.8</v>
          </cell>
          <cell r="M27"/>
          <cell r="N27">
            <v>462667943.48606652</v>
          </cell>
          <cell r="O27">
            <v>325363906.64373881</v>
          </cell>
          <cell r="P27">
            <v>1.4220014391229647</v>
          </cell>
          <cell r="Q27" t="str">
            <v>c</v>
          </cell>
          <cell r="R27" t="str">
            <v>c</v>
          </cell>
          <cell r="S27" t="str">
            <v>g</v>
          </cell>
          <cell r="T27">
            <v>0.4</v>
          </cell>
          <cell r="U27">
            <v>0.3</v>
          </cell>
          <cell r="V27"/>
          <cell r="W27"/>
          <cell r="X27"/>
          <cell r="Y27">
            <v>39508</v>
          </cell>
          <cell r="Z27">
            <v>0.73769653978697802</v>
          </cell>
          <cell r="AA27">
            <v>1.3731074773234588</v>
          </cell>
          <cell r="AB27">
            <v>0.63541093753648081</v>
          </cell>
          <cell r="AC27">
            <v>0.86134460888208331</v>
          </cell>
          <cell r="AD27"/>
          <cell r="AE27"/>
          <cell r="AF27"/>
          <cell r="AG27">
            <v>11.679457365286416</v>
          </cell>
          <cell r="AH27">
            <v>4.2669245124104274</v>
          </cell>
          <cell r="AI27">
            <v>39508</v>
          </cell>
          <cell r="AJ27">
            <v>0.72615778843572187</v>
          </cell>
          <cell r="AK27">
            <v>1.4220014391229647</v>
          </cell>
          <cell r="AL27">
            <v>0.69584365068724285</v>
          </cell>
          <cell r="AM27">
            <v>0.95825406236600275</v>
          </cell>
          <cell r="AN27"/>
          <cell r="AO27"/>
          <cell r="AP27"/>
          <cell r="AQ27">
            <v>9.3841120470579718</v>
          </cell>
          <cell r="AR27">
            <v>4.2910044572661725</v>
          </cell>
        </row>
        <row r="28">
          <cell r="B28">
            <v>39539</v>
          </cell>
          <cell r="C28"/>
          <cell r="D28"/>
          <cell r="E28">
            <v>158420088.74812397</v>
          </cell>
          <cell r="F28">
            <v>110686420.14580952</v>
          </cell>
          <cell r="G28">
            <v>1.4312513544067458</v>
          </cell>
          <cell r="H28" t="str">
            <v>c</v>
          </cell>
          <cell r="I28" t="str">
            <v>c</v>
          </cell>
          <cell r="J28" t="str">
            <v>g</v>
          </cell>
          <cell r="K28">
            <v>1.1000000000000001</v>
          </cell>
          <cell r="L28">
            <v>0.8</v>
          </cell>
          <cell r="M28"/>
          <cell r="N28">
            <v>621088032.23419046</v>
          </cell>
          <cell r="O28">
            <v>436050326.78954834</v>
          </cell>
          <cell r="P28">
            <v>1.424349425000998</v>
          </cell>
          <cell r="Q28" t="str">
            <v>c</v>
          </cell>
          <cell r="R28" t="str">
            <v>c</v>
          </cell>
          <cell r="S28" t="str">
            <v>g</v>
          </cell>
          <cell r="T28">
            <v>0.4</v>
          </cell>
          <cell r="U28">
            <v>0.3</v>
          </cell>
          <cell r="V28"/>
          <cell r="W28"/>
          <cell r="X28"/>
          <cell r="Y28">
            <v>39539</v>
          </cell>
          <cell r="Z28">
            <v>0.7083684858382423</v>
          </cell>
          <cell r="AA28">
            <v>1.4312513544067458</v>
          </cell>
          <cell r="AB28">
            <v>0.72288286856850348</v>
          </cell>
          <cell r="AC28">
            <v>1.0204898764138068</v>
          </cell>
          <cell r="AD28"/>
          <cell r="AE28"/>
          <cell r="AF28"/>
          <cell r="AG28">
            <v>11.679457365286416</v>
          </cell>
          <cell r="AH28">
            <v>5.6981758668171736</v>
          </cell>
          <cell r="AI28">
            <v>39539</v>
          </cell>
          <cell r="AJ28">
            <v>0.72168025207274478</v>
          </cell>
          <cell r="AK28">
            <v>1.424349425000998</v>
          </cell>
          <cell r="AL28">
            <v>0.70266917292825326</v>
          </cell>
          <cell r="AM28">
            <v>0.97365719916834403</v>
          </cell>
          <cell r="AN28"/>
          <cell r="AO28"/>
          <cell r="AP28"/>
          <cell r="AQ28">
            <v>9.3841120470579718</v>
          </cell>
          <cell r="AR28">
            <v>5.7153538822671708</v>
          </cell>
        </row>
        <row r="29">
          <cell r="B29">
            <v>39569</v>
          </cell>
          <cell r="C29"/>
          <cell r="D29"/>
          <cell r="E29">
            <v>161222567.72794443</v>
          </cell>
          <cell r="F29">
            <v>112400869.58786507</v>
          </cell>
          <cell r="G29">
            <v>1.4343533846231935</v>
          </cell>
          <cell r="H29" t="str">
            <v>c</v>
          </cell>
          <cell r="I29" t="str">
            <v>c</v>
          </cell>
          <cell r="J29" t="str">
            <v>g</v>
          </cell>
          <cell r="K29">
            <v>1.1000000000000001</v>
          </cell>
          <cell r="L29">
            <v>0.8</v>
          </cell>
          <cell r="M29"/>
          <cell r="N29">
            <v>782310599.96213484</v>
          </cell>
          <cell r="O29">
            <v>548451196.37741339</v>
          </cell>
          <cell r="P29">
            <v>1.4263996598592383</v>
          </cell>
          <cell r="Q29" t="str">
            <v>c</v>
          </cell>
          <cell r="R29" t="str">
            <v>c</v>
          </cell>
          <cell r="S29" t="str">
            <v>g</v>
          </cell>
          <cell r="T29">
            <v>0.4</v>
          </cell>
          <cell r="U29">
            <v>0.3</v>
          </cell>
          <cell r="V29"/>
          <cell r="W29"/>
          <cell r="X29"/>
          <cell r="Y29">
            <v>39569</v>
          </cell>
          <cell r="Z29">
            <v>0.76230196858636878</v>
          </cell>
          <cell r="AA29">
            <v>1.4343533846231935</v>
          </cell>
          <cell r="AB29">
            <v>0.67205141603682472</v>
          </cell>
          <cell r="AC29">
            <v>0.88160787159331777</v>
          </cell>
          <cell r="AD29"/>
          <cell r="AE29"/>
          <cell r="AF29"/>
          <cell r="AG29">
            <v>11.679457365286416</v>
          </cell>
          <cell r="AH29">
            <v>7.1325292514403671</v>
          </cell>
          <cell r="AI29">
            <v>39569</v>
          </cell>
          <cell r="AJ29">
            <v>0.72994112900412478</v>
          </cell>
          <cell r="AK29">
            <v>1.4263996598592383</v>
          </cell>
          <cell r="AL29">
            <v>0.69645853085511356</v>
          </cell>
          <cell r="AM29">
            <v>0.9541297279758818</v>
          </cell>
          <cell r="AN29"/>
          <cell r="AO29"/>
          <cell r="AP29"/>
          <cell r="AQ29">
            <v>9.3841120470579718</v>
          </cell>
          <cell r="AR29">
            <v>7.1417535421264091</v>
          </cell>
        </row>
        <row r="30">
          <cell r="B30">
            <v>39600</v>
          </cell>
          <cell r="C30"/>
          <cell r="D30"/>
          <cell r="E30">
            <v>168607747.19525623</v>
          </cell>
          <cell r="F30">
            <v>112594180.26260884</v>
          </cell>
          <cell r="G30">
            <v>1.4974819018354613</v>
          </cell>
          <cell r="H30" t="str">
            <v>c</v>
          </cell>
          <cell r="I30" t="str">
            <v>c</v>
          </cell>
          <cell r="J30" t="str">
            <v>g</v>
          </cell>
          <cell r="K30">
            <v>1.1000000000000001</v>
          </cell>
          <cell r="L30">
            <v>0.8</v>
          </cell>
          <cell r="M30"/>
          <cell r="N30">
            <v>950918347.15739107</v>
          </cell>
          <cell r="O30">
            <v>661045376.64002228</v>
          </cell>
          <cell r="P30">
            <v>1.4385069176200009</v>
          </cell>
          <cell r="Q30" t="str">
            <v>c</v>
          </cell>
          <cell r="R30" t="str">
            <v>c</v>
          </cell>
          <cell r="S30" t="str">
            <v>g</v>
          </cell>
          <cell r="T30">
            <v>0.4</v>
          </cell>
          <cell r="U30">
            <v>0.3</v>
          </cell>
          <cell r="V30"/>
          <cell r="W30"/>
          <cell r="X30"/>
          <cell r="Y30">
            <v>39600</v>
          </cell>
          <cell r="Z30">
            <v>0.73767192648454949</v>
          </cell>
          <cell r="AA30">
            <v>1.4974819018354613</v>
          </cell>
          <cell r="AB30">
            <v>0.75980997535091177</v>
          </cell>
          <cell r="AC30">
            <v>1.0300106972646543</v>
          </cell>
          <cell r="AD30"/>
          <cell r="AE30"/>
          <cell r="AF30"/>
          <cell r="AG30">
            <v>11.679457365286416</v>
          </cell>
          <cell r="AH30">
            <v>8.630011153275829</v>
          </cell>
          <cell r="AI30">
            <v>39600</v>
          </cell>
          <cell r="AJ30">
            <v>0.73126356470033094</v>
          </cell>
          <cell r="AK30">
            <v>1.4385069176200009</v>
          </cell>
          <cell r="AL30">
            <v>0.70724335291967</v>
          </cell>
          <cell r="AM30">
            <v>0.96715245646006665</v>
          </cell>
          <cell r="AN30"/>
          <cell r="AO30"/>
          <cell r="AP30"/>
          <cell r="AQ30">
            <v>9.3841120470579718</v>
          </cell>
          <cell r="AR30">
            <v>8.5802604597464107</v>
          </cell>
        </row>
        <row r="31">
          <cell r="B31">
            <v>39630</v>
          </cell>
          <cell r="C31"/>
          <cell r="D31"/>
          <cell r="E31">
            <v>154048966.78208822</v>
          </cell>
          <cell r="F31">
            <v>118079471.18052064</v>
          </cell>
          <cell r="G31">
            <v>1.3046210763137411</v>
          </cell>
          <cell r="H31" t="str">
            <v>c</v>
          </cell>
          <cell r="I31" t="str">
            <v>c</v>
          </cell>
          <cell r="J31" t="str">
            <v>g</v>
          </cell>
          <cell r="K31">
            <v>1.1000000000000001</v>
          </cell>
          <cell r="L31">
            <v>0.8</v>
          </cell>
          <cell r="M31"/>
          <cell r="N31">
            <v>1104967313.9394794</v>
          </cell>
          <cell r="O31">
            <v>779124847.82054293</v>
          </cell>
          <cell r="P31">
            <v>1.418215985577177</v>
          </cell>
          <cell r="Q31" t="str">
            <v>c</v>
          </cell>
          <cell r="R31" t="str">
            <v>c</v>
          </cell>
          <cell r="S31" t="str">
            <v>g</v>
          </cell>
          <cell r="T31">
            <v>0.4</v>
          </cell>
          <cell r="U31">
            <v>0.3</v>
          </cell>
          <cell r="V31"/>
          <cell r="W31"/>
          <cell r="X31"/>
          <cell r="Y31">
            <v>39630</v>
          </cell>
          <cell r="Z31">
            <v>0.74855542532003116</v>
          </cell>
          <cell r="AA31">
            <v>1.3046210763137411</v>
          </cell>
          <cell r="AB31">
            <v>0.55606565099370997</v>
          </cell>
          <cell r="AC31">
            <v>0.74285167428447174</v>
          </cell>
          <cell r="AD31"/>
          <cell r="AE31"/>
          <cell r="AF31"/>
          <cell r="AG31">
            <v>11.679457365286416</v>
          </cell>
          <cell r="AH31">
            <v>9.934632229589571</v>
          </cell>
          <cell r="AI31">
            <v>39630</v>
          </cell>
          <cell r="AJ31">
            <v>0.73382805527417094</v>
          </cell>
          <cell r="AK31">
            <v>1.418215985577177</v>
          </cell>
          <cell r="AL31">
            <v>0.68438793030300604</v>
          </cell>
          <cell r="AM31">
            <v>0.9326270989289267</v>
          </cell>
          <cell r="AN31"/>
          <cell r="AO31"/>
          <cell r="AP31"/>
          <cell r="AQ31">
            <v>9.3841120470579718</v>
          </cell>
          <cell r="AR31">
            <v>9.9984764453235879</v>
          </cell>
        </row>
        <row r="32">
          <cell r="B32">
            <v>39661</v>
          </cell>
          <cell r="C32"/>
          <cell r="D32"/>
          <cell r="E32">
            <v>156255079.41177821</v>
          </cell>
          <cell r="F32">
            <v>120785759.90874243</v>
          </cell>
          <cell r="G32">
            <v>1.2936548110458883</v>
          </cell>
          <cell r="H32" t="str">
            <v>c</v>
          </cell>
          <cell r="I32" t="str">
            <v>c</v>
          </cell>
          <cell r="J32" t="str">
            <v>g</v>
          </cell>
          <cell r="K32">
            <v>1.1000000000000001</v>
          </cell>
          <cell r="L32">
            <v>0.8</v>
          </cell>
          <cell r="M32"/>
          <cell r="N32">
            <v>1261222393.3512576</v>
          </cell>
          <cell r="O32">
            <v>899910607.72928536</v>
          </cell>
          <cell r="P32">
            <v>1.4014974182087465</v>
          </cell>
          <cell r="Q32" t="str">
            <v>c</v>
          </cell>
          <cell r="R32" t="str">
            <v>c</v>
          </cell>
          <cell r="S32" t="str">
            <v>g</v>
          </cell>
          <cell r="T32">
            <v>0.4</v>
          </cell>
          <cell r="U32">
            <v>0.3</v>
          </cell>
          <cell r="V32"/>
          <cell r="W32"/>
          <cell r="X32"/>
          <cell r="Y32">
            <v>39661</v>
          </cell>
          <cell r="Z32">
            <v>1.5186716288258206</v>
          </cell>
          <cell r="AA32">
            <v>1.2936548110458883</v>
          </cell>
          <cell r="AB32">
            <v>-0.22501681777993232</v>
          </cell>
          <cell r="AC32">
            <v>-0.14816686735229712</v>
          </cell>
          <cell r="AD32"/>
          <cell r="AE32"/>
          <cell r="AF32"/>
          <cell r="AG32">
            <v>11.679457365286416</v>
          </cell>
          <cell r="AH32">
            <v>11.228287040635459</v>
          </cell>
          <cell r="AI32">
            <v>39661</v>
          </cell>
          <cell r="AJ32">
            <v>0.7945121899868669</v>
          </cell>
          <cell r="AK32">
            <v>1.4014974182087465</v>
          </cell>
          <cell r="AL32">
            <v>0.60698522822187961</v>
          </cell>
          <cell r="AM32">
            <v>0.76397220316017167</v>
          </cell>
          <cell r="AN32"/>
          <cell r="AO32"/>
          <cell r="AP32"/>
          <cell r="AQ32">
            <v>9.3841120470579718</v>
          </cell>
          <cell r="AR32">
            <v>11.399973863532335</v>
          </cell>
        </row>
        <row r="33">
          <cell r="B33">
            <v>39692</v>
          </cell>
          <cell r="C33"/>
          <cell r="D33"/>
          <cell r="E33">
            <v>126896200.82282221</v>
          </cell>
          <cell r="F33">
            <v>124540589.4759202</v>
          </cell>
          <cell r="G33">
            <v>1.018914406594787</v>
          </cell>
          <cell r="H33" t="str">
            <v>c</v>
          </cell>
          <cell r="I33" t="str">
            <v>g</v>
          </cell>
          <cell r="J33" t="str">
            <v>c</v>
          </cell>
          <cell r="K33">
            <v>1.1000000000000001</v>
          </cell>
          <cell r="L33">
            <v>0.8</v>
          </cell>
          <cell r="M33"/>
          <cell r="N33">
            <v>1388118594.1740799</v>
          </cell>
          <cell r="O33">
            <v>1024451197.2052056</v>
          </cell>
          <cell r="P33">
            <v>1.3549875269422218</v>
          </cell>
          <cell r="Q33" t="str">
            <v>c</v>
          </cell>
          <cell r="R33" t="str">
            <v>c</v>
          </cell>
          <cell r="S33" t="str">
            <v>g</v>
          </cell>
          <cell r="T33">
            <v>0.4</v>
          </cell>
          <cell r="U33">
            <v>0.3</v>
          </cell>
          <cell r="V33"/>
          <cell r="W33"/>
          <cell r="X33"/>
          <cell r="Y33">
            <v>39692</v>
          </cell>
          <cell r="Z33">
            <v>1.2089660786666165</v>
          </cell>
          <cell r="AA33">
            <v>1.018914406594787</v>
          </cell>
          <cell r="AB33">
            <v>-0.19005167207182949</v>
          </cell>
          <cell r="AC33">
            <v>-0.15720182346343403</v>
          </cell>
          <cell r="AD33"/>
          <cell r="AE33"/>
          <cell r="AF33"/>
          <cell r="AG33">
            <v>11.679457365286416</v>
          </cell>
          <cell r="AH33">
            <v>12.247201447230246</v>
          </cell>
          <cell r="AI33">
            <v>39692</v>
          </cell>
          <cell r="AJ33">
            <v>0.82914311403631336</v>
          </cell>
          <cell r="AK33">
            <v>1.3549875269422218</v>
          </cell>
          <cell r="AL33">
            <v>0.52584441290590844</v>
          </cell>
          <cell r="AM33">
            <v>0.63420223119995467</v>
          </cell>
          <cell r="AN33"/>
          <cell r="AO33"/>
          <cell r="AP33"/>
          <cell r="AQ33">
            <v>9.3841120470579718</v>
          </cell>
          <cell r="AR33">
            <v>12.754961390474556</v>
          </cell>
        </row>
        <row r="34">
          <cell r="B34">
            <v>39722</v>
          </cell>
          <cell r="C34"/>
          <cell r="D34"/>
          <cell r="E34">
            <v>149653386.07112223</v>
          </cell>
          <cell r="F34">
            <v>125767018.14979799</v>
          </cell>
          <cell r="G34">
            <v>1.1899255327249134</v>
          </cell>
          <cell r="H34" t="str">
            <v>c</v>
          </cell>
          <cell r="I34" t="str">
            <v>c</v>
          </cell>
          <cell r="J34" t="str">
            <v>g</v>
          </cell>
          <cell r="K34">
            <v>1.1000000000000001</v>
          </cell>
          <cell r="L34">
            <v>0.8</v>
          </cell>
          <cell r="M34"/>
          <cell r="N34">
            <v>1537771980.2452021</v>
          </cell>
          <cell r="O34">
            <v>1150218215.3550036</v>
          </cell>
          <cell r="P34">
            <v>1.336939338741548</v>
          </cell>
          <cell r="Q34" t="str">
            <v>c</v>
          </cell>
          <cell r="R34" t="str">
            <v>c</v>
          </cell>
          <cell r="S34" t="str">
            <v>g</v>
          </cell>
          <cell r="T34">
            <v>0.4</v>
          </cell>
          <cell r="U34">
            <v>0.3</v>
          </cell>
          <cell r="V34"/>
          <cell r="W34"/>
          <cell r="X34"/>
          <cell r="Y34">
            <v>39722</v>
          </cell>
          <cell r="Z34">
            <v>1.3194126097484828</v>
          </cell>
          <cell r="AA34">
            <v>1.1899255327249134</v>
          </cell>
          <cell r="AB34">
            <v>-0.12948707702356943</v>
          </cell>
          <cell r="AC34">
            <v>-9.8139942021816307E-2</v>
          </cell>
          <cell r="AD34"/>
          <cell r="AE34"/>
          <cell r="AF34"/>
          <cell r="AG34">
            <v>11.679457365286416</v>
          </cell>
          <cell r="AH34">
            <v>13.43712697995516</v>
          </cell>
          <cell r="AI34">
            <v>39722</v>
          </cell>
          <cell r="AJ34">
            <v>0.86316061836226365</v>
          </cell>
          <cell r="AK34">
            <v>1.336939338741548</v>
          </cell>
          <cell r="AL34">
            <v>0.47377872037928437</v>
          </cell>
          <cell r="AM34">
            <v>0.54888824895442823</v>
          </cell>
          <cell r="AN34"/>
          <cell r="AO34"/>
          <cell r="AP34"/>
          <cell r="AQ34">
            <v>9.3841120470579718</v>
          </cell>
          <cell r="AR34">
            <v>14.091900729216103</v>
          </cell>
        </row>
        <row r="35">
          <cell r="B35">
            <v>39753</v>
          </cell>
          <cell r="C35"/>
          <cell r="D35"/>
          <cell r="E35">
            <v>133590824.01572222</v>
          </cell>
          <cell r="F35">
            <v>123685459.36407575</v>
          </cell>
          <cell r="G35">
            <v>1.0800851183524283</v>
          </cell>
          <cell r="H35" t="str">
            <v>c</v>
          </cell>
          <cell r="I35" t="str">
            <v>g</v>
          </cell>
          <cell r="J35" t="str">
            <v>c</v>
          </cell>
          <cell r="K35">
            <v>1.1000000000000001</v>
          </cell>
          <cell r="L35">
            <v>0.8</v>
          </cell>
          <cell r="M35"/>
          <cell r="N35">
            <v>1671362804.2609243</v>
          </cell>
          <cell r="O35">
            <v>1273903674.7190793</v>
          </cell>
          <cell r="P35">
            <v>1.3120009286647929</v>
          </cell>
          <cell r="Q35" t="str">
            <v>c</v>
          </cell>
          <cell r="R35" t="str">
            <v>c</v>
          </cell>
          <cell r="S35" t="str">
            <v>g</v>
          </cell>
          <cell r="T35">
            <v>0.4</v>
          </cell>
          <cell r="U35">
            <v>0.3</v>
          </cell>
          <cell r="V35"/>
          <cell r="W35"/>
          <cell r="X35"/>
          <cell r="Y35">
            <v>39753</v>
          </cell>
          <cell r="Z35">
            <v>1.407418329429591</v>
          </cell>
          <cell r="AA35"/>
          <cell r="AB35"/>
          <cell r="AC35"/>
          <cell r="AD35"/>
          <cell r="AE35"/>
          <cell r="AF35"/>
          <cell r="AG35">
            <v>11.679457365286416</v>
          </cell>
          <cell r="AH35" t="str">
            <v/>
          </cell>
          <cell r="AI35">
            <v>39753</v>
          </cell>
          <cell r="AJ35">
            <v>0.89919534235642473</v>
          </cell>
          <cell r="AK35"/>
          <cell r="AL35"/>
          <cell r="AM35"/>
          <cell r="AN35"/>
          <cell r="AO35"/>
          <cell r="AP35"/>
          <cell r="AQ35">
            <v>9.3841120470579718</v>
          </cell>
          <cell r="AR35" t="str">
            <v/>
          </cell>
        </row>
        <row r="36">
          <cell r="B36">
            <v>39783</v>
          </cell>
          <cell r="C36"/>
          <cell r="D36"/>
          <cell r="E36">
            <v>161780349.57670525</v>
          </cell>
          <cell r="F36">
            <v>119217470.03737053</v>
          </cell>
          <cell r="G36">
            <v>1.3570188121421527</v>
          </cell>
          <cell r="H36" t="str">
            <v>c</v>
          </cell>
          <cell r="I36" t="str">
            <v>c</v>
          </cell>
          <cell r="J36" t="str">
            <v>g</v>
          </cell>
          <cell r="K36">
            <v>1.1000000000000001</v>
          </cell>
          <cell r="L36">
            <v>0.8</v>
          </cell>
          <cell r="M36"/>
          <cell r="N36">
            <v>1833143153.8376296</v>
          </cell>
          <cell r="O36">
            <v>1393121144.7564497</v>
          </cell>
          <cell r="P36">
            <v>1.3158533704964375</v>
          </cell>
          <cell r="Q36" t="str">
            <v>c</v>
          </cell>
          <cell r="R36" t="str">
            <v>c</v>
          </cell>
          <cell r="S36" t="str">
            <v>g</v>
          </cell>
          <cell r="T36">
            <v>0.4</v>
          </cell>
          <cell r="U36">
            <v>0.3</v>
          </cell>
          <cell r="V36"/>
          <cell r="W36"/>
          <cell r="X36"/>
          <cell r="Y36">
            <v>39783</v>
          </cell>
          <cell r="Z36">
            <v>1.0895556693020283</v>
          </cell>
          <cell r="AA36"/>
          <cell r="AB36"/>
          <cell r="AC36"/>
          <cell r="AD36"/>
          <cell r="AE36"/>
          <cell r="AF36"/>
          <cell r="AG36">
            <v>11.679457365286416</v>
          </cell>
          <cell r="AH36" t="str">
            <v/>
          </cell>
          <cell r="AI36">
            <v>39783</v>
          </cell>
          <cell r="AJ36">
            <v>0.91325589675699748</v>
          </cell>
          <cell r="AK36"/>
          <cell r="AL36"/>
          <cell r="AM36"/>
          <cell r="AN36"/>
          <cell r="AO36"/>
          <cell r="AP36"/>
          <cell r="AQ36">
            <v>9.3841120470579718</v>
          </cell>
          <cell r="AR36" t="str">
            <v/>
          </cell>
        </row>
        <row r="37">
          <cell r="B37">
            <v>39814</v>
          </cell>
          <cell r="C37"/>
          <cell r="D37"/>
          <cell r="E37"/>
          <cell r="F37"/>
          <cell r="G37"/>
          <cell r="H37" t="str">
            <v/>
          </cell>
          <cell r="I37" t="str">
            <v/>
          </cell>
          <cell r="J37" t="str">
            <v/>
          </cell>
          <cell r="K37">
            <v>1.1000000000000001</v>
          </cell>
          <cell r="L37">
            <v>0.8</v>
          </cell>
          <cell r="M37"/>
          <cell r="N37" t="str">
            <v/>
          </cell>
          <cell r="O37" t="str">
            <v/>
          </cell>
          <cell r="P37" t="str">
            <v/>
          </cell>
          <cell r="Q37" t="str">
            <v/>
          </cell>
          <cell r="R37" t="str">
            <v/>
          </cell>
          <cell r="S37" t="str">
            <v/>
          </cell>
          <cell r="T37">
            <v>0.4</v>
          </cell>
          <cell r="U37">
            <v>0.3</v>
          </cell>
          <cell r="V37"/>
          <cell r="W37"/>
          <cell r="X37"/>
          <cell r="Y37">
            <v>39814</v>
          </cell>
          <cell r="Z37">
            <v>1.4219167643267705</v>
          </cell>
          <cell r="AA37"/>
          <cell r="AB37"/>
          <cell r="AC37"/>
          <cell r="AD37">
            <v>47849</v>
          </cell>
          <cell r="AE37">
            <v>0.2</v>
          </cell>
          <cell r="AF37">
            <v>0.1</v>
          </cell>
          <cell r="AG37"/>
          <cell r="AH37"/>
          <cell r="AI37">
            <v>39814</v>
          </cell>
          <cell r="AJ37">
            <v>1.4219167643267705</v>
          </cell>
          <cell r="AK37"/>
          <cell r="AL37"/>
          <cell r="AM37"/>
          <cell r="AN37">
            <v>47849</v>
          </cell>
          <cell r="AO37">
            <v>0.2</v>
          </cell>
          <cell r="AP37">
            <v>0.1</v>
          </cell>
          <cell r="AQ37"/>
          <cell r="AR37"/>
        </row>
        <row r="38">
          <cell r="B38">
            <v>39845</v>
          </cell>
          <cell r="C38"/>
          <cell r="D38"/>
          <cell r="E38"/>
          <cell r="F38"/>
          <cell r="G38"/>
          <cell r="H38" t="str">
            <v/>
          </cell>
          <cell r="I38" t="str">
            <v/>
          </cell>
          <cell r="J38" t="str">
            <v/>
          </cell>
          <cell r="K38">
            <v>1.1000000000000001</v>
          </cell>
          <cell r="L38">
            <v>0.8</v>
          </cell>
          <cell r="M38"/>
          <cell r="N38" t="str">
            <v/>
          </cell>
          <cell r="O38" t="str">
            <v/>
          </cell>
          <cell r="P38" t="str">
            <v/>
          </cell>
          <cell r="Q38" t="str">
            <v/>
          </cell>
          <cell r="R38" t="str">
            <v/>
          </cell>
          <cell r="S38" t="str">
            <v/>
          </cell>
          <cell r="T38">
            <v>0.4</v>
          </cell>
          <cell r="U38">
            <v>0.3</v>
          </cell>
          <cell r="V38"/>
          <cell r="W38"/>
          <cell r="X38"/>
          <cell r="Y38">
            <v>39845</v>
          </cell>
          <cell r="Z38">
            <v>1.4719002707601976</v>
          </cell>
          <cell r="AA38"/>
          <cell r="AB38"/>
          <cell r="AC38"/>
          <cell r="AD38"/>
          <cell r="AE38"/>
          <cell r="AF38"/>
          <cell r="AG38"/>
          <cell r="AH38"/>
          <cell r="AI38">
            <v>39845</v>
          </cell>
          <cell r="AJ38">
            <v>1.4470862538164377</v>
          </cell>
          <cell r="AK38"/>
          <cell r="AL38"/>
          <cell r="AM38"/>
          <cell r="AN38"/>
          <cell r="AO38"/>
          <cell r="AP38"/>
          <cell r="AQ38"/>
          <cell r="AR38"/>
        </row>
        <row r="39">
          <cell r="B39">
            <v>39873</v>
          </cell>
          <cell r="C39"/>
          <cell r="D39"/>
          <cell r="E39"/>
          <cell r="F39"/>
          <cell r="G39"/>
          <cell r="H39" t="str">
            <v/>
          </cell>
          <cell r="I39" t="str">
            <v/>
          </cell>
          <cell r="J39" t="str">
            <v/>
          </cell>
          <cell r="K39">
            <v>1.1000000000000001</v>
          </cell>
          <cell r="L39">
            <v>0.8</v>
          </cell>
          <cell r="M39"/>
          <cell r="N39" t="str">
            <v/>
          </cell>
          <cell r="O39" t="str">
            <v/>
          </cell>
          <cell r="P39" t="str">
            <v/>
          </cell>
          <cell r="Q39" t="str">
            <v/>
          </cell>
          <cell r="R39" t="str">
            <v/>
          </cell>
          <cell r="S39" t="str">
            <v/>
          </cell>
          <cell r="T39">
            <v>0.4</v>
          </cell>
          <cell r="U39">
            <v>0.3</v>
          </cell>
          <cell r="V39"/>
          <cell r="W39"/>
          <cell r="X39"/>
          <cell r="Y39">
            <v>39873</v>
          </cell>
          <cell r="Z39">
            <v>1.3731074773234588</v>
          </cell>
          <cell r="AA39"/>
          <cell r="AB39"/>
          <cell r="AC39"/>
          <cell r="AD39"/>
          <cell r="AE39"/>
          <cell r="AF39"/>
          <cell r="AG39"/>
          <cell r="AH39"/>
          <cell r="AI39">
            <v>39873</v>
          </cell>
          <cell r="AJ39">
            <v>1.4220014391229647</v>
          </cell>
          <cell r="AK39"/>
          <cell r="AL39"/>
          <cell r="AM39"/>
          <cell r="AN39"/>
          <cell r="AO39"/>
          <cell r="AP39"/>
          <cell r="AQ39"/>
          <cell r="AR39"/>
        </row>
        <row r="40">
          <cell r="B40">
            <v>39904</v>
          </cell>
          <cell r="C40"/>
          <cell r="D40"/>
          <cell r="E40"/>
          <cell r="F40"/>
          <cell r="G40"/>
          <cell r="H40" t="str">
            <v/>
          </cell>
          <cell r="I40" t="str">
            <v/>
          </cell>
          <cell r="J40" t="str">
            <v/>
          </cell>
          <cell r="K40">
            <v>1.1000000000000001</v>
          </cell>
          <cell r="L40">
            <v>0.8</v>
          </cell>
          <cell r="M40"/>
          <cell r="N40" t="str">
            <v/>
          </cell>
          <cell r="O40" t="str">
            <v/>
          </cell>
          <cell r="P40" t="str">
            <v/>
          </cell>
          <cell r="Q40" t="str">
            <v/>
          </cell>
          <cell r="R40" t="str">
            <v/>
          </cell>
          <cell r="S40" t="str">
            <v/>
          </cell>
          <cell r="T40">
            <v>0.4</v>
          </cell>
          <cell r="U40">
            <v>0.3</v>
          </cell>
          <cell r="V40"/>
          <cell r="W40"/>
          <cell r="X40"/>
          <cell r="Y40">
            <v>39904</v>
          </cell>
          <cell r="Z40">
            <v>1.4312513544067458</v>
          </cell>
          <cell r="AA40"/>
          <cell r="AB40"/>
          <cell r="AC40"/>
          <cell r="AD40"/>
          <cell r="AE40"/>
          <cell r="AF40"/>
          <cell r="AG40"/>
          <cell r="AH40"/>
          <cell r="AI40">
            <v>39904</v>
          </cell>
          <cell r="AJ40">
            <v>1.424349425000998</v>
          </cell>
          <cell r="AK40"/>
          <cell r="AL40"/>
          <cell r="AM40"/>
          <cell r="AN40"/>
          <cell r="AO40"/>
          <cell r="AP40"/>
          <cell r="AQ40"/>
          <cell r="AR40"/>
        </row>
        <row r="41">
          <cell r="B41">
            <v>39934</v>
          </cell>
          <cell r="C41"/>
          <cell r="D41"/>
          <cell r="E41"/>
          <cell r="F41"/>
          <cell r="G41"/>
          <cell r="H41" t="str">
            <v/>
          </cell>
          <cell r="I41" t="str">
            <v/>
          </cell>
          <cell r="J41" t="str">
            <v/>
          </cell>
          <cell r="K41">
            <v>1.1000000000000001</v>
          </cell>
          <cell r="L41">
            <v>0.8</v>
          </cell>
          <cell r="M41"/>
          <cell r="N41" t="str">
            <v/>
          </cell>
          <cell r="O41" t="str">
            <v/>
          </cell>
          <cell r="P41" t="str">
            <v/>
          </cell>
          <cell r="Q41" t="str">
            <v/>
          </cell>
          <cell r="R41" t="str">
            <v/>
          </cell>
          <cell r="S41" t="str">
            <v/>
          </cell>
          <cell r="T41">
            <v>0.4</v>
          </cell>
          <cell r="U41">
            <v>0.3</v>
          </cell>
          <cell r="V41"/>
          <cell r="W41"/>
          <cell r="X41"/>
          <cell r="Y41">
            <v>39934</v>
          </cell>
          <cell r="Z41">
            <v>1.4343533846231935</v>
          </cell>
          <cell r="AA41"/>
          <cell r="AB41"/>
          <cell r="AC41"/>
          <cell r="AD41"/>
          <cell r="AE41"/>
          <cell r="AF41"/>
          <cell r="AG41"/>
          <cell r="AH41"/>
          <cell r="AI41">
            <v>39934</v>
          </cell>
          <cell r="AJ41">
            <v>1.4263996598592383</v>
          </cell>
          <cell r="AK41"/>
          <cell r="AL41"/>
          <cell r="AM41"/>
          <cell r="AN41"/>
          <cell r="AO41"/>
          <cell r="AP41"/>
          <cell r="AQ41"/>
          <cell r="AR41"/>
        </row>
        <row r="42">
          <cell r="B42">
            <v>39965</v>
          </cell>
          <cell r="C42"/>
          <cell r="D42"/>
          <cell r="E42"/>
          <cell r="F42"/>
          <cell r="G42"/>
          <cell r="H42" t="str">
            <v/>
          </cell>
          <cell r="I42" t="str">
            <v/>
          </cell>
          <cell r="J42" t="str">
            <v/>
          </cell>
          <cell r="K42">
            <v>1.1000000000000001</v>
          </cell>
          <cell r="L42">
            <v>0.8</v>
          </cell>
          <cell r="M42"/>
          <cell r="N42" t="str">
            <v/>
          </cell>
          <cell r="O42" t="str">
            <v/>
          </cell>
          <cell r="P42" t="str">
            <v/>
          </cell>
          <cell r="Q42" t="str">
            <v/>
          </cell>
          <cell r="R42" t="str">
            <v/>
          </cell>
          <cell r="S42" t="str">
            <v/>
          </cell>
          <cell r="T42">
            <v>0.4</v>
          </cell>
          <cell r="U42">
            <v>0.3</v>
          </cell>
          <cell r="V42"/>
          <cell r="W42"/>
          <cell r="X42"/>
          <cell r="Y42">
            <v>39965</v>
          </cell>
          <cell r="Z42">
            <v>1.4974819018354613</v>
          </cell>
          <cell r="AA42"/>
          <cell r="AB42"/>
          <cell r="AC42"/>
          <cell r="AD42"/>
          <cell r="AE42"/>
          <cell r="AF42"/>
          <cell r="AG42"/>
          <cell r="AH42"/>
          <cell r="AI42">
            <v>39965</v>
          </cell>
          <cell r="AJ42">
            <v>1.4385069176200009</v>
          </cell>
          <cell r="AK42"/>
          <cell r="AL42"/>
          <cell r="AM42"/>
          <cell r="AN42"/>
          <cell r="AO42"/>
          <cell r="AP42"/>
          <cell r="AQ42"/>
          <cell r="AR42"/>
        </row>
        <row r="43">
          <cell r="B43">
            <v>39995</v>
          </cell>
          <cell r="C43"/>
          <cell r="D43"/>
          <cell r="E43"/>
          <cell r="F43"/>
          <cell r="G43"/>
          <cell r="H43" t="str">
            <v/>
          </cell>
          <cell r="I43" t="str">
            <v/>
          </cell>
          <cell r="J43" t="str">
            <v/>
          </cell>
          <cell r="K43">
            <v>1.1000000000000001</v>
          </cell>
          <cell r="L43">
            <v>0.8</v>
          </cell>
          <cell r="M43"/>
          <cell r="N43" t="str">
            <v/>
          </cell>
          <cell r="O43" t="str">
            <v/>
          </cell>
          <cell r="P43" t="str">
            <v/>
          </cell>
          <cell r="Q43" t="str">
            <v/>
          </cell>
          <cell r="R43" t="str">
            <v/>
          </cell>
          <cell r="S43" t="str">
            <v/>
          </cell>
          <cell r="T43">
            <v>0.4</v>
          </cell>
          <cell r="U43">
            <v>0.3</v>
          </cell>
          <cell r="V43"/>
          <cell r="W43"/>
          <cell r="X43"/>
          <cell r="Y43">
            <v>39995</v>
          </cell>
          <cell r="Z43">
            <v>1.3046210763137411</v>
          </cell>
          <cell r="AA43"/>
          <cell r="AB43"/>
          <cell r="AC43"/>
          <cell r="AD43"/>
          <cell r="AE43"/>
          <cell r="AF43"/>
          <cell r="AG43"/>
          <cell r="AH43"/>
          <cell r="AI43">
            <v>39995</v>
          </cell>
          <cell r="AJ43">
            <v>1.418215985577177</v>
          </cell>
          <cell r="AK43"/>
          <cell r="AL43"/>
          <cell r="AM43"/>
          <cell r="AN43"/>
          <cell r="AO43"/>
          <cell r="AP43"/>
          <cell r="AQ43"/>
          <cell r="AR43"/>
        </row>
        <row r="44">
          <cell r="B44">
            <v>40026</v>
          </cell>
          <cell r="C44"/>
          <cell r="D44"/>
          <cell r="E44"/>
          <cell r="F44"/>
          <cell r="G44"/>
          <cell r="H44" t="str">
            <v/>
          </cell>
          <cell r="I44" t="str">
            <v/>
          </cell>
          <cell r="J44" t="str">
            <v/>
          </cell>
          <cell r="K44">
            <v>1.1000000000000001</v>
          </cell>
          <cell r="L44">
            <v>0.8</v>
          </cell>
          <cell r="M44"/>
          <cell r="N44" t="str">
            <v/>
          </cell>
          <cell r="O44" t="str">
            <v/>
          </cell>
          <cell r="P44" t="str">
            <v/>
          </cell>
          <cell r="Q44" t="str">
            <v/>
          </cell>
          <cell r="R44" t="str">
            <v/>
          </cell>
          <cell r="S44" t="str">
            <v/>
          </cell>
          <cell r="T44">
            <v>0.4</v>
          </cell>
          <cell r="U44">
            <v>0.3</v>
          </cell>
          <cell r="V44"/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  <cell r="AK44"/>
          <cell r="AL44"/>
          <cell r="AM44"/>
          <cell r="AN44"/>
          <cell r="AO44"/>
          <cell r="AP44"/>
          <cell r="AQ44"/>
          <cell r="AR44"/>
        </row>
        <row r="45">
          <cell r="B45">
            <v>40057</v>
          </cell>
          <cell r="C45"/>
          <cell r="D45"/>
          <cell r="E45"/>
          <cell r="F45"/>
          <cell r="G45"/>
          <cell r="H45" t="str">
            <v/>
          </cell>
          <cell r="I45" t="str">
            <v/>
          </cell>
          <cell r="J45" t="str">
            <v/>
          </cell>
          <cell r="K45">
            <v>1.1000000000000001</v>
          </cell>
          <cell r="L45">
            <v>0.8</v>
          </cell>
          <cell r="M45"/>
          <cell r="N45" t="str">
            <v/>
          </cell>
          <cell r="O45" t="str">
            <v/>
          </cell>
          <cell r="P45" t="str">
            <v/>
          </cell>
          <cell r="Q45" t="str">
            <v/>
          </cell>
          <cell r="R45" t="str">
            <v/>
          </cell>
          <cell r="S45" t="str">
            <v/>
          </cell>
          <cell r="T45">
            <v>0.4</v>
          </cell>
          <cell r="U45">
            <v>0.3</v>
          </cell>
          <cell r="V45"/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/>
          <cell r="AJ45"/>
          <cell r="AK45"/>
          <cell r="AL45"/>
          <cell r="AM45"/>
          <cell r="AN45"/>
          <cell r="AO45"/>
          <cell r="AP45"/>
          <cell r="AQ45"/>
          <cell r="AR45"/>
        </row>
      </sheetData>
      <sheetData sheetId="79">
        <row r="8"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 t="str">
            <v>Segunda forma</v>
          </cell>
          <cell r="N8"/>
          <cell r="O8"/>
          <cell r="P8"/>
          <cell r="Q8"/>
          <cell r="R8"/>
          <cell r="S8"/>
          <cell r="T8"/>
          <cell r="U8"/>
          <cell r="V8"/>
          <cell r="W8" t="str">
            <v>Cobertura de servicios de deuda Acumulado</v>
          </cell>
          <cell r="X8"/>
          <cell r="Y8"/>
          <cell r="Z8"/>
          <cell r="AA8"/>
          <cell r="AB8"/>
          <cell r="AC8"/>
          <cell r="AD8"/>
          <cell r="AE8"/>
          <cell r="AF8"/>
          <cell r="AG8"/>
          <cell r="AH8"/>
          <cell r="AI8"/>
          <cell r="AJ8"/>
          <cell r="AK8"/>
          <cell r="AL8"/>
          <cell r="AM8" t="str">
            <v>Grado de endeudamiento</v>
          </cell>
          <cell r="AN8"/>
          <cell r="AO8"/>
          <cell r="AP8"/>
          <cell r="AQ8"/>
          <cell r="AR8"/>
          <cell r="AS8"/>
          <cell r="AT8" t="str">
            <v>Acum. Grado de endeudamiento</v>
          </cell>
          <cell r="AU8"/>
          <cell r="AV8"/>
          <cell r="AW8"/>
          <cell r="AX8"/>
          <cell r="AY8"/>
          <cell r="AZ8"/>
        </row>
        <row r="9">
          <cell r="B9"/>
          <cell r="C9"/>
          <cell r="D9" t="str">
            <v>EBITDA</v>
          </cell>
          <cell r="E9" t="str">
            <v>Servicios de deuda</v>
          </cell>
          <cell r="F9" t="str">
            <v>Deuda</v>
          </cell>
          <cell r="G9" t="str">
            <v>Nº veces</v>
          </cell>
          <cell r="H9"/>
          <cell r="I9"/>
          <cell r="J9"/>
          <cell r="K9"/>
          <cell r="L9"/>
          <cell r="M9" t="str">
            <v>Nº veces</v>
          </cell>
          <cell r="N9"/>
          <cell r="O9"/>
          <cell r="P9"/>
          <cell r="Q9"/>
          <cell r="R9"/>
          <cell r="S9"/>
          <cell r="T9"/>
          <cell r="U9"/>
          <cell r="V9"/>
          <cell r="W9" t="str">
            <v>EBITDA</v>
          </cell>
          <cell r="X9" t="str">
            <v>Servicios de deuda</v>
          </cell>
          <cell r="Y9" t="str">
            <v>Deuda</v>
          </cell>
          <cell r="Z9" t="str">
            <v>Nº veces</v>
          </cell>
          <cell r="AA9"/>
          <cell r="AB9"/>
          <cell r="AC9"/>
          <cell r="AD9"/>
          <cell r="AE9"/>
          <cell r="AF9"/>
          <cell r="AG9"/>
          <cell r="AH9"/>
          <cell r="AI9"/>
          <cell r="AJ9"/>
          <cell r="AK9"/>
          <cell r="AL9"/>
          <cell r="AM9"/>
          <cell r="AN9" t="str">
            <v>Valores del mes</v>
          </cell>
          <cell r="AO9"/>
          <cell r="AP9" t="str">
            <v>Var 1.</v>
          </cell>
          <cell r="AQ9"/>
          <cell r="AR9" t="str">
            <v>Acum. 
Anual Ant.</v>
          </cell>
          <cell r="AS9" t="str">
            <v>Avance 
del Año</v>
          </cell>
          <cell r="AT9"/>
          <cell r="AU9" t="str">
            <v>Valores del mes</v>
          </cell>
          <cell r="AV9"/>
          <cell r="AW9" t="str">
            <v>Var 1.</v>
          </cell>
          <cell r="AX9"/>
          <cell r="AY9" t="str">
            <v>Acum. 
Anual Ant.</v>
          </cell>
          <cell r="AZ9" t="str">
            <v>Avance 
del Año</v>
          </cell>
        </row>
        <row r="10">
          <cell r="B10" t="str">
            <v>Mes-Año</v>
          </cell>
          <cell r="C10"/>
          <cell r="D10"/>
          <cell r="E10"/>
          <cell r="F10"/>
          <cell r="G10"/>
          <cell r="H10" t="str">
            <v>Performance</v>
          </cell>
          <cell r="I10"/>
          <cell r="J10"/>
          <cell r="K10" t="str">
            <v>Sup</v>
          </cell>
          <cell r="L10" t="str">
            <v>Inf</v>
          </cell>
          <cell r="M10"/>
          <cell r="N10" t="str">
            <v>Performance</v>
          </cell>
          <cell r="O10"/>
          <cell r="P10"/>
          <cell r="Q10" t="str">
            <v>Sup</v>
          </cell>
          <cell r="R10" t="str">
            <v>Inf</v>
          </cell>
          <cell r="S10"/>
          <cell r="T10"/>
          <cell r="U10"/>
          <cell r="V10"/>
          <cell r="W10"/>
          <cell r="X10"/>
          <cell r="Y10"/>
          <cell r="Z10"/>
          <cell r="AA10" t="str">
            <v>Performance</v>
          </cell>
          <cell r="AB10"/>
          <cell r="AC10"/>
          <cell r="AD10" t="str">
            <v>Sup</v>
          </cell>
          <cell r="AE10" t="str">
            <v>Inf</v>
          </cell>
          <cell r="AF10"/>
          <cell r="AG10"/>
          <cell r="AH10"/>
          <cell r="AI10"/>
          <cell r="AJ10"/>
          <cell r="AK10"/>
          <cell r="AL10"/>
          <cell r="AM10" t="str">
            <v>Fecha</v>
          </cell>
          <cell r="AN10" t="str">
            <v>Anteriores</v>
          </cell>
          <cell r="AO10" t="str">
            <v>Real</v>
          </cell>
          <cell r="AP10" t="str">
            <v>Unidades</v>
          </cell>
          <cell r="AQ10" t="str">
            <v>%</v>
          </cell>
          <cell r="AR10"/>
          <cell r="AS10"/>
          <cell r="AT10" t="str">
            <v>Fecha</v>
          </cell>
          <cell r="AU10" t="str">
            <v>Anteriores</v>
          </cell>
          <cell r="AV10" t="str">
            <v>Real</v>
          </cell>
          <cell r="AW10" t="str">
            <v>Unidades</v>
          </cell>
          <cell r="AX10" t="str">
            <v>%</v>
          </cell>
          <cell r="AY10"/>
          <cell r="AZ10"/>
        </row>
        <row r="11">
          <cell r="B11">
            <v>39083</v>
          </cell>
          <cell r="C11"/>
          <cell r="D11">
            <v>3937288.07</v>
          </cell>
          <cell r="E11">
            <v>282760</v>
          </cell>
          <cell r="F11">
            <v>0</v>
          </cell>
          <cell r="G11">
            <v>13.924487445183194</v>
          </cell>
          <cell r="H11" t="str">
            <v>g</v>
          </cell>
          <cell r="I11" t="str">
            <v>c</v>
          </cell>
          <cell r="J11" t="str">
            <v>c</v>
          </cell>
          <cell r="K11">
            <v>12</v>
          </cell>
          <cell r="L11">
            <v>5</v>
          </cell>
          <cell r="M11">
            <v>13.924487445183194</v>
          </cell>
          <cell r="N11" t="str">
            <v>c</v>
          </cell>
          <cell r="O11" t="str">
            <v>c</v>
          </cell>
          <cell r="P11" t="str">
            <v>g</v>
          </cell>
          <cell r="Q11">
            <v>30</v>
          </cell>
          <cell r="R11">
            <v>20</v>
          </cell>
          <cell r="S11"/>
          <cell r="T11"/>
          <cell r="U11"/>
          <cell r="V11"/>
          <cell r="W11">
            <v>3937288.07</v>
          </cell>
          <cell r="X11">
            <v>282760</v>
          </cell>
          <cell r="Y11">
            <v>0</v>
          </cell>
          <cell r="Z11">
            <v>13.924487445183194</v>
          </cell>
          <cell r="AA11" t="str">
            <v>g</v>
          </cell>
          <cell r="AB11" t="str">
            <v>c</v>
          </cell>
          <cell r="AC11" t="str">
            <v>c</v>
          </cell>
          <cell r="AD11">
            <v>12</v>
          </cell>
          <cell r="AE11">
            <v>5</v>
          </cell>
          <cell r="AF11"/>
          <cell r="AG11"/>
          <cell r="AH11"/>
          <cell r="AI11"/>
          <cell r="AJ11"/>
          <cell r="AK11"/>
          <cell r="AL11"/>
          <cell r="AM11">
            <v>39083</v>
          </cell>
          <cell r="AN11"/>
          <cell r="AO11">
            <v>13.924487445183194</v>
          </cell>
          <cell r="AP11">
            <v>13.924487445183194</v>
          </cell>
          <cell r="AQ11"/>
          <cell r="AR11"/>
          <cell r="AS11"/>
          <cell r="AT11">
            <v>39083</v>
          </cell>
          <cell r="AU11"/>
          <cell r="AV11">
            <v>13.924487445183194</v>
          </cell>
          <cell r="AW11">
            <v>13.924487445183194</v>
          </cell>
          <cell r="AX11"/>
          <cell r="AY11"/>
          <cell r="AZ11"/>
        </row>
        <row r="12">
          <cell r="B12">
            <v>39114</v>
          </cell>
          <cell r="C12"/>
          <cell r="D12">
            <v>4107600.44</v>
          </cell>
          <cell r="E12">
            <v>279775</v>
          </cell>
          <cell r="F12">
            <v>0</v>
          </cell>
          <cell r="G12">
            <v>14.68179944598338</v>
          </cell>
          <cell r="H12" t="str">
            <v>g</v>
          </cell>
          <cell r="I12" t="str">
            <v>c</v>
          </cell>
          <cell r="J12" t="str">
            <v>c</v>
          </cell>
          <cell r="K12">
            <v>12</v>
          </cell>
          <cell r="L12">
            <v>5</v>
          </cell>
          <cell r="M12">
            <v>14.68179944598338</v>
          </cell>
          <cell r="N12" t="str">
            <v>c</v>
          </cell>
          <cell r="O12" t="str">
            <v>c</v>
          </cell>
          <cell r="P12" t="str">
            <v>g</v>
          </cell>
          <cell r="Q12">
            <v>30</v>
          </cell>
          <cell r="R12">
            <v>20</v>
          </cell>
          <cell r="S12"/>
          <cell r="T12"/>
          <cell r="U12"/>
          <cell r="V12"/>
          <cell r="W12">
            <v>8044888.5099999998</v>
          </cell>
          <cell r="X12">
            <v>562535</v>
          </cell>
          <cell r="Y12">
            <v>0</v>
          </cell>
          <cell r="Z12">
            <v>14.301134169429456</v>
          </cell>
          <cell r="AA12" t="str">
            <v>g</v>
          </cell>
          <cell r="AB12" t="str">
            <v>c</v>
          </cell>
          <cell r="AC12" t="str">
            <v>c</v>
          </cell>
          <cell r="AD12">
            <v>12</v>
          </cell>
          <cell r="AE12">
            <v>5</v>
          </cell>
          <cell r="AF12"/>
          <cell r="AG12"/>
          <cell r="AH12"/>
          <cell r="AI12"/>
          <cell r="AJ12"/>
          <cell r="AK12"/>
          <cell r="AL12"/>
          <cell r="AM12">
            <v>39114</v>
          </cell>
          <cell r="AN12"/>
          <cell r="AO12">
            <v>14.68179944598338</v>
          </cell>
          <cell r="AP12">
            <v>14.68179944598338</v>
          </cell>
          <cell r="AQ12"/>
          <cell r="AR12"/>
          <cell r="AS12"/>
          <cell r="AT12">
            <v>39114</v>
          </cell>
          <cell r="AU12"/>
          <cell r="AV12">
            <v>14.301134169429456</v>
          </cell>
          <cell r="AW12">
            <v>14.301134169429456</v>
          </cell>
          <cell r="AX12"/>
          <cell r="AY12"/>
          <cell r="AZ12"/>
        </row>
        <row r="13">
          <cell r="B13">
            <v>39142</v>
          </cell>
          <cell r="C13"/>
          <cell r="D13">
            <v>5322384.1100000003</v>
          </cell>
          <cell r="E13">
            <v>280968</v>
          </cell>
          <cell r="F13">
            <v>0</v>
          </cell>
          <cell r="G13">
            <v>18.94302593177871</v>
          </cell>
          <cell r="H13" t="str">
            <v>g</v>
          </cell>
          <cell r="I13" t="str">
            <v>c</v>
          </cell>
          <cell r="J13" t="str">
            <v>c</v>
          </cell>
          <cell r="K13">
            <v>12</v>
          </cell>
          <cell r="L13">
            <v>5</v>
          </cell>
          <cell r="M13">
            <v>18.94302593177871</v>
          </cell>
          <cell r="N13" t="str">
            <v>c</v>
          </cell>
          <cell r="O13" t="str">
            <v>c</v>
          </cell>
          <cell r="P13" t="str">
            <v>g</v>
          </cell>
          <cell r="Q13">
            <v>30</v>
          </cell>
          <cell r="R13">
            <v>20</v>
          </cell>
          <cell r="S13"/>
          <cell r="T13"/>
          <cell r="U13"/>
          <cell r="V13"/>
          <cell r="W13">
            <v>13367272.620000001</v>
          </cell>
          <cell r="X13">
            <v>843503</v>
          </cell>
          <cell r="Y13">
            <v>0</v>
          </cell>
          <cell r="Z13">
            <v>15.847332635450023</v>
          </cell>
          <cell r="AA13" t="str">
            <v>g</v>
          </cell>
          <cell r="AB13" t="str">
            <v>c</v>
          </cell>
          <cell r="AC13" t="str">
            <v>c</v>
          </cell>
          <cell r="AD13">
            <v>12</v>
          </cell>
          <cell r="AE13">
            <v>5</v>
          </cell>
          <cell r="AF13"/>
          <cell r="AG13"/>
          <cell r="AH13"/>
          <cell r="AI13"/>
          <cell r="AJ13"/>
          <cell r="AK13"/>
          <cell r="AL13"/>
          <cell r="AM13">
            <v>39142</v>
          </cell>
          <cell r="AN13"/>
          <cell r="AO13">
            <v>18.94302593177871</v>
          </cell>
          <cell r="AP13">
            <v>18.94302593177871</v>
          </cell>
          <cell r="AQ13"/>
          <cell r="AR13"/>
          <cell r="AS13"/>
          <cell r="AT13">
            <v>39142</v>
          </cell>
          <cell r="AU13"/>
          <cell r="AV13">
            <v>15.847332635450023</v>
          </cell>
          <cell r="AW13">
            <v>15.847332635450023</v>
          </cell>
          <cell r="AX13"/>
          <cell r="AY13"/>
          <cell r="AZ13"/>
        </row>
        <row r="14">
          <cell r="B14">
            <v>39173</v>
          </cell>
          <cell r="C14"/>
          <cell r="D14">
            <v>4178445.93</v>
          </cell>
          <cell r="E14">
            <v>295260</v>
          </cell>
          <cell r="F14">
            <v>0</v>
          </cell>
          <cell r="G14">
            <v>14.151750762040237</v>
          </cell>
          <cell r="H14" t="str">
            <v>g</v>
          </cell>
          <cell r="I14" t="str">
            <v>c</v>
          </cell>
          <cell r="J14" t="str">
            <v>c</v>
          </cell>
          <cell r="K14">
            <v>12</v>
          </cell>
          <cell r="L14">
            <v>5</v>
          </cell>
          <cell r="M14">
            <v>14.151750762040237</v>
          </cell>
          <cell r="N14" t="str">
            <v>c</v>
          </cell>
          <cell r="O14" t="str">
            <v>c</v>
          </cell>
          <cell r="P14" t="str">
            <v>g</v>
          </cell>
          <cell r="Q14">
            <v>30</v>
          </cell>
          <cell r="R14">
            <v>20</v>
          </cell>
          <cell r="S14"/>
          <cell r="T14"/>
          <cell r="U14"/>
          <cell r="V14"/>
          <cell r="W14">
            <v>17545718.550000001</v>
          </cell>
          <cell r="X14">
            <v>1138763</v>
          </cell>
          <cell r="Y14">
            <v>0</v>
          </cell>
          <cell r="Z14">
            <v>15.407699890143956</v>
          </cell>
          <cell r="AA14" t="str">
            <v>g</v>
          </cell>
          <cell r="AB14" t="str">
            <v>c</v>
          </cell>
          <cell r="AC14" t="str">
            <v>c</v>
          </cell>
          <cell r="AD14">
            <v>12</v>
          </cell>
          <cell r="AE14">
            <v>5</v>
          </cell>
          <cell r="AF14"/>
          <cell r="AG14"/>
          <cell r="AH14"/>
          <cell r="AI14"/>
          <cell r="AJ14"/>
          <cell r="AK14"/>
          <cell r="AL14"/>
          <cell r="AM14">
            <v>39173</v>
          </cell>
          <cell r="AN14"/>
          <cell r="AO14">
            <v>14.151750762040237</v>
          </cell>
          <cell r="AP14">
            <v>14.151750762040237</v>
          </cell>
          <cell r="AQ14"/>
          <cell r="AR14"/>
          <cell r="AS14"/>
          <cell r="AT14">
            <v>39173</v>
          </cell>
          <cell r="AU14"/>
          <cell r="AV14">
            <v>15.407699890143956</v>
          </cell>
          <cell r="AW14">
            <v>15.407699890143956</v>
          </cell>
          <cell r="AX14"/>
          <cell r="AY14"/>
          <cell r="AZ14"/>
        </row>
        <row r="15">
          <cell r="B15">
            <v>39203</v>
          </cell>
          <cell r="C15"/>
          <cell r="D15">
            <v>4831757.75</v>
          </cell>
          <cell r="E15">
            <v>350110</v>
          </cell>
          <cell r="F15">
            <v>0</v>
          </cell>
          <cell r="G15">
            <v>13.800684784781925</v>
          </cell>
          <cell r="H15" t="str">
            <v>g</v>
          </cell>
          <cell r="I15" t="str">
            <v>c</v>
          </cell>
          <cell r="J15" t="str">
            <v>c</v>
          </cell>
          <cell r="K15">
            <v>12</v>
          </cell>
          <cell r="L15">
            <v>5</v>
          </cell>
          <cell r="M15">
            <v>13.800684784781925</v>
          </cell>
          <cell r="N15" t="str">
            <v>c</v>
          </cell>
          <cell r="O15" t="str">
            <v>c</v>
          </cell>
          <cell r="P15" t="str">
            <v>g</v>
          </cell>
          <cell r="Q15">
            <v>30</v>
          </cell>
          <cell r="R15">
            <v>20</v>
          </cell>
          <cell r="S15"/>
          <cell r="T15"/>
          <cell r="U15"/>
          <cell r="V15"/>
          <cell r="W15">
            <v>22377476.300000001</v>
          </cell>
          <cell r="X15">
            <v>1488873</v>
          </cell>
          <cell r="Y15">
            <v>0</v>
          </cell>
          <cell r="Z15">
            <v>15.029808653928173</v>
          </cell>
          <cell r="AA15" t="str">
            <v>g</v>
          </cell>
          <cell r="AB15" t="str">
            <v>c</v>
          </cell>
          <cell r="AC15" t="str">
            <v>c</v>
          </cell>
          <cell r="AD15">
            <v>12</v>
          </cell>
          <cell r="AE15">
            <v>5</v>
          </cell>
          <cell r="AF15"/>
          <cell r="AG15"/>
          <cell r="AH15"/>
          <cell r="AI15"/>
          <cell r="AJ15"/>
          <cell r="AK15"/>
          <cell r="AL15"/>
          <cell r="AM15">
            <v>39203</v>
          </cell>
          <cell r="AN15"/>
          <cell r="AO15">
            <v>13.800684784781925</v>
          </cell>
          <cell r="AP15">
            <v>13.800684784781925</v>
          </cell>
          <cell r="AQ15"/>
          <cell r="AR15"/>
          <cell r="AS15"/>
          <cell r="AT15">
            <v>39203</v>
          </cell>
          <cell r="AU15"/>
          <cell r="AV15">
            <v>15.029808653928173</v>
          </cell>
          <cell r="AW15">
            <v>15.029808653928173</v>
          </cell>
          <cell r="AX15"/>
          <cell r="AY15"/>
          <cell r="AZ15"/>
        </row>
        <row r="16">
          <cell r="B16">
            <v>39234</v>
          </cell>
          <cell r="C16"/>
          <cell r="D16">
            <v>5187522.7300000004</v>
          </cell>
          <cell r="E16">
            <v>347793</v>
          </cell>
          <cell r="F16">
            <v>0</v>
          </cell>
          <cell r="G16">
            <v>14.915546690128901</v>
          </cell>
          <cell r="H16" t="str">
            <v>g</v>
          </cell>
          <cell r="I16" t="str">
            <v>c</v>
          </cell>
          <cell r="J16" t="str">
            <v>c</v>
          </cell>
          <cell r="K16">
            <v>12</v>
          </cell>
          <cell r="L16">
            <v>5</v>
          </cell>
          <cell r="M16">
            <v>14.915546690128901</v>
          </cell>
          <cell r="N16" t="str">
            <v>c</v>
          </cell>
          <cell r="O16" t="str">
            <v>c</v>
          </cell>
          <cell r="P16" t="str">
            <v>g</v>
          </cell>
          <cell r="Q16">
            <v>30</v>
          </cell>
          <cell r="R16">
            <v>20</v>
          </cell>
          <cell r="S16"/>
          <cell r="T16"/>
          <cell r="U16"/>
          <cell r="V16"/>
          <cell r="W16">
            <v>27564999.030000001</v>
          </cell>
          <cell r="X16">
            <v>1836666</v>
          </cell>
          <cell r="Y16">
            <v>0</v>
          </cell>
          <cell r="Z16">
            <v>15.008171888628635</v>
          </cell>
          <cell r="AA16" t="str">
            <v>g</v>
          </cell>
          <cell r="AB16" t="str">
            <v>c</v>
          </cell>
          <cell r="AC16" t="str">
            <v>c</v>
          </cell>
          <cell r="AD16">
            <v>12</v>
          </cell>
          <cell r="AE16">
            <v>5</v>
          </cell>
          <cell r="AF16"/>
          <cell r="AG16"/>
          <cell r="AH16"/>
          <cell r="AI16"/>
          <cell r="AJ16"/>
          <cell r="AK16"/>
          <cell r="AL16"/>
          <cell r="AM16">
            <v>39234</v>
          </cell>
          <cell r="AN16"/>
          <cell r="AO16">
            <v>14.915546690128901</v>
          </cell>
          <cell r="AP16">
            <v>14.915546690128901</v>
          </cell>
          <cell r="AQ16"/>
          <cell r="AR16"/>
          <cell r="AS16"/>
          <cell r="AT16">
            <v>39234</v>
          </cell>
          <cell r="AU16"/>
          <cell r="AV16">
            <v>15.008171888628635</v>
          </cell>
          <cell r="AW16">
            <v>15.008171888628635</v>
          </cell>
          <cell r="AX16"/>
          <cell r="AY16"/>
          <cell r="AZ16"/>
        </row>
        <row r="17">
          <cell r="B17">
            <v>39264</v>
          </cell>
          <cell r="C17"/>
          <cell r="D17">
            <v>5980251.2799999854</v>
          </cell>
          <cell r="E17">
            <v>331044</v>
          </cell>
          <cell r="F17">
            <v>0</v>
          </cell>
          <cell r="G17">
            <v>18.064823044670757</v>
          </cell>
          <cell r="H17" t="str">
            <v>g</v>
          </cell>
          <cell r="I17" t="str">
            <v>c</v>
          </cell>
          <cell r="J17" t="str">
            <v>c</v>
          </cell>
          <cell r="K17">
            <v>12</v>
          </cell>
          <cell r="L17">
            <v>5</v>
          </cell>
          <cell r="M17">
            <v>18.064823044670757</v>
          </cell>
          <cell r="N17" t="str">
            <v>c</v>
          </cell>
          <cell r="O17" t="str">
            <v>c</v>
          </cell>
          <cell r="P17" t="str">
            <v>g</v>
          </cell>
          <cell r="Q17">
            <v>30</v>
          </cell>
          <cell r="R17">
            <v>20</v>
          </cell>
          <cell r="S17"/>
          <cell r="T17"/>
          <cell r="U17"/>
          <cell r="V17"/>
          <cell r="W17">
            <v>33545250.309999987</v>
          </cell>
          <cell r="X17">
            <v>2167710</v>
          </cell>
          <cell r="Y17">
            <v>0</v>
          </cell>
          <cell r="Z17">
            <v>15.474971426067134</v>
          </cell>
          <cell r="AA17" t="str">
            <v>g</v>
          </cell>
          <cell r="AB17" t="str">
            <v>c</v>
          </cell>
          <cell r="AC17" t="str">
            <v>c</v>
          </cell>
          <cell r="AD17">
            <v>12</v>
          </cell>
          <cell r="AE17">
            <v>5</v>
          </cell>
          <cell r="AF17"/>
          <cell r="AG17"/>
          <cell r="AH17"/>
          <cell r="AI17"/>
          <cell r="AJ17"/>
          <cell r="AK17"/>
          <cell r="AL17"/>
          <cell r="AM17">
            <v>39264</v>
          </cell>
          <cell r="AN17"/>
          <cell r="AO17">
            <v>18.064823044670757</v>
          </cell>
          <cell r="AP17">
            <v>18.064823044670757</v>
          </cell>
          <cell r="AQ17"/>
          <cell r="AR17"/>
          <cell r="AS17"/>
          <cell r="AT17">
            <v>39264</v>
          </cell>
          <cell r="AU17"/>
          <cell r="AV17">
            <v>15.474971426067134</v>
          </cell>
          <cell r="AW17">
            <v>15.474971426067134</v>
          </cell>
          <cell r="AX17"/>
          <cell r="AY17"/>
          <cell r="AZ17"/>
        </row>
        <row r="18">
          <cell r="B18">
            <v>39295</v>
          </cell>
          <cell r="C18"/>
          <cell r="D18">
            <v>3839668.7764559244</v>
          </cell>
          <cell r="E18">
            <v>446463</v>
          </cell>
          <cell r="F18">
            <v>0</v>
          </cell>
          <cell r="G18">
            <v>8.6001948122373513</v>
          </cell>
          <cell r="H18" t="str">
            <v>c</v>
          </cell>
          <cell r="I18" t="str">
            <v>g</v>
          </cell>
          <cell r="J18" t="str">
            <v>c</v>
          </cell>
          <cell r="K18">
            <v>12</v>
          </cell>
          <cell r="L18">
            <v>5</v>
          </cell>
          <cell r="M18">
            <v>8.6001948122373513</v>
          </cell>
          <cell r="N18" t="str">
            <v>c</v>
          </cell>
          <cell r="O18" t="str">
            <v>c</v>
          </cell>
          <cell r="P18" t="str">
            <v>g</v>
          </cell>
          <cell r="Q18">
            <v>30</v>
          </cell>
          <cell r="R18">
            <v>20</v>
          </cell>
          <cell r="S18"/>
          <cell r="T18"/>
          <cell r="U18"/>
          <cell r="V18"/>
          <cell r="W18">
            <v>37384919.086455911</v>
          </cell>
          <cell r="X18">
            <v>2614173</v>
          </cell>
          <cell r="Y18">
            <v>0</v>
          </cell>
          <cell r="Z18">
            <v>14.300858851520504</v>
          </cell>
          <cell r="AA18" t="str">
            <v>g</v>
          </cell>
          <cell r="AB18" t="str">
            <v>c</v>
          </cell>
          <cell r="AC18" t="str">
            <v>c</v>
          </cell>
          <cell r="AD18">
            <v>12</v>
          </cell>
          <cell r="AE18">
            <v>5</v>
          </cell>
          <cell r="AF18"/>
          <cell r="AG18"/>
          <cell r="AH18"/>
          <cell r="AI18"/>
          <cell r="AJ18"/>
          <cell r="AK18"/>
          <cell r="AL18"/>
          <cell r="AM18">
            <v>39295</v>
          </cell>
          <cell r="AN18"/>
          <cell r="AO18">
            <v>8.6001948122373513</v>
          </cell>
          <cell r="AP18">
            <v>8.6001948122373513</v>
          </cell>
          <cell r="AQ18"/>
          <cell r="AR18"/>
          <cell r="AS18"/>
          <cell r="AT18">
            <v>39295</v>
          </cell>
          <cell r="AU18"/>
          <cell r="AV18">
            <v>14.300858851520504</v>
          </cell>
          <cell r="AW18">
            <v>14.300858851520504</v>
          </cell>
          <cell r="AX18"/>
          <cell r="AY18"/>
          <cell r="AZ18"/>
        </row>
        <row r="19">
          <cell r="B19">
            <v>39326</v>
          </cell>
          <cell r="C19"/>
          <cell r="D19">
            <v>4209468.0230000038</v>
          </cell>
          <cell r="E19">
            <v>411750</v>
          </cell>
          <cell r="F19">
            <v>0</v>
          </cell>
          <cell r="G19">
            <v>10.223358890103228</v>
          </cell>
          <cell r="H19" t="str">
            <v>c</v>
          </cell>
          <cell r="I19" t="str">
            <v>g</v>
          </cell>
          <cell r="J19" t="str">
            <v>c</v>
          </cell>
          <cell r="K19">
            <v>12</v>
          </cell>
          <cell r="L19">
            <v>5</v>
          </cell>
          <cell r="M19">
            <v>10.223358890103228</v>
          </cell>
          <cell r="N19" t="str">
            <v>c</v>
          </cell>
          <cell r="O19" t="str">
            <v>c</v>
          </cell>
          <cell r="P19" t="str">
            <v>g</v>
          </cell>
          <cell r="Q19">
            <v>30</v>
          </cell>
          <cell r="R19">
            <v>20</v>
          </cell>
          <cell r="S19"/>
          <cell r="T19"/>
          <cell r="U19"/>
          <cell r="V19"/>
          <cell r="W19">
            <v>41594387.109455913</v>
          </cell>
          <cell r="X19">
            <v>3025923</v>
          </cell>
          <cell r="Y19">
            <v>0</v>
          </cell>
          <cell r="Z19">
            <v>13.74601637564998</v>
          </cell>
          <cell r="AA19" t="str">
            <v>g</v>
          </cell>
          <cell r="AB19" t="str">
            <v>c</v>
          </cell>
          <cell r="AC19" t="str">
            <v>c</v>
          </cell>
          <cell r="AD19">
            <v>12</v>
          </cell>
          <cell r="AE19">
            <v>5</v>
          </cell>
          <cell r="AF19"/>
          <cell r="AG19"/>
          <cell r="AH19"/>
          <cell r="AI19"/>
          <cell r="AJ19"/>
          <cell r="AK19"/>
          <cell r="AL19"/>
          <cell r="AM19">
            <v>39326</v>
          </cell>
          <cell r="AN19"/>
          <cell r="AO19">
            <v>10.223358890103228</v>
          </cell>
          <cell r="AP19">
            <v>10.223358890103228</v>
          </cell>
          <cell r="AQ19"/>
          <cell r="AR19"/>
          <cell r="AS19"/>
          <cell r="AT19">
            <v>39326</v>
          </cell>
          <cell r="AU19"/>
          <cell r="AV19">
            <v>13.74601637564998</v>
          </cell>
          <cell r="AW19">
            <v>13.74601637564998</v>
          </cell>
          <cell r="AX19"/>
          <cell r="AY19"/>
          <cell r="AZ19"/>
        </row>
        <row r="20">
          <cell r="B20">
            <v>39356</v>
          </cell>
          <cell r="C20"/>
          <cell r="D20">
            <v>4377235.38</v>
          </cell>
          <cell r="E20">
            <v>358461</v>
          </cell>
          <cell r="F20">
            <v>0</v>
          </cell>
          <cell r="G20">
            <v>12.211190003933481</v>
          </cell>
          <cell r="H20" t="str">
            <v>g</v>
          </cell>
          <cell r="I20" t="str">
            <v>c</v>
          </cell>
          <cell r="J20" t="str">
            <v>c</v>
          </cell>
          <cell r="K20">
            <v>12</v>
          </cell>
          <cell r="L20">
            <v>5</v>
          </cell>
          <cell r="M20">
            <v>12.211190003933481</v>
          </cell>
          <cell r="N20" t="str">
            <v>c</v>
          </cell>
          <cell r="O20" t="str">
            <v>c</v>
          </cell>
          <cell r="P20" t="str">
            <v>g</v>
          </cell>
          <cell r="Q20">
            <v>30</v>
          </cell>
          <cell r="R20">
            <v>20</v>
          </cell>
          <cell r="S20"/>
          <cell r="T20"/>
          <cell r="U20"/>
          <cell r="V20"/>
          <cell r="W20">
            <v>45971622.489455916</v>
          </cell>
          <cell r="X20">
            <v>3384384</v>
          </cell>
          <cell r="Y20">
            <v>0</v>
          </cell>
          <cell r="Z20">
            <v>13.583453440701739</v>
          </cell>
          <cell r="AA20" t="str">
            <v>g</v>
          </cell>
          <cell r="AB20" t="str">
            <v>c</v>
          </cell>
          <cell r="AC20" t="str">
            <v>c</v>
          </cell>
          <cell r="AD20">
            <v>12</v>
          </cell>
          <cell r="AE20">
            <v>5</v>
          </cell>
          <cell r="AF20"/>
          <cell r="AG20"/>
          <cell r="AH20"/>
          <cell r="AI20"/>
          <cell r="AJ20"/>
          <cell r="AK20"/>
          <cell r="AL20"/>
          <cell r="AM20">
            <v>39356</v>
          </cell>
          <cell r="AN20"/>
          <cell r="AO20">
            <v>12.211190003933481</v>
          </cell>
          <cell r="AP20">
            <v>12.211190003933481</v>
          </cell>
          <cell r="AQ20"/>
          <cell r="AR20"/>
          <cell r="AS20"/>
          <cell r="AT20">
            <v>39356</v>
          </cell>
          <cell r="AU20"/>
          <cell r="AV20">
            <v>13.583453440701739</v>
          </cell>
          <cell r="AW20">
            <v>13.583453440701739</v>
          </cell>
          <cell r="AX20"/>
          <cell r="AY20"/>
          <cell r="AZ20"/>
        </row>
        <row r="21">
          <cell r="B21">
            <v>39387</v>
          </cell>
          <cell r="C21"/>
          <cell r="D21">
            <v>4339599.18</v>
          </cell>
          <cell r="E21">
            <v>914669.82</v>
          </cell>
          <cell r="F21">
            <v>0</v>
          </cell>
          <cell r="G21">
            <v>4.7444433883256361</v>
          </cell>
          <cell r="H21" t="str">
            <v>c</v>
          </cell>
          <cell r="I21" t="str">
            <v>c</v>
          </cell>
          <cell r="J21" t="str">
            <v>g</v>
          </cell>
          <cell r="K21">
            <v>12</v>
          </cell>
          <cell r="L21">
            <v>5</v>
          </cell>
          <cell r="M21">
            <v>4.7444433883256361</v>
          </cell>
          <cell r="N21" t="str">
            <v>c</v>
          </cell>
          <cell r="O21" t="str">
            <v>c</v>
          </cell>
          <cell r="P21" t="str">
            <v>g</v>
          </cell>
          <cell r="Q21">
            <v>30</v>
          </cell>
          <cell r="R21">
            <v>20</v>
          </cell>
          <cell r="S21"/>
          <cell r="T21"/>
          <cell r="U21"/>
          <cell r="V21"/>
          <cell r="W21">
            <v>50311221.669455916</v>
          </cell>
          <cell r="X21">
            <v>4299053.82</v>
          </cell>
          <cell r="Y21">
            <v>0</v>
          </cell>
          <cell r="Z21">
            <v>11.702859228093104</v>
          </cell>
          <cell r="AA21" t="str">
            <v>c</v>
          </cell>
          <cell r="AB21" t="str">
            <v>g</v>
          </cell>
          <cell r="AC21" t="str">
            <v>c</v>
          </cell>
          <cell r="AD21">
            <v>12</v>
          </cell>
          <cell r="AE21">
            <v>5</v>
          </cell>
          <cell r="AF21"/>
          <cell r="AG21"/>
          <cell r="AH21"/>
          <cell r="AI21"/>
          <cell r="AJ21"/>
          <cell r="AK21"/>
          <cell r="AL21"/>
          <cell r="AM21">
            <v>39387</v>
          </cell>
          <cell r="AN21"/>
          <cell r="AO21">
            <v>4.7444433883256361</v>
          </cell>
          <cell r="AP21">
            <v>4.7444433883256361</v>
          </cell>
          <cell r="AQ21"/>
          <cell r="AR21"/>
          <cell r="AS21"/>
          <cell r="AT21">
            <v>39387</v>
          </cell>
          <cell r="AU21"/>
          <cell r="AV21">
            <v>11.702859228093104</v>
          </cell>
          <cell r="AW21">
            <v>11.702859228093104</v>
          </cell>
          <cell r="AX21"/>
          <cell r="AY21"/>
          <cell r="AZ21"/>
        </row>
        <row r="22">
          <cell r="B22">
            <v>39417</v>
          </cell>
          <cell r="C22"/>
          <cell r="D22">
            <v>6263663.1799999932</v>
          </cell>
          <cell r="E22">
            <v>484004.52</v>
          </cell>
          <cell r="F22">
            <v>0</v>
          </cell>
          <cell r="G22">
            <v>12.941331994172272</v>
          </cell>
          <cell r="H22" t="str">
            <v>g</v>
          </cell>
          <cell r="I22" t="str">
            <v>c</v>
          </cell>
          <cell r="J22" t="str">
            <v>c</v>
          </cell>
          <cell r="K22">
            <v>12</v>
          </cell>
          <cell r="L22">
            <v>5</v>
          </cell>
          <cell r="M22">
            <v>12.941331994172272</v>
          </cell>
          <cell r="N22" t="str">
            <v>c</v>
          </cell>
          <cell r="O22" t="str">
            <v>c</v>
          </cell>
          <cell r="P22" t="str">
            <v>g</v>
          </cell>
          <cell r="Q22">
            <v>30</v>
          </cell>
          <cell r="R22">
            <v>20</v>
          </cell>
          <cell r="S22"/>
          <cell r="T22"/>
          <cell r="U22"/>
          <cell r="V22"/>
          <cell r="W22">
            <v>56574884.849455908</v>
          </cell>
          <cell r="X22">
            <v>4783058.34</v>
          </cell>
          <cell r="Y22">
            <v>0</v>
          </cell>
          <cell r="Z22">
            <v>11.82818206006994</v>
          </cell>
          <cell r="AA22" t="str">
            <v>c</v>
          </cell>
          <cell r="AB22" t="str">
            <v>g</v>
          </cell>
          <cell r="AC22" t="str">
            <v>c</v>
          </cell>
          <cell r="AD22">
            <v>12</v>
          </cell>
          <cell r="AE22">
            <v>5</v>
          </cell>
          <cell r="AF22"/>
          <cell r="AG22"/>
          <cell r="AH22"/>
          <cell r="AI22"/>
          <cell r="AJ22"/>
          <cell r="AK22"/>
          <cell r="AL22"/>
          <cell r="AM22">
            <v>39417</v>
          </cell>
          <cell r="AN22"/>
          <cell r="AO22">
            <v>12.941331994172272</v>
          </cell>
          <cell r="AP22">
            <v>12.941331994172272</v>
          </cell>
          <cell r="AQ22"/>
          <cell r="AR22"/>
          <cell r="AS22"/>
          <cell r="AT22">
            <v>39417</v>
          </cell>
          <cell r="AU22"/>
          <cell r="AV22">
            <v>11.82818206006994</v>
          </cell>
          <cell r="AW22">
            <v>11.82818206006994</v>
          </cell>
          <cell r="AX22"/>
          <cell r="AY22"/>
          <cell r="AZ22"/>
        </row>
        <row r="23">
          <cell r="B23">
            <v>39448</v>
          </cell>
          <cell r="C23"/>
          <cell r="D23">
            <v>3092067.48</v>
          </cell>
          <cell r="E23">
            <v>445207.9</v>
          </cell>
          <cell r="F23">
            <v>0</v>
          </cell>
          <cell r="G23">
            <v>6.9452215021341708</v>
          </cell>
          <cell r="H23" t="str">
            <v>c</v>
          </cell>
          <cell r="I23" t="str">
            <v>g</v>
          </cell>
          <cell r="J23" t="str">
            <v>c</v>
          </cell>
          <cell r="K23">
            <v>12</v>
          </cell>
          <cell r="L23">
            <v>5</v>
          </cell>
          <cell r="M23">
            <v>6.9452215021341708</v>
          </cell>
          <cell r="N23" t="str">
            <v>c</v>
          </cell>
          <cell r="O23" t="str">
            <v>c</v>
          </cell>
          <cell r="P23" t="str">
            <v>g</v>
          </cell>
          <cell r="Q23">
            <v>30</v>
          </cell>
          <cell r="R23">
            <v>20</v>
          </cell>
          <cell r="S23"/>
          <cell r="T23"/>
          <cell r="U23"/>
          <cell r="V23"/>
          <cell r="W23">
            <v>3092067.48</v>
          </cell>
          <cell r="X23">
            <v>445207.9</v>
          </cell>
          <cell r="Y23">
            <v>0</v>
          </cell>
          <cell r="Z23">
            <v>6.9452215021341708</v>
          </cell>
          <cell r="AA23" t="str">
            <v>c</v>
          </cell>
          <cell r="AB23" t="str">
            <v>g</v>
          </cell>
          <cell r="AC23" t="str">
            <v>c</v>
          </cell>
          <cell r="AD23">
            <v>12</v>
          </cell>
          <cell r="AE23">
            <v>5</v>
          </cell>
          <cell r="AF23"/>
          <cell r="AG23"/>
          <cell r="AH23"/>
          <cell r="AI23"/>
          <cell r="AJ23"/>
          <cell r="AK23"/>
          <cell r="AL23"/>
          <cell r="AM23">
            <v>39448</v>
          </cell>
          <cell r="AN23">
            <v>13.924487445183194</v>
          </cell>
          <cell r="AO23">
            <v>6.9452215021341708</v>
          </cell>
          <cell r="AP23">
            <v>-6.9792659430490236</v>
          </cell>
          <cell r="AQ23">
            <v>-0.50122246657368452</v>
          </cell>
          <cell r="AR23">
            <v>157.20263719333906</v>
          </cell>
          <cell r="AS23">
            <v>6.9452215021341708</v>
          </cell>
          <cell r="AT23">
            <v>39448</v>
          </cell>
          <cell r="AU23">
            <v>13.924487445183194</v>
          </cell>
          <cell r="AV23">
            <v>6.9452215021341708</v>
          </cell>
          <cell r="AW23">
            <v>-6.9792659430490236</v>
          </cell>
          <cell r="AX23">
            <v>-0.50122246657368452</v>
          </cell>
          <cell r="AY23">
            <v>170.15497606486582</v>
          </cell>
          <cell r="AZ23">
            <v>6.9452215021341708</v>
          </cell>
        </row>
        <row r="24">
          <cell r="B24">
            <v>39479</v>
          </cell>
          <cell r="C24"/>
          <cell r="D24">
            <v>3200925.09</v>
          </cell>
          <cell r="E24">
            <v>461417.51</v>
          </cell>
          <cell r="F24">
            <v>0</v>
          </cell>
          <cell r="G24">
            <v>6.9371556575735491</v>
          </cell>
          <cell r="H24" t="str">
            <v>c</v>
          </cell>
          <cell r="I24" t="str">
            <v>g</v>
          </cell>
          <cell r="J24" t="str">
            <v>c</v>
          </cell>
          <cell r="K24">
            <v>12</v>
          </cell>
          <cell r="L24">
            <v>5</v>
          </cell>
          <cell r="M24">
            <v>6.9371556575735491</v>
          </cell>
          <cell r="N24" t="str">
            <v>c</v>
          </cell>
          <cell r="O24" t="str">
            <v>c</v>
          </cell>
          <cell r="P24" t="str">
            <v>g</v>
          </cell>
          <cell r="Q24">
            <v>30</v>
          </cell>
          <cell r="R24">
            <v>20</v>
          </cell>
          <cell r="S24"/>
          <cell r="T24"/>
          <cell r="U24"/>
          <cell r="V24"/>
          <cell r="W24">
            <v>6292992.5700000003</v>
          </cell>
          <cell r="X24">
            <v>906625.41</v>
          </cell>
          <cell r="Y24">
            <v>0</v>
          </cell>
          <cell r="Z24">
            <v>6.9411164749948933</v>
          </cell>
          <cell r="AA24" t="str">
            <v>c</v>
          </cell>
          <cell r="AB24" t="str">
            <v>g</v>
          </cell>
          <cell r="AC24" t="str">
            <v>c</v>
          </cell>
          <cell r="AD24">
            <v>12</v>
          </cell>
          <cell r="AE24">
            <v>5</v>
          </cell>
          <cell r="AF24"/>
          <cell r="AG24"/>
          <cell r="AH24"/>
          <cell r="AI24"/>
          <cell r="AJ24"/>
          <cell r="AK24"/>
          <cell r="AL24"/>
          <cell r="AM24">
            <v>39479</v>
          </cell>
          <cell r="AN24">
            <v>14.68179944598338</v>
          </cell>
          <cell r="AO24">
            <v>6.9371556575735491</v>
          </cell>
          <cell r="AP24">
            <v>-7.7446437884098307</v>
          </cell>
          <cell r="AQ24">
            <v>-0.52749963087995977</v>
          </cell>
          <cell r="AR24">
            <v>157.20263719333906</v>
          </cell>
          <cell r="AS24">
            <v>13.882377159707719</v>
          </cell>
          <cell r="AT24">
            <v>39479</v>
          </cell>
          <cell r="AU24">
            <v>14.301134169429456</v>
          </cell>
          <cell r="AV24">
            <v>6.9411164749948933</v>
          </cell>
          <cell r="AW24">
            <v>-7.3600176944345632</v>
          </cell>
          <cell r="AX24">
            <v>-0.51464573419411463</v>
          </cell>
          <cell r="AY24">
            <v>170.15497606486582</v>
          </cell>
          <cell r="AZ24">
            <v>13.886337977129063</v>
          </cell>
        </row>
        <row r="25">
          <cell r="B25">
            <v>39508</v>
          </cell>
          <cell r="C25"/>
          <cell r="D25">
            <v>3238719.5899999905</v>
          </cell>
          <cell r="E25">
            <v>632045.93999999994</v>
          </cell>
          <cell r="F25">
            <v>0</v>
          </cell>
          <cell r="G25">
            <v>5.124183837016643</v>
          </cell>
          <cell r="H25" t="str">
            <v>c</v>
          </cell>
          <cell r="I25" t="str">
            <v>g</v>
          </cell>
          <cell r="J25" t="str">
            <v>c</v>
          </cell>
          <cell r="K25">
            <v>12</v>
          </cell>
          <cell r="L25">
            <v>5</v>
          </cell>
          <cell r="M25">
            <v>5.124183837016643</v>
          </cell>
          <cell r="N25" t="str">
            <v>c</v>
          </cell>
          <cell r="O25" t="str">
            <v>c</v>
          </cell>
          <cell r="P25" t="str">
            <v>g</v>
          </cell>
          <cell r="Q25">
            <v>30</v>
          </cell>
          <cell r="R25">
            <v>20</v>
          </cell>
          <cell r="S25"/>
          <cell r="T25"/>
          <cell r="U25"/>
          <cell r="V25"/>
          <cell r="W25">
            <v>9531712.1599999908</v>
          </cell>
          <cell r="X25">
            <v>1538671.35</v>
          </cell>
          <cell r="Y25">
            <v>0</v>
          </cell>
          <cell r="Z25">
            <v>6.1947680770165707</v>
          </cell>
          <cell r="AA25" t="str">
            <v>c</v>
          </cell>
          <cell r="AB25" t="str">
            <v>g</v>
          </cell>
          <cell r="AC25" t="str">
            <v>c</v>
          </cell>
          <cell r="AD25">
            <v>12</v>
          </cell>
          <cell r="AE25">
            <v>5</v>
          </cell>
          <cell r="AF25"/>
          <cell r="AG25"/>
          <cell r="AH25"/>
          <cell r="AI25"/>
          <cell r="AJ25"/>
          <cell r="AK25"/>
          <cell r="AL25"/>
          <cell r="AM25">
            <v>39508</v>
          </cell>
          <cell r="AN25">
            <v>18.94302593177871</v>
          </cell>
          <cell r="AO25">
            <v>5.124183837016643</v>
          </cell>
          <cell r="AP25">
            <v>-13.818842094762067</v>
          </cell>
          <cell r="AQ25">
            <v>-0.72949496793855184</v>
          </cell>
          <cell r="AR25">
            <v>157.20263719333906</v>
          </cell>
          <cell r="AS25">
            <v>6.9371556575735491</v>
          </cell>
          <cell r="AT25">
            <v>39508</v>
          </cell>
          <cell r="AU25">
            <v>15.847332635450023</v>
          </cell>
          <cell r="AV25">
            <v>6.1947680770165707</v>
          </cell>
          <cell r="AW25">
            <v>-9.6525645584334523</v>
          </cell>
          <cell r="AX25">
            <v>-0.60909711309024628</v>
          </cell>
          <cell r="AY25">
            <v>170.15497606486582</v>
          </cell>
          <cell r="AZ25">
            <v>6.9411164749948933</v>
          </cell>
        </row>
        <row r="26">
          <cell r="B26">
            <v>39539</v>
          </cell>
          <cell r="C26"/>
          <cell r="D26">
            <v>3808811.54</v>
          </cell>
          <cell r="E26">
            <v>515107.82</v>
          </cell>
          <cell r="F26">
            <v>0</v>
          </cell>
          <cell r="G26">
            <v>7.3942025186105695</v>
          </cell>
          <cell r="H26" t="str">
            <v>c</v>
          </cell>
          <cell r="I26" t="str">
            <v>g</v>
          </cell>
          <cell r="J26" t="str">
            <v>c</v>
          </cell>
          <cell r="K26">
            <v>12</v>
          </cell>
          <cell r="L26">
            <v>5</v>
          </cell>
          <cell r="M26">
            <v>7.3942025186105695</v>
          </cell>
          <cell r="N26" t="str">
            <v>c</v>
          </cell>
          <cell r="O26" t="str">
            <v>c</v>
          </cell>
          <cell r="P26" t="str">
            <v>g</v>
          </cell>
          <cell r="Q26">
            <v>30</v>
          </cell>
          <cell r="R26">
            <v>20</v>
          </cell>
          <cell r="S26"/>
          <cell r="T26"/>
          <cell r="U26"/>
          <cell r="V26"/>
          <cell r="W26">
            <v>13340523.699999992</v>
          </cell>
          <cell r="X26">
            <v>2053779.1700000002</v>
          </cell>
          <cell r="Y26">
            <v>0</v>
          </cell>
          <cell r="Z26">
            <v>6.4955979176670642</v>
          </cell>
          <cell r="AA26" t="str">
            <v>c</v>
          </cell>
          <cell r="AB26" t="str">
            <v>g</v>
          </cell>
          <cell r="AC26" t="str">
            <v>c</v>
          </cell>
          <cell r="AD26">
            <v>12</v>
          </cell>
          <cell r="AE26">
            <v>5</v>
          </cell>
          <cell r="AF26"/>
          <cell r="AG26"/>
          <cell r="AH26"/>
          <cell r="AI26"/>
          <cell r="AJ26"/>
          <cell r="AK26"/>
          <cell r="AL26"/>
          <cell r="AM26">
            <v>39539</v>
          </cell>
          <cell r="AN26">
            <v>14.151750762040237</v>
          </cell>
          <cell r="AO26">
            <v>7.3942025186105695</v>
          </cell>
          <cell r="AP26">
            <v>-6.7575482434296674</v>
          </cell>
          <cell r="AQ26">
            <v>-0.47750616563681214</v>
          </cell>
          <cell r="AR26">
            <v>157.20263719333906</v>
          </cell>
          <cell r="AS26">
            <v>12.061339494590193</v>
          </cell>
          <cell r="AT26">
            <v>39539</v>
          </cell>
          <cell r="AU26">
            <v>15.407699890143956</v>
          </cell>
          <cell r="AV26">
            <v>6.4955979176670642</v>
          </cell>
          <cell r="AW26">
            <v>-8.9121019724768917</v>
          </cell>
          <cell r="AX26">
            <v>-0.57841871505933296</v>
          </cell>
          <cell r="AY26">
            <v>170.15497606486582</v>
          </cell>
          <cell r="AZ26">
            <v>13.135884552011465</v>
          </cell>
        </row>
        <row r="27">
          <cell r="B27">
            <v>39569</v>
          </cell>
          <cell r="C27"/>
          <cell r="D27">
            <v>4328093.5500000082</v>
          </cell>
          <cell r="E27">
            <v>477955.15</v>
          </cell>
          <cell r="F27">
            <v>0</v>
          </cell>
          <cell r="G27">
            <v>9.0554386745283697</v>
          </cell>
          <cell r="H27" t="str">
            <v>c</v>
          </cell>
          <cell r="I27" t="str">
            <v>g</v>
          </cell>
          <cell r="J27" t="str">
            <v>c</v>
          </cell>
          <cell r="K27">
            <v>12</v>
          </cell>
          <cell r="L27">
            <v>5</v>
          </cell>
          <cell r="M27">
            <v>9.0554386745283697</v>
          </cell>
          <cell r="N27" t="str">
            <v>c</v>
          </cell>
          <cell r="O27" t="str">
            <v>c</v>
          </cell>
          <cell r="P27" t="str">
            <v>g</v>
          </cell>
          <cell r="Q27">
            <v>30</v>
          </cell>
          <cell r="R27">
            <v>20</v>
          </cell>
          <cell r="S27"/>
          <cell r="T27"/>
          <cell r="U27"/>
          <cell r="V27"/>
          <cell r="W27">
            <v>17668617.25</v>
          </cell>
          <cell r="X27">
            <v>2531734.3200000003</v>
          </cell>
          <cell r="Y27">
            <v>0</v>
          </cell>
          <cell r="Z27">
            <v>6.9788591600717398</v>
          </cell>
          <cell r="AA27" t="str">
            <v>c</v>
          </cell>
          <cell r="AB27" t="str">
            <v>g</v>
          </cell>
          <cell r="AC27" t="str">
            <v>c</v>
          </cell>
          <cell r="AD27">
            <v>12</v>
          </cell>
          <cell r="AE27">
            <v>5</v>
          </cell>
          <cell r="AF27"/>
          <cell r="AG27"/>
          <cell r="AH27"/>
          <cell r="AI27"/>
          <cell r="AJ27"/>
          <cell r="AK27"/>
          <cell r="AL27"/>
          <cell r="AM27">
            <v>39569</v>
          </cell>
          <cell r="AN27">
            <v>13.800684784781925</v>
          </cell>
          <cell r="AO27">
            <v>9.0554386745283697</v>
          </cell>
          <cell r="AP27">
            <v>-4.7452461102535555</v>
          </cell>
          <cell r="AQ27">
            <v>-0.34384135166148844</v>
          </cell>
          <cell r="AR27">
            <v>157.20263719333906</v>
          </cell>
          <cell r="AS27">
            <v>19.455542013200763</v>
          </cell>
          <cell r="AT27">
            <v>39569</v>
          </cell>
          <cell r="AU27">
            <v>15.029808653928173</v>
          </cell>
          <cell r="AV27">
            <v>6.9788591600717398</v>
          </cell>
          <cell r="AW27">
            <v>-8.0509494938564323</v>
          </cell>
          <cell r="AX27">
            <v>-0.53566546848567143</v>
          </cell>
          <cell r="AY27">
            <v>170.15497606486582</v>
          </cell>
          <cell r="AZ27">
            <v>19.631482469678531</v>
          </cell>
        </row>
        <row r="28">
          <cell r="B28">
            <v>39600</v>
          </cell>
          <cell r="C28"/>
          <cell r="D28">
            <v>4943140.29</v>
          </cell>
          <cell r="E28">
            <v>633088.84</v>
          </cell>
          <cell r="F28">
            <v>0</v>
          </cell>
          <cell r="G28">
            <v>7.8079725587960143</v>
          </cell>
          <cell r="H28" t="str">
            <v>c</v>
          </cell>
          <cell r="I28" t="str">
            <v>g</v>
          </cell>
          <cell r="J28" t="str">
            <v>c</v>
          </cell>
          <cell r="K28">
            <v>12</v>
          </cell>
          <cell r="L28">
            <v>5</v>
          </cell>
          <cell r="M28">
            <v>7.8079725587960143</v>
          </cell>
          <cell r="N28" t="str">
            <v>c</v>
          </cell>
          <cell r="O28" t="str">
            <v>c</v>
          </cell>
          <cell r="P28" t="str">
            <v>g</v>
          </cell>
          <cell r="Q28">
            <v>30</v>
          </cell>
          <cell r="R28">
            <v>20</v>
          </cell>
          <cell r="S28"/>
          <cell r="T28"/>
          <cell r="U28"/>
          <cell r="V28"/>
          <cell r="W28">
            <v>22611757.539999999</v>
          </cell>
          <cell r="X28">
            <v>3164823.16</v>
          </cell>
          <cell r="Y28">
            <v>0</v>
          </cell>
          <cell r="Z28">
            <v>7.1447143795547801</v>
          </cell>
          <cell r="AA28" t="str">
            <v>c</v>
          </cell>
          <cell r="AB28" t="str">
            <v>g</v>
          </cell>
          <cell r="AC28" t="str">
            <v>c</v>
          </cell>
          <cell r="AD28">
            <v>12</v>
          </cell>
          <cell r="AE28">
            <v>5</v>
          </cell>
          <cell r="AF28"/>
          <cell r="AG28"/>
          <cell r="AH28"/>
          <cell r="AI28"/>
          <cell r="AJ28"/>
          <cell r="AK28"/>
          <cell r="AL28"/>
          <cell r="AM28">
            <v>39600</v>
          </cell>
          <cell r="AN28">
            <v>14.915546690128901</v>
          </cell>
          <cell r="AO28">
            <v>7.8079725587960143</v>
          </cell>
          <cell r="AP28">
            <v>-7.1075741313328864</v>
          </cell>
          <cell r="AQ28">
            <v>-0.47652119489771527</v>
          </cell>
          <cell r="AR28">
            <v>157.20263719333906</v>
          </cell>
          <cell r="AS28">
            <v>28.510980687729131</v>
          </cell>
          <cell r="AT28">
            <v>39600</v>
          </cell>
          <cell r="AU28">
            <v>15.008171888628635</v>
          </cell>
          <cell r="AV28">
            <v>7.1447143795547801</v>
          </cell>
          <cell r="AW28">
            <v>-7.8634575090738545</v>
          </cell>
          <cell r="AX28">
            <v>-0.523945059226822</v>
          </cell>
          <cell r="AY28">
            <v>170.15497606486582</v>
          </cell>
          <cell r="AZ28">
            <v>26.61034162975027</v>
          </cell>
        </row>
        <row r="29">
          <cell r="B29">
            <v>39630</v>
          </cell>
          <cell r="C29"/>
          <cell r="D29">
            <v>6338393.1199999992</v>
          </cell>
          <cell r="E29">
            <v>574321</v>
          </cell>
          <cell r="F29">
            <v>0</v>
          </cell>
          <cell r="G29">
            <v>11.036324842727323</v>
          </cell>
          <cell r="H29" t="str">
            <v>c</v>
          </cell>
          <cell r="I29" t="str">
            <v>g</v>
          </cell>
          <cell r="J29" t="str">
            <v>c</v>
          </cell>
          <cell r="K29">
            <v>12</v>
          </cell>
          <cell r="L29">
            <v>5</v>
          </cell>
          <cell r="M29">
            <v>11.036324842727323</v>
          </cell>
          <cell r="N29" t="str">
            <v>c</v>
          </cell>
          <cell r="O29" t="str">
            <v>c</v>
          </cell>
          <cell r="P29" t="str">
            <v>g</v>
          </cell>
          <cell r="Q29">
            <v>30</v>
          </cell>
          <cell r="R29">
            <v>20</v>
          </cell>
          <cell r="S29"/>
          <cell r="T29"/>
          <cell r="U29"/>
          <cell r="V29"/>
          <cell r="W29">
            <v>28950150.659999996</v>
          </cell>
          <cell r="X29">
            <v>3739144.16</v>
          </cell>
          <cell r="Y29">
            <v>0</v>
          </cell>
          <cell r="Z29">
            <v>7.7424537330489001</v>
          </cell>
          <cell r="AA29" t="str">
            <v>c</v>
          </cell>
          <cell r="AB29" t="str">
            <v>g</v>
          </cell>
          <cell r="AC29" t="str">
            <v>c</v>
          </cell>
          <cell r="AD29">
            <v>12</v>
          </cell>
          <cell r="AE29">
            <v>5</v>
          </cell>
          <cell r="AF29"/>
          <cell r="AG29"/>
          <cell r="AH29"/>
          <cell r="AI29"/>
          <cell r="AJ29"/>
          <cell r="AK29"/>
          <cell r="AL29"/>
          <cell r="AM29">
            <v>39630</v>
          </cell>
          <cell r="AN29">
            <v>18.064823044670757</v>
          </cell>
          <cell r="AO29">
            <v>11.036324842727323</v>
          </cell>
          <cell r="AP29">
            <v>-7.0284982019434334</v>
          </cell>
          <cell r="AQ29">
            <v>-0.3890709687309607</v>
          </cell>
          <cell r="AR29">
            <v>157.20263719333906</v>
          </cell>
          <cell r="AS29">
            <v>36.318953246525147</v>
          </cell>
          <cell r="AT29">
            <v>39630</v>
          </cell>
          <cell r="AU29">
            <v>15.474971426067134</v>
          </cell>
          <cell r="AV29">
            <v>7.7424537330489001</v>
          </cell>
          <cell r="AW29">
            <v>-7.7325176930182336</v>
          </cell>
          <cell r="AX29">
            <v>-0.4996789641881364</v>
          </cell>
          <cell r="AY29">
            <v>170.15497606486582</v>
          </cell>
          <cell r="AZ29">
            <v>33.755056009305051</v>
          </cell>
        </row>
        <row r="30">
          <cell r="B30">
            <v>39661</v>
          </cell>
          <cell r="C30"/>
          <cell r="D30">
            <v>6004973.1000000015</v>
          </cell>
          <cell r="E30">
            <v>578322.17000000004</v>
          </cell>
          <cell r="F30"/>
          <cell r="G30">
            <v>10.383439216933359</v>
          </cell>
          <cell r="H30" t="str">
            <v>c</v>
          </cell>
          <cell r="I30" t="str">
            <v>g</v>
          </cell>
          <cell r="J30" t="str">
            <v>c</v>
          </cell>
          <cell r="K30">
            <v>12</v>
          </cell>
          <cell r="L30">
            <v>5</v>
          </cell>
          <cell r="M30">
            <v>10.383439216933359</v>
          </cell>
          <cell r="N30" t="str">
            <v>c</v>
          </cell>
          <cell r="O30" t="str">
            <v>c</v>
          </cell>
          <cell r="P30" t="str">
            <v>g</v>
          </cell>
          <cell r="Q30">
            <v>30</v>
          </cell>
          <cell r="R30">
            <v>20</v>
          </cell>
          <cell r="S30"/>
          <cell r="T30"/>
          <cell r="U30"/>
          <cell r="V30"/>
          <cell r="W30">
            <v>34955123.759999998</v>
          </cell>
          <cell r="X30">
            <v>4317466.33</v>
          </cell>
          <cell r="Y30" t="str">
            <v/>
          </cell>
          <cell r="Z30">
            <v>8.096212243072662</v>
          </cell>
          <cell r="AA30" t="str">
            <v>c</v>
          </cell>
          <cell r="AB30" t="str">
            <v>g</v>
          </cell>
          <cell r="AC30" t="str">
            <v>c</v>
          </cell>
          <cell r="AD30">
            <v>12</v>
          </cell>
          <cell r="AE30">
            <v>5</v>
          </cell>
          <cell r="AF30"/>
          <cell r="AG30"/>
          <cell r="AH30"/>
          <cell r="AI30"/>
          <cell r="AJ30"/>
          <cell r="AK30"/>
          <cell r="AL30"/>
          <cell r="AM30">
            <v>39661</v>
          </cell>
          <cell r="AN30">
            <v>8.6001948122373513</v>
          </cell>
          <cell r="AO30">
            <v>10.383439216933359</v>
          </cell>
          <cell r="AP30">
            <v>1.7832444046960081</v>
          </cell>
          <cell r="AQ30">
            <v>0.20734930354817105</v>
          </cell>
          <cell r="AR30">
            <v>157.20263719333906</v>
          </cell>
          <cell r="AS30">
            <v>47.355278089252472</v>
          </cell>
          <cell r="AT30">
            <v>39661</v>
          </cell>
          <cell r="AU30">
            <v>14.300858851520504</v>
          </cell>
          <cell r="AV30">
            <v>8.096212243072662</v>
          </cell>
          <cell r="AW30">
            <v>-6.2046466084478418</v>
          </cell>
          <cell r="AX30">
            <v>-0.43386531346599144</v>
          </cell>
          <cell r="AY30">
            <v>170.15497606486582</v>
          </cell>
          <cell r="AZ30">
            <v>41.497509742353948</v>
          </cell>
        </row>
        <row r="31">
          <cell r="B31">
            <v>39692</v>
          </cell>
          <cell r="C31"/>
          <cell r="D31">
            <v>7748356.5700000031</v>
          </cell>
          <cell r="E31">
            <v>614263.4</v>
          </cell>
          <cell r="F31"/>
          <cell r="G31">
            <v>12.614061931738084</v>
          </cell>
          <cell r="H31" t="str">
            <v>g</v>
          </cell>
          <cell r="I31" t="str">
            <v>c</v>
          </cell>
          <cell r="J31" t="str">
            <v>c</v>
          </cell>
          <cell r="K31">
            <v>12</v>
          </cell>
          <cell r="L31">
            <v>5</v>
          </cell>
          <cell r="M31">
            <v>12.614061931738084</v>
          </cell>
          <cell r="N31" t="str">
            <v>c</v>
          </cell>
          <cell r="O31" t="str">
            <v>c</v>
          </cell>
          <cell r="P31" t="str">
            <v>g</v>
          </cell>
          <cell r="Q31">
            <v>30</v>
          </cell>
          <cell r="R31">
            <v>20</v>
          </cell>
          <cell r="S31"/>
          <cell r="T31"/>
          <cell r="U31"/>
          <cell r="V31"/>
          <cell r="W31">
            <v>42703480.329999998</v>
          </cell>
          <cell r="X31">
            <v>4931729.7300000004</v>
          </cell>
          <cell r="Y31" t="str">
            <v/>
          </cell>
          <cell r="Z31">
            <v>8.6589255023916305</v>
          </cell>
          <cell r="AA31" t="str">
            <v>c</v>
          </cell>
          <cell r="AB31" t="str">
            <v>g</v>
          </cell>
          <cell r="AC31" t="str">
            <v>c</v>
          </cell>
          <cell r="AD31">
            <v>12</v>
          </cell>
          <cell r="AE31">
            <v>5</v>
          </cell>
          <cell r="AF31"/>
          <cell r="AG31"/>
          <cell r="AH31"/>
          <cell r="AI31"/>
          <cell r="AJ31"/>
          <cell r="AK31"/>
          <cell r="AL31"/>
          <cell r="AM31">
            <v>39692</v>
          </cell>
          <cell r="AN31">
            <v>10.223358890103228</v>
          </cell>
          <cell r="AO31">
            <v>12.614061931738084</v>
          </cell>
          <cell r="AP31"/>
          <cell r="AQ31"/>
          <cell r="AR31">
            <v>157.20263719333906</v>
          </cell>
          <cell r="AS31">
            <v>57.738717306185833</v>
          </cell>
          <cell r="AT31">
            <v>39692</v>
          </cell>
          <cell r="AU31">
            <v>13.74601637564998</v>
          </cell>
          <cell r="AV31">
            <v>8.6589255023916305</v>
          </cell>
          <cell r="AW31"/>
          <cell r="AX31"/>
          <cell r="AY31">
            <v>170.15497606486582</v>
          </cell>
          <cell r="AZ31">
            <v>49.593721985426612</v>
          </cell>
        </row>
        <row r="32">
          <cell r="B32">
            <v>39722</v>
          </cell>
          <cell r="C32"/>
          <cell r="D32">
            <v>6542707.3550000014</v>
          </cell>
          <cell r="E32">
            <v>488142.44</v>
          </cell>
          <cell r="F32"/>
          <cell r="G32">
            <v>13.403274984654072</v>
          </cell>
          <cell r="H32" t="str">
            <v>g</v>
          </cell>
          <cell r="I32" t="str">
            <v>c</v>
          </cell>
          <cell r="J32" t="str">
            <v>c</v>
          </cell>
          <cell r="K32">
            <v>12</v>
          </cell>
          <cell r="L32">
            <v>5</v>
          </cell>
          <cell r="M32">
            <v>13.403274984654072</v>
          </cell>
          <cell r="N32" t="str">
            <v>c</v>
          </cell>
          <cell r="O32" t="str">
            <v>c</v>
          </cell>
          <cell r="P32" t="str">
            <v>g</v>
          </cell>
          <cell r="Q32">
            <v>30</v>
          </cell>
          <cell r="R32">
            <v>20</v>
          </cell>
          <cell r="S32"/>
          <cell r="T32"/>
          <cell r="U32"/>
          <cell r="V32"/>
          <cell r="W32">
            <v>49246187.685000002</v>
          </cell>
          <cell r="X32">
            <v>5419872.1700000009</v>
          </cell>
          <cell r="Y32" t="str">
            <v/>
          </cell>
          <cell r="Z32">
            <v>9.0862267854926166</v>
          </cell>
          <cell r="AA32" t="str">
            <v>c</v>
          </cell>
          <cell r="AB32" t="str">
            <v>g</v>
          </cell>
          <cell r="AC32" t="str">
            <v>c</v>
          </cell>
          <cell r="AD32">
            <v>12</v>
          </cell>
          <cell r="AE32">
            <v>5</v>
          </cell>
          <cell r="AF32"/>
          <cell r="AG32"/>
          <cell r="AH32"/>
          <cell r="AI32"/>
          <cell r="AJ32"/>
          <cell r="AK32"/>
          <cell r="AL32"/>
          <cell r="AM32">
            <v>39722</v>
          </cell>
          <cell r="AN32">
            <v>12.211190003933481</v>
          </cell>
          <cell r="AO32">
            <v>13.403274984654072</v>
          </cell>
          <cell r="AP32"/>
          <cell r="AQ32"/>
          <cell r="AR32">
            <v>157.20263719333906</v>
          </cell>
          <cell r="AS32">
            <v>70.352779237923912</v>
          </cell>
          <cell r="AT32">
            <v>39722</v>
          </cell>
          <cell r="AU32">
            <v>13.583453440701739</v>
          </cell>
          <cell r="AV32">
            <v>9.0862267854926166</v>
          </cell>
          <cell r="AW32"/>
          <cell r="AX32"/>
          <cell r="AY32">
            <v>170.15497606486582</v>
          </cell>
          <cell r="AZ32">
            <v>58.252647487818244</v>
          </cell>
        </row>
        <row r="33">
          <cell r="B33">
            <v>39753</v>
          </cell>
          <cell r="C33"/>
          <cell r="D33">
            <v>3253720.09</v>
          </cell>
          <cell r="E33">
            <v>642735.27</v>
          </cell>
          <cell r="F33"/>
          <cell r="G33">
            <v>5.0623020734493061</v>
          </cell>
          <cell r="H33" t="str">
            <v>c</v>
          </cell>
          <cell r="I33" t="str">
            <v>g</v>
          </cell>
          <cell r="J33" t="str">
            <v>c</v>
          </cell>
          <cell r="K33">
            <v>12</v>
          </cell>
          <cell r="L33">
            <v>5</v>
          </cell>
          <cell r="M33">
            <v>5.0623020734493061</v>
          </cell>
          <cell r="N33" t="str">
            <v>c</v>
          </cell>
          <cell r="O33" t="str">
            <v>c</v>
          </cell>
          <cell r="P33" t="str">
            <v>g</v>
          </cell>
          <cell r="Q33">
            <v>30</v>
          </cell>
          <cell r="R33">
            <v>20</v>
          </cell>
          <cell r="S33"/>
          <cell r="T33"/>
          <cell r="U33"/>
          <cell r="V33"/>
          <cell r="W33">
            <v>52499907.775000006</v>
          </cell>
          <cell r="X33">
            <v>6062607.4400000013</v>
          </cell>
          <cell r="Y33" t="str">
            <v/>
          </cell>
          <cell r="Z33">
            <v>8.6596251356495539</v>
          </cell>
          <cell r="AA33" t="str">
            <v>c</v>
          </cell>
          <cell r="AB33" t="str">
            <v>g</v>
          </cell>
          <cell r="AC33" t="str">
            <v>c</v>
          </cell>
          <cell r="AD33">
            <v>12</v>
          </cell>
          <cell r="AE33">
            <v>5</v>
          </cell>
          <cell r="AF33"/>
          <cell r="AG33"/>
          <cell r="AH33"/>
          <cell r="AI33"/>
          <cell r="AJ33"/>
          <cell r="AK33"/>
          <cell r="AL33"/>
          <cell r="AM33">
            <v>39753</v>
          </cell>
          <cell r="AN33">
            <v>4.7444433883256361</v>
          </cell>
          <cell r="AO33">
            <v>5.0623020734493061</v>
          </cell>
          <cell r="AP33"/>
          <cell r="AQ33"/>
          <cell r="AR33">
            <v>157.20263719333906</v>
          </cell>
          <cell r="AS33">
            <v>83.756054222577987</v>
          </cell>
          <cell r="AT33">
            <v>39753</v>
          </cell>
          <cell r="AU33">
            <v>11.702859228093104</v>
          </cell>
          <cell r="AV33">
            <v>8.6596251356495539</v>
          </cell>
          <cell r="AW33"/>
          <cell r="AX33"/>
          <cell r="AY33">
            <v>170.15497606486582</v>
          </cell>
          <cell r="AZ33">
            <v>67.338874273310864</v>
          </cell>
        </row>
        <row r="34">
          <cell r="B34">
            <v>39783</v>
          </cell>
          <cell r="C34"/>
          <cell r="D34">
            <v>8222319.3000000026</v>
          </cell>
          <cell r="E34">
            <v>-614379.91</v>
          </cell>
          <cell r="F34"/>
          <cell r="G34">
            <v>-13.383118761158714</v>
          </cell>
          <cell r="H34" t="str">
            <v>c</v>
          </cell>
          <cell r="I34" t="str">
            <v>c</v>
          </cell>
          <cell r="J34" t="str">
            <v>g</v>
          </cell>
          <cell r="K34">
            <v>12</v>
          </cell>
          <cell r="L34">
            <v>5</v>
          </cell>
          <cell r="M34">
            <v>-13.383118761158714</v>
          </cell>
          <cell r="N34" t="str">
            <v>c</v>
          </cell>
          <cell r="O34" t="str">
            <v>c</v>
          </cell>
          <cell r="P34" t="str">
            <v>g</v>
          </cell>
          <cell r="Q34">
            <v>30</v>
          </cell>
          <cell r="R34">
            <v>20</v>
          </cell>
          <cell r="S34"/>
          <cell r="T34"/>
          <cell r="U34"/>
          <cell r="V34"/>
          <cell r="W34">
            <v>60722227.07500001</v>
          </cell>
          <cell r="X34">
            <v>5448227.5300000012</v>
          </cell>
          <cell r="Y34" t="str">
            <v/>
          </cell>
          <cell r="Z34">
            <v>11.145317764473026</v>
          </cell>
          <cell r="AA34" t="str">
            <v>c</v>
          </cell>
          <cell r="AB34" t="str">
            <v>g</v>
          </cell>
          <cell r="AC34" t="str">
            <v>c</v>
          </cell>
          <cell r="AD34">
            <v>12</v>
          </cell>
          <cell r="AE34">
            <v>5</v>
          </cell>
          <cell r="AF34"/>
          <cell r="AG34"/>
          <cell r="AH34"/>
          <cell r="AI34"/>
          <cell r="AJ34"/>
          <cell r="AK34"/>
          <cell r="AL34"/>
          <cell r="AM34">
            <v>39783</v>
          </cell>
          <cell r="AN34">
            <v>12.941331994172272</v>
          </cell>
          <cell r="AO34">
            <v>-13.383118761158714</v>
          </cell>
          <cell r="AP34"/>
          <cell r="AQ34"/>
          <cell r="AR34">
            <v>157.20263719333906</v>
          </cell>
          <cell r="AS34">
            <v>88.818356296027289</v>
          </cell>
          <cell r="AT34">
            <v>39783</v>
          </cell>
          <cell r="AU34">
            <v>11.82818206006994</v>
          </cell>
          <cell r="AV34">
            <v>11.145317764473026</v>
          </cell>
          <cell r="AW34"/>
          <cell r="AX34"/>
          <cell r="AY34">
            <v>170.15497606486582</v>
          </cell>
          <cell r="AZ34">
            <v>75.998499408960413</v>
          </cell>
        </row>
        <row r="35">
          <cell r="B35">
            <v>39814</v>
          </cell>
          <cell r="C35"/>
          <cell r="D35"/>
          <cell r="E35"/>
          <cell r="F35"/>
          <cell r="G35" t="str">
            <v/>
          </cell>
          <cell r="H35" t="str">
            <v/>
          </cell>
          <cell r="I35" t="str">
            <v/>
          </cell>
          <cell r="J35" t="str">
            <v/>
          </cell>
          <cell r="K35">
            <v>12</v>
          </cell>
          <cell r="L35">
            <v>5</v>
          </cell>
          <cell r="M35" t="str">
            <v/>
          </cell>
          <cell r="N35" t="str">
            <v/>
          </cell>
          <cell r="O35" t="str">
            <v/>
          </cell>
          <cell r="P35" t="str">
            <v/>
          </cell>
          <cell r="Q35">
            <v>30</v>
          </cell>
          <cell r="R35">
            <v>20</v>
          </cell>
          <cell r="S35"/>
          <cell r="T35"/>
          <cell r="U35"/>
          <cell r="V35"/>
          <cell r="W35" t="str">
            <v/>
          </cell>
          <cell r="X35" t="str">
            <v/>
          </cell>
          <cell r="Y35" t="str">
            <v/>
          </cell>
          <cell r="Z35" t="str">
            <v/>
          </cell>
          <cell r="AA35" t="str">
            <v/>
          </cell>
          <cell r="AB35" t="str">
            <v/>
          </cell>
          <cell r="AC35" t="str">
            <v/>
          </cell>
          <cell r="AD35">
            <v>12</v>
          </cell>
          <cell r="AE35">
            <v>5</v>
          </cell>
          <cell r="AF35"/>
          <cell r="AG35"/>
          <cell r="AH35"/>
          <cell r="AI35"/>
          <cell r="AJ35"/>
          <cell r="AK35"/>
          <cell r="AL35"/>
          <cell r="AM35">
            <v>39814</v>
          </cell>
          <cell r="AN35">
            <v>6.9452215021341708</v>
          </cell>
          <cell r="AO35" t="str">
            <v/>
          </cell>
          <cell r="AP35"/>
          <cell r="AQ35"/>
          <cell r="AR35"/>
          <cell r="AS35"/>
          <cell r="AT35">
            <v>39814</v>
          </cell>
          <cell r="AU35">
            <v>6.9452215021341708</v>
          </cell>
          <cell r="AV35" t="str">
            <v/>
          </cell>
          <cell r="AW35"/>
          <cell r="AX35"/>
          <cell r="AY35"/>
          <cell r="AZ35"/>
        </row>
        <row r="36">
          <cell r="B36">
            <v>39845</v>
          </cell>
          <cell r="C36"/>
          <cell r="D36"/>
          <cell r="E36"/>
          <cell r="F36"/>
          <cell r="G36" t="str">
            <v/>
          </cell>
          <cell r="H36" t="str">
            <v/>
          </cell>
          <cell r="I36" t="str">
            <v/>
          </cell>
          <cell r="J36" t="str">
            <v/>
          </cell>
          <cell r="K36">
            <v>12</v>
          </cell>
          <cell r="L36">
            <v>5</v>
          </cell>
          <cell r="M36"/>
          <cell r="N36"/>
          <cell r="O36"/>
          <cell r="P36"/>
          <cell r="Q36"/>
          <cell r="R36"/>
          <cell r="S36"/>
          <cell r="T36"/>
          <cell r="U36"/>
          <cell r="V36"/>
          <cell r="W36" t="str">
            <v/>
          </cell>
          <cell r="X36" t="str">
            <v/>
          </cell>
          <cell r="Y36" t="str">
            <v/>
          </cell>
          <cell r="Z36" t="str">
            <v/>
          </cell>
          <cell r="AA36" t="str">
            <v/>
          </cell>
          <cell r="AB36" t="str">
            <v/>
          </cell>
          <cell r="AC36" t="str">
            <v/>
          </cell>
          <cell r="AD36">
            <v>12</v>
          </cell>
          <cell r="AE36">
            <v>5</v>
          </cell>
          <cell r="AF36"/>
          <cell r="AG36"/>
          <cell r="AH36"/>
          <cell r="AI36"/>
          <cell r="AJ36"/>
          <cell r="AK36"/>
          <cell r="AL36"/>
          <cell r="AM36">
            <v>39845</v>
          </cell>
          <cell r="AN36">
            <v>6.9371556575735491</v>
          </cell>
          <cell r="AO36" t="str">
            <v/>
          </cell>
          <cell r="AP36"/>
          <cell r="AQ36"/>
          <cell r="AR36"/>
          <cell r="AS36"/>
          <cell r="AT36">
            <v>39845</v>
          </cell>
          <cell r="AU36">
            <v>6.9411164749948933</v>
          </cell>
          <cell r="AV36" t="str">
            <v/>
          </cell>
          <cell r="AW36"/>
          <cell r="AX36"/>
          <cell r="AY36"/>
          <cell r="AZ36"/>
        </row>
        <row r="37">
          <cell r="B37">
            <v>39873</v>
          </cell>
          <cell r="C37"/>
          <cell r="D37"/>
          <cell r="E37"/>
          <cell r="F37"/>
          <cell r="G37" t="str">
            <v/>
          </cell>
          <cell r="H37" t="str">
            <v/>
          </cell>
          <cell r="I37" t="str">
            <v/>
          </cell>
          <cell r="J37" t="str">
            <v/>
          </cell>
          <cell r="K37">
            <v>12</v>
          </cell>
          <cell r="L37">
            <v>5</v>
          </cell>
          <cell r="M37"/>
          <cell r="N37"/>
          <cell r="O37"/>
          <cell r="P37"/>
          <cell r="Q37"/>
          <cell r="R37"/>
          <cell r="S37"/>
          <cell r="T37"/>
          <cell r="U37"/>
          <cell r="V37"/>
          <cell r="W37" t="str">
            <v/>
          </cell>
          <cell r="X37" t="str">
            <v/>
          </cell>
          <cell r="Y37" t="str">
            <v/>
          </cell>
          <cell r="Z37" t="str">
            <v/>
          </cell>
          <cell r="AA37" t="str">
            <v/>
          </cell>
          <cell r="AB37" t="str">
            <v/>
          </cell>
          <cell r="AC37" t="str">
            <v/>
          </cell>
          <cell r="AD37">
            <v>12</v>
          </cell>
          <cell r="AE37">
            <v>5</v>
          </cell>
          <cell r="AF37"/>
          <cell r="AG37"/>
          <cell r="AH37"/>
          <cell r="AI37"/>
          <cell r="AJ37"/>
          <cell r="AK37"/>
          <cell r="AL37"/>
          <cell r="AM37">
            <v>39873</v>
          </cell>
          <cell r="AN37">
            <v>5.124183837016643</v>
          </cell>
          <cell r="AO37" t="str">
            <v/>
          </cell>
          <cell r="AP37"/>
          <cell r="AQ37"/>
          <cell r="AR37"/>
          <cell r="AS37"/>
          <cell r="AT37">
            <v>39873</v>
          </cell>
          <cell r="AU37">
            <v>6.1947680770165707</v>
          </cell>
          <cell r="AV37" t="str">
            <v/>
          </cell>
          <cell r="AW37"/>
          <cell r="AX37"/>
          <cell r="AY37"/>
          <cell r="AZ37"/>
        </row>
        <row r="38">
          <cell r="B38">
            <v>39904</v>
          </cell>
          <cell r="C38"/>
          <cell r="D38"/>
          <cell r="E38"/>
          <cell r="F38"/>
          <cell r="G38" t="str">
            <v/>
          </cell>
          <cell r="H38" t="str">
            <v/>
          </cell>
          <cell r="I38" t="str">
            <v/>
          </cell>
          <cell r="J38" t="str">
            <v/>
          </cell>
          <cell r="K38">
            <v>12</v>
          </cell>
          <cell r="L38">
            <v>5</v>
          </cell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 t="str">
            <v/>
          </cell>
          <cell r="X38" t="str">
            <v/>
          </cell>
          <cell r="Y38" t="str">
            <v/>
          </cell>
          <cell r="Z38" t="str">
            <v/>
          </cell>
          <cell r="AA38" t="str">
            <v/>
          </cell>
          <cell r="AB38" t="str">
            <v/>
          </cell>
          <cell r="AC38" t="str">
            <v/>
          </cell>
          <cell r="AD38">
            <v>12</v>
          </cell>
          <cell r="AE38">
            <v>5</v>
          </cell>
          <cell r="AF38"/>
          <cell r="AG38"/>
          <cell r="AH38"/>
          <cell r="AI38"/>
          <cell r="AJ38"/>
          <cell r="AK38"/>
          <cell r="AL38"/>
          <cell r="AM38">
            <v>39904</v>
          </cell>
          <cell r="AN38">
            <v>7.3942025186105695</v>
          </cell>
          <cell r="AO38" t="str">
            <v/>
          </cell>
          <cell r="AP38"/>
          <cell r="AQ38"/>
          <cell r="AR38"/>
          <cell r="AS38"/>
          <cell r="AT38">
            <v>39904</v>
          </cell>
          <cell r="AU38">
            <v>6.4955979176670642</v>
          </cell>
          <cell r="AV38" t="str">
            <v/>
          </cell>
          <cell r="AW38"/>
          <cell r="AX38"/>
          <cell r="AY38"/>
          <cell r="AZ38"/>
        </row>
        <row r="39">
          <cell r="B39">
            <v>39934</v>
          </cell>
          <cell r="C39"/>
          <cell r="D39"/>
          <cell r="E39"/>
          <cell r="F39"/>
          <cell r="G39" t="str">
            <v/>
          </cell>
          <cell r="H39" t="str">
            <v/>
          </cell>
          <cell r="I39" t="str">
            <v/>
          </cell>
          <cell r="J39" t="str">
            <v/>
          </cell>
          <cell r="K39">
            <v>12</v>
          </cell>
          <cell r="L39">
            <v>5</v>
          </cell>
          <cell r="M39"/>
          <cell r="N39"/>
          <cell r="O39"/>
          <cell r="P39"/>
          <cell r="Q39"/>
          <cell r="R39"/>
          <cell r="S39"/>
          <cell r="T39"/>
          <cell r="U39"/>
          <cell r="V39"/>
          <cell r="W39" t="str">
            <v/>
          </cell>
          <cell r="X39" t="str">
            <v/>
          </cell>
          <cell r="Y39" t="str">
            <v/>
          </cell>
          <cell r="Z39" t="str">
            <v/>
          </cell>
          <cell r="AA39" t="str">
            <v/>
          </cell>
          <cell r="AB39" t="str">
            <v/>
          </cell>
          <cell r="AC39" t="str">
            <v/>
          </cell>
          <cell r="AD39">
            <v>12</v>
          </cell>
          <cell r="AE39">
            <v>5</v>
          </cell>
          <cell r="AF39"/>
          <cell r="AG39"/>
          <cell r="AH39"/>
          <cell r="AI39"/>
          <cell r="AJ39"/>
          <cell r="AK39"/>
          <cell r="AL39"/>
          <cell r="AM39">
            <v>39934</v>
          </cell>
          <cell r="AN39">
            <v>9.0554386745283697</v>
          </cell>
          <cell r="AO39" t="str">
            <v/>
          </cell>
          <cell r="AP39"/>
          <cell r="AQ39"/>
          <cell r="AR39"/>
          <cell r="AS39"/>
          <cell r="AT39">
            <v>39934</v>
          </cell>
          <cell r="AU39">
            <v>6.9788591600717398</v>
          </cell>
          <cell r="AV39" t="str">
            <v/>
          </cell>
          <cell r="AW39"/>
          <cell r="AX39"/>
          <cell r="AY39"/>
          <cell r="AZ39"/>
        </row>
        <row r="40">
          <cell r="B40">
            <v>39965</v>
          </cell>
          <cell r="C40"/>
          <cell r="D40"/>
          <cell r="E40"/>
          <cell r="F40"/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>
            <v>12</v>
          </cell>
          <cell r="L40">
            <v>5</v>
          </cell>
          <cell r="M40"/>
          <cell r="N40"/>
          <cell r="O40"/>
          <cell r="P40"/>
          <cell r="Q40"/>
          <cell r="R40"/>
          <cell r="S40"/>
          <cell r="T40"/>
          <cell r="U40"/>
          <cell r="V40"/>
          <cell r="W40" t="str">
            <v/>
          </cell>
          <cell r="X40" t="str">
            <v/>
          </cell>
          <cell r="Y40" t="str">
            <v/>
          </cell>
          <cell r="Z40" t="str">
            <v/>
          </cell>
          <cell r="AA40" t="str">
            <v/>
          </cell>
          <cell r="AB40" t="str">
            <v/>
          </cell>
          <cell r="AC40" t="str">
            <v/>
          </cell>
          <cell r="AD40">
            <v>12</v>
          </cell>
          <cell r="AE40">
            <v>5</v>
          </cell>
          <cell r="AF40"/>
          <cell r="AG40"/>
          <cell r="AH40"/>
          <cell r="AI40"/>
          <cell r="AJ40"/>
          <cell r="AK40"/>
          <cell r="AL40"/>
          <cell r="AM40">
            <v>39965</v>
          </cell>
          <cell r="AN40">
            <v>7.8079725587960143</v>
          </cell>
          <cell r="AO40" t="str">
            <v/>
          </cell>
          <cell r="AP40"/>
          <cell r="AQ40"/>
          <cell r="AR40"/>
          <cell r="AS40"/>
          <cell r="AT40">
            <v>39965</v>
          </cell>
          <cell r="AU40">
            <v>7.1447143795547801</v>
          </cell>
          <cell r="AV40" t="str">
            <v/>
          </cell>
          <cell r="AW40"/>
          <cell r="AX40"/>
          <cell r="AY40"/>
          <cell r="AZ40"/>
        </row>
        <row r="41">
          <cell r="B41">
            <v>39995</v>
          </cell>
          <cell r="C41"/>
          <cell r="D41"/>
          <cell r="E41"/>
          <cell r="F41"/>
          <cell r="G41" t="str">
            <v/>
          </cell>
          <cell r="H41" t="str">
            <v/>
          </cell>
          <cell r="I41" t="str">
            <v/>
          </cell>
          <cell r="J41" t="str">
            <v/>
          </cell>
          <cell r="K41">
            <v>12</v>
          </cell>
          <cell r="L41">
            <v>5</v>
          </cell>
          <cell r="M41"/>
          <cell r="N41"/>
          <cell r="O41"/>
          <cell r="P41"/>
          <cell r="Q41"/>
          <cell r="R41"/>
          <cell r="S41"/>
          <cell r="T41"/>
          <cell r="U41"/>
          <cell r="V41"/>
          <cell r="W41" t="str">
            <v/>
          </cell>
          <cell r="X41" t="str">
            <v/>
          </cell>
          <cell r="Y41" t="str">
            <v/>
          </cell>
          <cell r="Z41" t="str">
            <v/>
          </cell>
          <cell r="AA41" t="str">
            <v/>
          </cell>
          <cell r="AB41" t="str">
            <v/>
          </cell>
          <cell r="AC41" t="str">
            <v/>
          </cell>
          <cell r="AD41">
            <v>12</v>
          </cell>
          <cell r="AE41">
            <v>5</v>
          </cell>
          <cell r="AF41"/>
          <cell r="AG41"/>
          <cell r="AH41"/>
          <cell r="AI41"/>
          <cell r="AJ41"/>
          <cell r="AK41"/>
          <cell r="AL41"/>
          <cell r="AM41">
            <v>39995</v>
          </cell>
          <cell r="AN41">
            <v>11.036324842727323</v>
          </cell>
          <cell r="AO41" t="str">
            <v/>
          </cell>
          <cell r="AP41"/>
          <cell r="AQ41"/>
          <cell r="AR41"/>
          <cell r="AS41"/>
          <cell r="AT41">
            <v>39995</v>
          </cell>
          <cell r="AU41">
            <v>7.7424537330489001</v>
          </cell>
          <cell r="AV41" t="str">
            <v/>
          </cell>
          <cell r="AW41"/>
          <cell r="AX41"/>
          <cell r="AY41"/>
          <cell r="AZ41"/>
        </row>
        <row r="42">
          <cell r="B42">
            <v>40026</v>
          </cell>
          <cell r="C42"/>
          <cell r="D42"/>
          <cell r="E42"/>
          <cell r="F42"/>
          <cell r="G42" t="str">
            <v/>
          </cell>
          <cell r="H42" t="str">
            <v/>
          </cell>
          <cell r="I42" t="str">
            <v/>
          </cell>
          <cell r="J42" t="str">
            <v/>
          </cell>
          <cell r="K42">
            <v>12</v>
          </cell>
          <cell r="L42">
            <v>5</v>
          </cell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 t="str">
            <v/>
          </cell>
          <cell r="X42" t="str">
            <v/>
          </cell>
          <cell r="Y42" t="str">
            <v/>
          </cell>
          <cell r="Z42" t="str">
            <v/>
          </cell>
          <cell r="AA42" t="str">
            <v/>
          </cell>
          <cell r="AB42" t="str">
            <v/>
          </cell>
          <cell r="AC42" t="str">
            <v/>
          </cell>
          <cell r="AD42">
            <v>12</v>
          </cell>
          <cell r="AE42">
            <v>5</v>
          </cell>
          <cell r="AF42"/>
          <cell r="AG42"/>
          <cell r="AH42"/>
          <cell r="AI42"/>
          <cell r="AJ42"/>
          <cell r="AK42"/>
          <cell r="AL42"/>
          <cell r="AM42">
            <v>39996</v>
          </cell>
          <cell r="AN42">
            <v>10.383439216933359</v>
          </cell>
          <cell r="AO42" t="str">
            <v/>
          </cell>
          <cell r="AP42"/>
          <cell r="AQ42"/>
          <cell r="AR42"/>
          <cell r="AS42"/>
          <cell r="AT42">
            <v>39996</v>
          </cell>
          <cell r="AU42">
            <v>8.096212243072662</v>
          </cell>
          <cell r="AV42" t="str">
            <v/>
          </cell>
          <cell r="AW42"/>
          <cell r="AX42"/>
          <cell r="AY42"/>
          <cell r="AZ42"/>
        </row>
        <row r="43">
          <cell r="B43">
            <v>40057</v>
          </cell>
          <cell r="C43"/>
          <cell r="D43"/>
          <cell r="E43"/>
          <cell r="F43"/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>
            <v>12</v>
          </cell>
          <cell r="L43">
            <v>5</v>
          </cell>
          <cell r="M43"/>
          <cell r="N43"/>
          <cell r="O43"/>
          <cell r="P43"/>
          <cell r="Q43"/>
          <cell r="R43"/>
          <cell r="S43"/>
          <cell r="T43"/>
          <cell r="U43"/>
          <cell r="V43"/>
          <cell r="W43" t="str">
            <v/>
          </cell>
          <cell r="X43" t="str">
            <v/>
          </cell>
          <cell r="Y43" t="str">
            <v/>
          </cell>
          <cell r="Z43" t="str">
            <v/>
          </cell>
          <cell r="AA43" t="str">
            <v/>
          </cell>
          <cell r="AB43" t="str">
            <v/>
          </cell>
          <cell r="AC43" t="str">
            <v/>
          </cell>
          <cell r="AD43">
            <v>12</v>
          </cell>
          <cell r="AE43">
            <v>5</v>
          </cell>
          <cell r="AF43"/>
          <cell r="AG43"/>
          <cell r="AH43"/>
          <cell r="AI43"/>
          <cell r="AJ43"/>
          <cell r="AK43"/>
          <cell r="AL43"/>
          <cell r="AM43">
            <v>39997</v>
          </cell>
          <cell r="AN43">
            <v>12.614061931738084</v>
          </cell>
          <cell r="AO43" t="str">
            <v/>
          </cell>
          <cell r="AP43"/>
          <cell r="AQ43"/>
          <cell r="AR43"/>
          <cell r="AS43"/>
          <cell r="AT43">
            <v>39997</v>
          </cell>
          <cell r="AU43">
            <v>8.6589255023916305</v>
          </cell>
          <cell r="AV43" t="str">
            <v/>
          </cell>
          <cell r="AW43"/>
          <cell r="AX43"/>
          <cell r="AY43"/>
          <cell r="AZ43"/>
        </row>
        <row r="44">
          <cell r="B44">
            <v>40087</v>
          </cell>
          <cell r="C44"/>
          <cell r="D44"/>
          <cell r="E44"/>
          <cell r="F44"/>
          <cell r="G44" t="str">
            <v/>
          </cell>
          <cell r="H44" t="str">
            <v/>
          </cell>
          <cell r="I44" t="str">
            <v/>
          </cell>
          <cell r="J44" t="str">
            <v/>
          </cell>
          <cell r="K44">
            <v>12</v>
          </cell>
          <cell r="L44">
            <v>5</v>
          </cell>
          <cell r="M44"/>
          <cell r="N44"/>
          <cell r="O44"/>
          <cell r="P44"/>
          <cell r="Q44"/>
          <cell r="R44"/>
          <cell r="S44"/>
          <cell r="T44"/>
          <cell r="U44"/>
          <cell r="V44"/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  <cell r="AA44" t="str">
            <v/>
          </cell>
          <cell r="AB44" t="str">
            <v/>
          </cell>
          <cell r="AC44" t="str">
            <v/>
          </cell>
          <cell r="AD44">
            <v>12</v>
          </cell>
          <cell r="AE44">
            <v>5</v>
          </cell>
          <cell r="AF44"/>
          <cell r="AG44"/>
          <cell r="AH44"/>
          <cell r="AI44"/>
          <cell r="AJ44"/>
          <cell r="AK44"/>
          <cell r="AL44"/>
          <cell r="AM44">
            <v>39998</v>
          </cell>
          <cell r="AN44">
            <v>13.403274984654072</v>
          </cell>
          <cell r="AO44" t="str">
            <v/>
          </cell>
          <cell r="AP44"/>
          <cell r="AQ44"/>
          <cell r="AR44"/>
          <cell r="AS44"/>
          <cell r="AT44">
            <v>39998</v>
          </cell>
          <cell r="AU44">
            <v>9.0862267854926166</v>
          </cell>
          <cell r="AV44" t="str">
            <v/>
          </cell>
          <cell r="AW44"/>
          <cell r="AX44"/>
          <cell r="AY44"/>
          <cell r="AZ44"/>
        </row>
        <row r="45">
          <cell r="B45">
            <v>40118</v>
          </cell>
          <cell r="C45"/>
          <cell r="D45"/>
          <cell r="E45"/>
          <cell r="F45"/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  <cell r="K45">
            <v>12</v>
          </cell>
          <cell r="L45">
            <v>5</v>
          </cell>
          <cell r="M45"/>
          <cell r="N45"/>
          <cell r="O45"/>
          <cell r="P45"/>
          <cell r="Q45"/>
          <cell r="R45"/>
          <cell r="S45"/>
          <cell r="T45"/>
          <cell r="U45"/>
          <cell r="V45"/>
          <cell r="W45" t="str">
            <v/>
          </cell>
          <cell r="X45" t="str">
            <v/>
          </cell>
          <cell r="Y45" t="str">
            <v/>
          </cell>
          <cell r="Z45" t="str">
            <v/>
          </cell>
          <cell r="AA45" t="str">
            <v/>
          </cell>
          <cell r="AB45" t="str">
            <v/>
          </cell>
          <cell r="AC45" t="str">
            <v/>
          </cell>
          <cell r="AD45">
            <v>12</v>
          </cell>
          <cell r="AE45">
            <v>5</v>
          </cell>
          <cell r="AF45"/>
          <cell r="AG45"/>
          <cell r="AH45"/>
          <cell r="AI45"/>
          <cell r="AJ45"/>
          <cell r="AK45"/>
          <cell r="AL45"/>
          <cell r="AM45">
            <v>39999</v>
          </cell>
          <cell r="AN45">
            <v>5.0623020734493061</v>
          </cell>
          <cell r="AO45" t="str">
            <v/>
          </cell>
          <cell r="AP45"/>
          <cell r="AQ45"/>
          <cell r="AR45"/>
          <cell r="AS45"/>
          <cell r="AT45">
            <v>39999</v>
          </cell>
          <cell r="AU45">
            <v>8.6596251356495539</v>
          </cell>
          <cell r="AV45" t="str">
            <v/>
          </cell>
          <cell r="AW45"/>
          <cell r="AX45"/>
          <cell r="AY45"/>
          <cell r="AZ45"/>
        </row>
      </sheetData>
      <sheetData sheetId="80">
        <row r="13">
          <cell r="R13"/>
          <cell r="S13"/>
          <cell r="U13"/>
          <cell r="V13"/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</row>
        <row r="14">
          <cell r="R14"/>
          <cell r="S14"/>
          <cell r="T14" t="str">
            <v>Avance Deuda financiera / Ventas</v>
          </cell>
          <cell r="U14"/>
          <cell r="V14"/>
          <cell r="W14" t="str">
            <v>Var 1.</v>
          </cell>
          <cell r="X14"/>
          <cell r="Y14" t="str">
            <v>Var. 2</v>
          </cell>
          <cell r="Z14"/>
          <cell r="AA14"/>
          <cell r="AB14" t="str">
            <v>Cumplimiento Proyectado  TM</v>
          </cell>
          <cell r="AC14"/>
          <cell r="AD14"/>
          <cell r="AE14" t="str">
            <v>Var 1.</v>
          </cell>
          <cell r="AF14"/>
          <cell r="AG14" t="str">
            <v>Var. 2</v>
          </cell>
          <cell r="AH14"/>
          <cell r="AI14"/>
          <cell r="AJ14" t="str">
            <v>Acum. Deuda financiera / Ventas</v>
          </cell>
          <cell r="AK14"/>
          <cell r="AL14"/>
          <cell r="AM14" t="str">
            <v>Var 1.</v>
          </cell>
          <cell r="AN14"/>
          <cell r="AO14" t="str">
            <v>Var. 2</v>
          </cell>
          <cell r="AP14"/>
          <cell r="AQ14" t="str">
            <v>Acumula</v>
          </cell>
          <cell r="AR14"/>
        </row>
        <row r="15">
          <cell r="R15" t="str">
            <v>Fecha</v>
          </cell>
          <cell r="S15" t="str">
            <v>TIPO</v>
          </cell>
          <cell r="T15" t="str">
            <v>Anteriores</v>
          </cell>
          <cell r="U15" t="str">
            <v>Real</v>
          </cell>
          <cell r="V15" t="str">
            <v>Programado</v>
          </cell>
          <cell r="W15" t="str">
            <v>Unidades</v>
          </cell>
          <cell r="X15" t="str">
            <v>%</v>
          </cell>
          <cell r="Y15" t="str">
            <v>Unidades</v>
          </cell>
          <cell r="Z15" t="str">
            <v>%</v>
          </cell>
          <cell r="AA15"/>
          <cell r="AB15" t="str">
            <v>Anteriores</v>
          </cell>
          <cell r="AC15" t="str">
            <v>Real</v>
          </cell>
          <cell r="AD15" t="str">
            <v>Inicial</v>
          </cell>
          <cell r="AE15" t="str">
            <v>Unidades</v>
          </cell>
          <cell r="AF15" t="str">
            <v>%</v>
          </cell>
          <cell r="AG15" t="str">
            <v>Unidades</v>
          </cell>
          <cell r="AH15" t="str">
            <v>%</v>
          </cell>
          <cell r="AI15"/>
          <cell r="AJ15" t="str">
            <v>Anterior</v>
          </cell>
          <cell r="AK15" t="str">
            <v>Real</v>
          </cell>
          <cell r="AL15" t="str">
            <v>Programado</v>
          </cell>
          <cell r="AM15" t="str">
            <v>Unidades</v>
          </cell>
          <cell r="AN15" t="str">
            <v>%</v>
          </cell>
          <cell r="AO15" t="str">
            <v>Unidades</v>
          </cell>
          <cell r="AP15" t="str">
            <v>%</v>
          </cell>
          <cell r="AQ15" t="str">
            <v>PPTO</v>
          </cell>
          <cell r="AR15" t="str">
            <v>Avance</v>
          </cell>
        </row>
        <row r="16">
          <cell r="B16">
            <v>39083</v>
          </cell>
          <cell r="C16">
            <v>39083</v>
          </cell>
          <cell r="D16" t="str">
            <v>Global</v>
          </cell>
          <cell r="E16"/>
          <cell r="F16" t="str">
            <v/>
          </cell>
          <cell r="G16" t="str">
            <v/>
          </cell>
          <cell r="H16" t="str">
            <v/>
          </cell>
          <cell r="I16">
            <v>0</v>
          </cell>
          <cell r="J16">
            <v>0</v>
          </cell>
          <cell r="K16"/>
          <cell r="L16" t="str">
            <v/>
          </cell>
          <cell r="M16" t="str">
            <v/>
          </cell>
          <cell r="N16" t="str">
            <v/>
          </cell>
          <cell r="O16">
            <v>0</v>
          </cell>
          <cell r="P16">
            <v>0</v>
          </cell>
          <cell r="R16">
            <v>39083</v>
          </cell>
          <cell r="S16" t="str">
            <v>Global</v>
          </cell>
          <cell r="T16"/>
          <cell r="U16"/>
          <cell r="V16"/>
          <cell r="W16" t="str">
            <v/>
          </cell>
          <cell r="X16"/>
          <cell r="Y16">
            <v>0</v>
          </cell>
          <cell r="Z16" t="e">
            <v>#DIV/0!</v>
          </cell>
          <cell r="AA16"/>
          <cell r="AB16"/>
          <cell r="AC16">
            <v>0</v>
          </cell>
          <cell r="AD16">
            <v>0</v>
          </cell>
          <cell r="AE16">
            <v>0</v>
          </cell>
          <cell r="AF16" t="e">
            <v>#DIV/0!</v>
          </cell>
          <cell r="AG16">
            <v>0</v>
          </cell>
          <cell r="AH16" t="e">
            <v>#DIV/0!</v>
          </cell>
          <cell r="AI16"/>
          <cell r="AJ16"/>
          <cell r="AK16"/>
          <cell r="AL16"/>
          <cell r="AM16"/>
          <cell r="AN16"/>
          <cell r="AO16">
            <v>0</v>
          </cell>
          <cell r="AP16" t="e">
            <v>#DIV/0!</v>
          </cell>
          <cell r="AQ16">
            <v>0</v>
          </cell>
          <cell r="AR16" t="e">
            <v>#DIV/0!</v>
          </cell>
        </row>
        <row r="17">
          <cell r="B17">
            <v>39114</v>
          </cell>
          <cell r="C17">
            <v>39114</v>
          </cell>
          <cell r="D17" t="str">
            <v>Global</v>
          </cell>
          <cell r="E17"/>
          <cell r="F17" t="str">
            <v/>
          </cell>
          <cell r="G17" t="str">
            <v/>
          </cell>
          <cell r="H17" t="str">
            <v/>
          </cell>
          <cell r="I17">
            <v>0</v>
          </cell>
          <cell r="J17">
            <v>0</v>
          </cell>
          <cell r="K17"/>
          <cell r="L17" t="str">
            <v/>
          </cell>
          <cell r="M17" t="str">
            <v/>
          </cell>
          <cell r="N17" t="str">
            <v/>
          </cell>
          <cell r="O17">
            <v>0</v>
          </cell>
          <cell r="P17">
            <v>0</v>
          </cell>
          <cell r="R17">
            <v>39114</v>
          </cell>
          <cell r="S17" t="str">
            <v>Global</v>
          </cell>
          <cell r="T17"/>
          <cell r="U17"/>
          <cell r="V17"/>
          <cell r="W17" t="str">
            <v/>
          </cell>
          <cell r="X17"/>
          <cell r="Y17">
            <v>0</v>
          </cell>
          <cell r="Z17" t="e">
            <v>#DIV/0!</v>
          </cell>
          <cell r="AA17"/>
          <cell r="AB17"/>
          <cell r="AC17">
            <v>0</v>
          </cell>
          <cell r="AD17">
            <v>0</v>
          </cell>
          <cell r="AE17">
            <v>0</v>
          </cell>
          <cell r="AF17" t="e">
            <v>#DIV/0!</v>
          </cell>
          <cell r="AG17">
            <v>0</v>
          </cell>
          <cell r="AH17" t="e">
            <v>#DIV/0!</v>
          </cell>
          <cell r="AI17"/>
          <cell r="AJ17"/>
          <cell r="AK17"/>
          <cell r="AL17"/>
          <cell r="AM17"/>
          <cell r="AN17"/>
          <cell r="AO17">
            <v>0</v>
          </cell>
          <cell r="AP17" t="e">
            <v>#DIV/0!</v>
          </cell>
          <cell r="AQ17">
            <v>0</v>
          </cell>
          <cell r="AR17" t="e">
            <v>#DIV/0!</v>
          </cell>
        </row>
        <row r="18">
          <cell r="B18">
            <v>39142</v>
          </cell>
          <cell r="C18">
            <v>39142</v>
          </cell>
          <cell r="D18" t="str">
            <v>Global</v>
          </cell>
          <cell r="E18"/>
          <cell r="F18" t="str">
            <v/>
          </cell>
          <cell r="G18" t="str">
            <v/>
          </cell>
          <cell r="H18" t="str">
            <v/>
          </cell>
          <cell r="I18">
            <v>0</v>
          </cell>
          <cell r="J18">
            <v>0</v>
          </cell>
          <cell r="K18"/>
          <cell r="L18" t="str">
            <v/>
          </cell>
          <cell r="M18" t="str">
            <v/>
          </cell>
          <cell r="N18" t="str">
            <v/>
          </cell>
          <cell r="O18">
            <v>0</v>
          </cell>
          <cell r="P18">
            <v>0</v>
          </cell>
          <cell r="R18">
            <v>39142</v>
          </cell>
          <cell r="S18" t="str">
            <v>Global</v>
          </cell>
          <cell r="T18"/>
          <cell r="U18"/>
          <cell r="V18"/>
          <cell r="W18" t="str">
            <v/>
          </cell>
          <cell r="X18"/>
          <cell r="Y18">
            <v>0</v>
          </cell>
          <cell r="Z18" t="e">
            <v>#DIV/0!</v>
          </cell>
          <cell r="AA18"/>
          <cell r="AB18"/>
          <cell r="AC18">
            <v>0</v>
          </cell>
          <cell r="AD18">
            <v>0</v>
          </cell>
          <cell r="AE18">
            <v>0</v>
          </cell>
          <cell r="AF18" t="e">
            <v>#DIV/0!</v>
          </cell>
          <cell r="AG18">
            <v>0</v>
          </cell>
          <cell r="AH18" t="e">
            <v>#DIV/0!</v>
          </cell>
          <cell r="AI18"/>
          <cell r="AJ18"/>
          <cell r="AK18"/>
          <cell r="AL18"/>
          <cell r="AM18"/>
          <cell r="AN18"/>
          <cell r="AO18">
            <v>0</v>
          </cell>
          <cell r="AP18" t="e">
            <v>#DIV/0!</v>
          </cell>
          <cell r="AQ18">
            <v>0</v>
          </cell>
          <cell r="AR18" t="e">
            <v>#DIV/0!</v>
          </cell>
        </row>
        <row r="19">
          <cell r="B19">
            <v>39173</v>
          </cell>
          <cell r="C19">
            <v>39173</v>
          </cell>
          <cell r="D19" t="str">
            <v>Global</v>
          </cell>
          <cell r="E19"/>
          <cell r="F19" t="str">
            <v/>
          </cell>
          <cell r="G19" t="str">
            <v/>
          </cell>
          <cell r="H19" t="str">
            <v/>
          </cell>
          <cell r="I19">
            <v>0</v>
          </cell>
          <cell r="J19">
            <v>0</v>
          </cell>
          <cell r="K19"/>
          <cell r="L19" t="str">
            <v/>
          </cell>
          <cell r="M19" t="str">
            <v/>
          </cell>
          <cell r="N19" t="str">
            <v/>
          </cell>
          <cell r="O19">
            <v>0</v>
          </cell>
          <cell r="P19">
            <v>0</v>
          </cell>
          <cell r="R19">
            <v>39173</v>
          </cell>
          <cell r="S19" t="str">
            <v>Global</v>
          </cell>
          <cell r="T19"/>
          <cell r="U19"/>
          <cell r="V19"/>
          <cell r="W19" t="str">
            <v/>
          </cell>
          <cell r="X19"/>
          <cell r="Y19">
            <v>0</v>
          </cell>
          <cell r="Z19" t="e">
            <v>#DIV/0!</v>
          </cell>
          <cell r="AA19"/>
          <cell r="AB19"/>
          <cell r="AC19">
            <v>0</v>
          </cell>
          <cell r="AD19">
            <v>0</v>
          </cell>
          <cell r="AE19">
            <v>0</v>
          </cell>
          <cell r="AF19" t="e">
            <v>#DIV/0!</v>
          </cell>
          <cell r="AG19">
            <v>0</v>
          </cell>
          <cell r="AH19" t="e">
            <v>#DIV/0!</v>
          </cell>
          <cell r="AI19"/>
          <cell r="AJ19"/>
          <cell r="AK19"/>
          <cell r="AL19"/>
          <cell r="AM19"/>
          <cell r="AN19"/>
          <cell r="AO19">
            <v>0</v>
          </cell>
          <cell r="AP19" t="e">
            <v>#DIV/0!</v>
          </cell>
          <cell r="AQ19">
            <v>0</v>
          </cell>
          <cell r="AR19" t="e">
            <v>#DIV/0!</v>
          </cell>
        </row>
        <row r="20">
          <cell r="B20">
            <v>39203</v>
          </cell>
          <cell r="C20">
            <v>39203</v>
          </cell>
          <cell r="D20" t="str">
            <v>Global</v>
          </cell>
          <cell r="E20"/>
          <cell r="F20" t="str">
            <v/>
          </cell>
          <cell r="G20" t="str">
            <v/>
          </cell>
          <cell r="H20" t="str">
            <v/>
          </cell>
          <cell r="I20">
            <v>0</v>
          </cell>
          <cell r="J20">
            <v>0</v>
          </cell>
          <cell r="K20"/>
          <cell r="L20" t="str">
            <v/>
          </cell>
          <cell r="M20" t="str">
            <v/>
          </cell>
          <cell r="N20" t="str">
            <v/>
          </cell>
          <cell r="O20">
            <v>0</v>
          </cell>
          <cell r="P20">
            <v>0</v>
          </cell>
          <cell r="R20">
            <v>39203</v>
          </cell>
          <cell r="S20" t="str">
            <v>Global</v>
          </cell>
          <cell r="T20"/>
          <cell r="U20"/>
          <cell r="V20"/>
          <cell r="W20" t="str">
            <v/>
          </cell>
          <cell r="X20"/>
          <cell r="Y20">
            <v>0</v>
          </cell>
          <cell r="Z20" t="e">
            <v>#DIV/0!</v>
          </cell>
          <cell r="AA20"/>
          <cell r="AB20"/>
          <cell r="AC20">
            <v>0</v>
          </cell>
          <cell r="AD20">
            <v>0</v>
          </cell>
          <cell r="AE20">
            <v>0</v>
          </cell>
          <cell r="AF20" t="e">
            <v>#DIV/0!</v>
          </cell>
          <cell r="AG20">
            <v>0</v>
          </cell>
          <cell r="AH20" t="e">
            <v>#DIV/0!</v>
          </cell>
          <cell r="AI20"/>
          <cell r="AJ20"/>
          <cell r="AK20"/>
          <cell r="AL20"/>
          <cell r="AM20"/>
          <cell r="AN20"/>
          <cell r="AO20">
            <v>0</v>
          </cell>
          <cell r="AP20" t="e">
            <v>#DIV/0!</v>
          </cell>
          <cell r="AQ20">
            <v>0</v>
          </cell>
          <cell r="AR20" t="e">
            <v>#DIV/0!</v>
          </cell>
        </row>
        <row r="21">
          <cell r="B21">
            <v>39234</v>
          </cell>
          <cell r="C21">
            <v>39234</v>
          </cell>
          <cell r="D21" t="str">
            <v>Global</v>
          </cell>
          <cell r="E21"/>
          <cell r="F21" t="str">
            <v/>
          </cell>
          <cell r="G21" t="str">
            <v/>
          </cell>
          <cell r="H21" t="str">
            <v/>
          </cell>
          <cell r="I21">
            <v>0</v>
          </cell>
          <cell r="J21">
            <v>0</v>
          </cell>
          <cell r="K21"/>
          <cell r="L21" t="str">
            <v/>
          </cell>
          <cell r="M21" t="str">
            <v/>
          </cell>
          <cell r="N21" t="str">
            <v/>
          </cell>
          <cell r="O21">
            <v>0</v>
          </cell>
          <cell r="P21">
            <v>0</v>
          </cell>
          <cell r="R21">
            <v>39234</v>
          </cell>
          <cell r="S21" t="str">
            <v>Global</v>
          </cell>
          <cell r="T21"/>
          <cell r="U21"/>
          <cell r="V21"/>
          <cell r="W21" t="str">
            <v/>
          </cell>
          <cell r="X21"/>
          <cell r="Y21">
            <v>0</v>
          </cell>
          <cell r="Z21" t="e">
            <v>#DIV/0!</v>
          </cell>
          <cell r="AA21"/>
          <cell r="AB21"/>
          <cell r="AC21">
            <v>0</v>
          </cell>
          <cell r="AD21">
            <v>0</v>
          </cell>
          <cell r="AE21">
            <v>0</v>
          </cell>
          <cell r="AF21" t="e">
            <v>#DIV/0!</v>
          </cell>
          <cell r="AG21">
            <v>0</v>
          </cell>
          <cell r="AH21" t="e">
            <v>#DIV/0!</v>
          </cell>
          <cell r="AI21"/>
          <cell r="AJ21"/>
          <cell r="AK21"/>
          <cell r="AL21"/>
          <cell r="AM21"/>
          <cell r="AN21"/>
          <cell r="AO21">
            <v>0</v>
          </cell>
          <cell r="AP21" t="e">
            <v>#DIV/0!</v>
          </cell>
          <cell r="AQ21">
            <v>0</v>
          </cell>
          <cell r="AR21" t="e">
            <v>#DIV/0!</v>
          </cell>
        </row>
        <row r="22">
          <cell r="B22">
            <v>39264</v>
          </cell>
          <cell r="C22">
            <v>39264</v>
          </cell>
          <cell r="D22" t="str">
            <v>Global</v>
          </cell>
          <cell r="E22"/>
          <cell r="F22" t="str">
            <v/>
          </cell>
          <cell r="G22" t="str">
            <v/>
          </cell>
          <cell r="H22" t="str">
            <v/>
          </cell>
          <cell r="I22">
            <v>0</v>
          </cell>
          <cell r="J22">
            <v>0</v>
          </cell>
          <cell r="K22"/>
          <cell r="L22" t="str">
            <v/>
          </cell>
          <cell r="M22" t="str">
            <v/>
          </cell>
          <cell r="N22" t="str">
            <v/>
          </cell>
          <cell r="O22">
            <v>0</v>
          </cell>
          <cell r="P22">
            <v>0</v>
          </cell>
          <cell r="R22">
            <v>39264</v>
          </cell>
          <cell r="S22" t="str">
            <v>Global</v>
          </cell>
          <cell r="T22"/>
          <cell r="U22"/>
          <cell r="V22"/>
          <cell r="W22" t="str">
            <v/>
          </cell>
          <cell r="X22"/>
          <cell r="Y22">
            <v>0</v>
          </cell>
          <cell r="Z22" t="e">
            <v>#DIV/0!</v>
          </cell>
          <cell r="AA22"/>
          <cell r="AB22"/>
          <cell r="AC22">
            <v>0</v>
          </cell>
          <cell r="AD22">
            <v>0</v>
          </cell>
          <cell r="AE22">
            <v>0</v>
          </cell>
          <cell r="AF22" t="e">
            <v>#DIV/0!</v>
          </cell>
          <cell r="AG22">
            <v>0</v>
          </cell>
          <cell r="AH22" t="e">
            <v>#DIV/0!</v>
          </cell>
          <cell r="AI22"/>
          <cell r="AJ22"/>
          <cell r="AK22"/>
          <cell r="AL22"/>
          <cell r="AM22"/>
          <cell r="AN22"/>
          <cell r="AO22">
            <v>0</v>
          </cell>
          <cell r="AP22" t="e">
            <v>#DIV/0!</v>
          </cell>
          <cell r="AQ22">
            <v>0</v>
          </cell>
          <cell r="AR22" t="e">
            <v>#DIV/0!</v>
          </cell>
        </row>
        <row r="23">
          <cell r="B23">
            <v>39295</v>
          </cell>
          <cell r="C23">
            <v>39295</v>
          </cell>
          <cell r="D23" t="str">
            <v>Global</v>
          </cell>
          <cell r="E23"/>
          <cell r="F23" t="str">
            <v/>
          </cell>
          <cell r="G23" t="str">
            <v/>
          </cell>
          <cell r="H23" t="str">
            <v/>
          </cell>
          <cell r="I23">
            <v>0</v>
          </cell>
          <cell r="J23">
            <v>0</v>
          </cell>
          <cell r="K23"/>
          <cell r="L23" t="str">
            <v/>
          </cell>
          <cell r="M23" t="str">
            <v/>
          </cell>
          <cell r="N23" t="str">
            <v/>
          </cell>
          <cell r="O23">
            <v>0</v>
          </cell>
          <cell r="P23">
            <v>0</v>
          </cell>
          <cell r="R23">
            <v>39295</v>
          </cell>
          <cell r="S23" t="str">
            <v>Global</v>
          </cell>
          <cell r="T23"/>
          <cell r="U23"/>
          <cell r="V23"/>
          <cell r="W23" t="str">
            <v/>
          </cell>
          <cell r="X23"/>
          <cell r="Y23">
            <v>0</v>
          </cell>
          <cell r="Z23" t="e">
            <v>#DIV/0!</v>
          </cell>
          <cell r="AA23"/>
          <cell r="AB23"/>
          <cell r="AC23">
            <v>0</v>
          </cell>
          <cell r="AD23">
            <v>0</v>
          </cell>
          <cell r="AE23">
            <v>0</v>
          </cell>
          <cell r="AF23" t="e">
            <v>#DIV/0!</v>
          </cell>
          <cell r="AG23">
            <v>0</v>
          </cell>
          <cell r="AH23" t="e">
            <v>#DIV/0!</v>
          </cell>
          <cell r="AI23"/>
          <cell r="AJ23"/>
          <cell r="AK23"/>
          <cell r="AL23"/>
          <cell r="AM23"/>
          <cell r="AN23"/>
          <cell r="AO23">
            <v>0</v>
          </cell>
          <cell r="AP23" t="e">
            <v>#DIV/0!</v>
          </cell>
          <cell r="AQ23">
            <v>0</v>
          </cell>
          <cell r="AR23" t="e">
            <v>#DIV/0!</v>
          </cell>
        </row>
        <row r="24">
          <cell r="B24">
            <v>39326</v>
          </cell>
          <cell r="C24">
            <v>39326</v>
          </cell>
          <cell r="D24" t="str">
            <v>Global</v>
          </cell>
          <cell r="E24"/>
          <cell r="F24" t="str">
            <v/>
          </cell>
          <cell r="G24" t="str">
            <v/>
          </cell>
          <cell r="H24" t="str">
            <v/>
          </cell>
          <cell r="I24">
            <v>0</v>
          </cell>
          <cell r="J24">
            <v>0</v>
          </cell>
          <cell r="K24"/>
          <cell r="L24" t="str">
            <v/>
          </cell>
          <cell r="M24" t="str">
            <v/>
          </cell>
          <cell r="N24" t="str">
            <v/>
          </cell>
          <cell r="O24">
            <v>0</v>
          </cell>
          <cell r="P24">
            <v>0</v>
          </cell>
          <cell r="R24">
            <v>39326</v>
          </cell>
          <cell r="S24" t="str">
            <v>Global</v>
          </cell>
          <cell r="T24"/>
          <cell r="U24"/>
          <cell r="V24"/>
          <cell r="W24" t="str">
            <v/>
          </cell>
          <cell r="X24"/>
          <cell r="Y24">
            <v>0</v>
          </cell>
          <cell r="Z24" t="e">
            <v>#DIV/0!</v>
          </cell>
          <cell r="AA24"/>
          <cell r="AB24"/>
          <cell r="AC24">
            <v>0</v>
          </cell>
          <cell r="AD24">
            <v>0</v>
          </cell>
          <cell r="AE24">
            <v>0</v>
          </cell>
          <cell r="AF24" t="e">
            <v>#DIV/0!</v>
          </cell>
          <cell r="AG24">
            <v>0</v>
          </cell>
          <cell r="AH24" t="e">
            <v>#DIV/0!</v>
          </cell>
          <cell r="AI24"/>
          <cell r="AJ24"/>
          <cell r="AK24"/>
          <cell r="AL24"/>
          <cell r="AM24"/>
          <cell r="AN24"/>
          <cell r="AO24">
            <v>0</v>
          </cell>
          <cell r="AP24" t="e">
            <v>#DIV/0!</v>
          </cell>
          <cell r="AQ24">
            <v>0</v>
          </cell>
          <cell r="AR24" t="e">
            <v>#DIV/0!</v>
          </cell>
        </row>
        <row r="25">
          <cell r="B25">
            <v>39356</v>
          </cell>
          <cell r="C25">
            <v>39356</v>
          </cell>
          <cell r="D25" t="str">
            <v>Global</v>
          </cell>
          <cell r="E25"/>
          <cell r="F25" t="str">
            <v/>
          </cell>
          <cell r="G25" t="str">
            <v/>
          </cell>
          <cell r="H25" t="str">
            <v/>
          </cell>
          <cell r="I25">
            <v>0</v>
          </cell>
          <cell r="J25">
            <v>0</v>
          </cell>
          <cell r="K25"/>
          <cell r="L25" t="str">
            <v/>
          </cell>
          <cell r="M25" t="str">
            <v/>
          </cell>
          <cell r="N25" t="str">
            <v/>
          </cell>
          <cell r="O25">
            <v>0</v>
          </cell>
          <cell r="P25">
            <v>0</v>
          </cell>
          <cell r="R25">
            <v>39356</v>
          </cell>
          <cell r="S25" t="str">
            <v>Global</v>
          </cell>
          <cell r="T25"/>
          <cell r="U25"/>
          <cell r="V25"/>
          <cell r="W25" t="str">
            <v/>
          </cell>
          <cell r="X25"/>
          <cell r="Y25">
            <v>0</v>
          </cell>
          <cell r="Z25" t="e">
            <v>#DIV/0!</v>
          </cell>
          <cell r="AA25"/>
          <cell r="AB25"/>
          <cell r="AC25">
            <v>0</v>
          </cell>
          <cell r="AD25">
            <v>0</v>
          </cell>
          <cell r="AE25">
            <v>0</v>
          </cell>
          <cell r="AF25" t="e">
            <v>#DIV/0!</v>
          </cell>
          <cell r="AG25">
            <v>0</v>
          </cell>
          <cell r="AH25" t="e">
            <v>#DIV/0!</v>
          </cell>
          <cell r="AI25"/>
          <cell r="AJ25"/>
          <cell r="AK25"/>
          <cell r="AL25"/>
          <cell r="AM25"/>
          <cell r="AN25"/>
          <cell r="AO25">
            <v>0</v>
          </cell>
          <cell r="AP25" t="e">
            <v>#DIV/0!</v>
          </cell>
          <cell r="AQ25">
            <v>0</v>
          </cell>
          <cell r="AR25" t="e">
            <v>#DIV/0!</v>
          </cell>
        </row>
        <row r="26">
          <cell r="B26">
            <v>39387</v>
          </cell>
          <cell r="C26">
            <v>39387</v>
          </cell>
          <cell r="D26" t="str">
            <v>Global</v>
          </cell>
          <cell r="E26"/>
          <cell r="F26" t="str">
            <v/>
          </cell>
          <cell r="G26" t="str">
            <v/>
          </cell>
          <cell r="H26" t="str">
            <v/>
          </cell>
          <cell r="I26">
            <v>0</v>
          </cell>
          <cell r="J26">
            <v>0</v>
          </cell>
          <cell r="K26"/>
          <cell r="L26" t="str">
            <v/>
          </cell>
          <cell r="M26" t="str">
            <v/>
          </cell>
          <cell r="N26" t="str">
            <v/>
          </cell>
          <cell r="O26">
            <v>0</v>
          </cell>
          <cell r="P26">
            <v>0</v>
          </cell>
          <cell r="R26">
            <v>39387</v>
          </cell>
          <cell r="S26" t="str">
            <v>Global</v>
          </cell>
          <cell r="T26"/>
          <cell r="U26"/>
          <cell r="V26"/>
          <cell r="W26" t="str">
            <v/>
          </cell>
          <cell r="X26"/>
          <cell r="Y26">
            <v>0</v>
          </cell>
          <cell r="Z26" t="e">
            <v>#DIV/0!</v>
          </cell>
          <cell r="AA26"/>
          <cell r="AB26"/>
          <cell r="AC26">
            <v>0</v>
          </cell>
          <cell r="AD26">
            <v>0</v>
          </cell>
          <cell r="AE26">
            <v>0</v>
          </cell>
          <cell r="AF26" t="e">
            <v>#DIV/0!</v>
          </cell>
          <cell r="AG26">
            <v>0</v>
          </cell>
          <cell r="AH26" t="e">
            <v>#DIV/0!</v>
          </cell>
          <cell r="AI26"/>
          <cell r="AJ26"/>
          <cell r="AK26"/>
          <cell r="AL26"/>
          <cell r="AM26"/>
          <cell r="AN26"/>
          <cell r="AO26">
            <v>0</v>
          </cell>
          <cell r="AP26" t="e">
            <v>#DIV/0!</v>
          </cell>
          <cell r="AQ26">
            <v>0</v>
          </cell>
          <cell r="AR26" t="e">
            <v>#DIV/0!</v>
          </cell>
        </row>
        <row r="27">
          <cell r="B27">
            <v>39417</v>
          </cell>
          <cell r="C27">
            <v>39417</v>
          </cell>
          <cell r="D27" t="str">
            <v>Global</v>
          </cell>
          <cell r="E27"/>
          <cell r="F27" t="str">
            <v/>
          </cell>
          <cell r="G27" t="str">
            <v/>
          </cell>
          <cell r="H27" t="str">
            <v/>
          </cell>
          <cell r="I27">
            <v>0</v>
          </cell>
          <cell r="J27">
            <v>0</v>
          </cell>
          <cell r="K27"/>
          <cell r="L27" t="str">
            <v/>
          </cell>
          <cell r="M27" t="str">
            <v/>
          </cell>
          <cell r="N27" t="str">
            <v/>
          </cell>
          <cell r="O27">
            <v>0</v>
          </cell>
          <cell r="P27">
            <v>0</v>
          </cell>
          <cell r="R27">
            <v>39417</v>
          </cell>
          <cell r="S27" t="str">
            <v>Global</v>
          </cell>
          <cell r="T27"/>
          <cell r="U27"/>
          <cell r="V27"/>
          <cell r="W27" t="str">
            <v/>
          </cell>
          <cell r="X27"/>
          <cell r="Y27">
            <v>0</v>
          </cell>
          <cell r="Z27" t="e">
            <v>#DIV/0!</v>
          </cell>
          <cell r="AA27"/>
          <cell r="AB27"/>
          <cell r="AC27">
            <v>0</v>
          </cell>
          <cell r="AD27">
            <v>0</v>
          </cell>
          <cell r="AE27">
            <v>0</v>
          </cell>
          <cell r="AF27" t="e">
            <v>#DIV/0!</v>
          </cell>
          <cell r="AG27">
            <v>0</v>
          </cell>
          <cell r="AH27" t="e">
            <v>#DIV/0!</v>
          </cell>
          <cell r="AI27"/>
          <cell r="AJ27"/>
          <cell r="AK27"/>
          <cell r="AL27"/>
          <cell r="AM27"/>
          <cell r="AN27"/>
          <cell r="AO27">
            <v>0</v>
          </cell>
          <cell r="AP27" t="e">
            <v>#DIV/0!</v>
          </cell>
          <cell r="AQ27">
            <v>0</v>
          </cell>
          <cell r="AR27" t="e">
            <v>#DIV/0!</v>
          </cell>
        </row>
        <row r="28">
          <cell r="B28">
            <v>39448</v>
          </cell>
          <cell r="C28">
            <v>39448</v>
          </cell>
          <cell r="D28" t="str">
            <v>Global</v>
          </cell>
          <cell r="E28">
            <v>0.30112850580108258</v>
          </cell>
          <cell r="F28" t="str">
            <v>c</v>
          </cell>
          <cell r="G28" t="str">
            <v>c</v>
          </cell>
          <cell r="H28" t="str">
            <v>g</v>
          </cell>
          <cell r="I28">
            <v>0.2</v>
          </cell>
          <cell r="J28">
            <v>0.18</v>
          </cell>
          <cell r="K28">
            <v>0.30112850580108258</v>
          </cell>
          <cell r="L28" t="str">
            <v>c</v>
          </cell>
          <cell r="M28" t="str">
            <v>c</v>
          </cell>
          <cell r="N28" t="str">
            <v>g</v>
          </cell>
          <cell r="O28">
            <v>0.2</v>
          </cell>
          <cell r="P28">
            <v>0.18</v>
          </cell>
          <cell r="R28">
            <v>39448</v>
          </cell>
          <cell r="S28" t="str">
            <v>Global</v>
          </cell>
          <cell r="T28"/>
          <cell r="U28">
            <v>0.30112850580108258</v>
          </cell>
          <cell r="V28">
            <v>0</v>
          </cell>
          <cell r="W28">
            <v>0.30112850580108258</v>
          </cell>
          <cell r="X28"/>
          <cell r="Y28">
            <v>0.30112850580108258</v>
          </cell>
          <cell r="Z28" t="e">
            <v>#DIV/0!</v>
          </cell>
          <cell r="AA28"/>
          <cell r="AB28">
            <v>0</v>
          </cell>
          <cell r="AC28">
            <v>85108159.180000007</v>
          </cell>
          <cell r="AD28">
            <v>0</v>
          </cell>
          <cell r="AE28">
            <v>85108159.180000007</v>
          </cell>
          <cell r="AF28">
            <v>-1</v>
          </cell>
          <cell r="AG28">
            <v>85108159.180000007</v>
          </cell>
          <cell r="AH28">
            <v>-1</v>
          </cell>
          <cell r="AI28"/>
          <cell r="AJ28"/>
          <cell r="AK28">
            <v>0.30112850580108258</v>
          </cell>
          <cell r="AL28">
            <v>0</v>
          </cell>
          <cell r="AM28">
            <v>0.30112850580108258</v>
          </cell>
          <cell r="AN28"/>
          <cell r="AO28">
            <v>0.30112850580108258</v>
          </cell>
          <cell r="AP28" t="e">
            <v>#DIV/0!</v>
          </cell>
          <cell r="AQ28">
            <v>0</v>
          </cell>
          <cell r="AR28" t="e">
            <v>#DIV/0!</v>
          </cell>
        </row>
        <row r="29">
          <cell r="B29">
            <v>39479</v>
          </cell>
          <cell r="C29">
            <v>39479</v>
          </cell>
          <cell r="D29" t="str">
            <v>Global</v>
          </cell>
          <cell r="E29">
            <v>0.35290634302215002</v>
          </cell>
          <cell r="F29" t="str">
            <v>c</v>
          </cell>
          <cell r="G29" t="str">
            <v>c</v>
          </cell>
          <cell r="H29" t="str">
            <v>g</v>
          </cell>
          <cell r="I29">
            <v>0.2</v>
          </cell>
          <cell r="J29">
            <v>0.18</v>
          </cell>
          <cell r="K29">
            <v>0.35290634302215002</v>
          </cell>
          <cell r="L29" t="str">
            <v>c</v>
          </cell>
          <cell r="M29" t="str">
            <v>c</v>
          </cell>
          <cell r="N29" t="str">
            <v>g</v>
          </cell>
          <cell r="O29">
            <v>0.2</v>
          </cell>
          <cell r="P29">
            <v>0.18</v>
          </cell>
          <cell r="R29">
            <v>39479</v>
          </cell>
          <cell r="S29" t="str">
            <v>Global</v>
          </cell>
          <cell r="T29"/>
          <cell r="U29">
            <v>0.35290634302215002</v>
          </cell>
          <cell r="V29">
            <v>0</v>
          </cell>
          <cell r="W29">
            <v>0.35290634302215002</v>
          </cell>
          <cell r="X29"/>
          <cell r="Y29">
            <v>0.35290634302215002</v>
          </cell>
          <cell r="Z29" t="e">
            <v>#DIV/0!</v>
          </cell>
          <cell r="AA29"/>
          <cell r="AB29">
            <v>0</v>
          </cell>
          <cell r="AC29">
            <v>102967919.19</v>
          </cell>
          <cell r="AD29">
            <v>0</v>
          </cell>
          <cell r="AE29">
            <v>102967919.19</v>
          </cell>
          <cell r="AF29">
            <v>-1</v>
          </cell>
          <cell r="AG29">
            <v>102967919.19</v>
          </cell>
          <cell r="AH29">
            <v>-1</v>
          </cell>
          <cell r="AI29"/>
          <cell r="AJ29"/>
          <cell r="AK29">
            <v>0.35290634302215002</v>
          </cell>
          <cell r="AL29">
            <v>0</v>
          </cell>
          <cell r="AM29">
            <v>0.35290634302215002</v>
          </cell>
          <cell r="AN29"/>
          <cell r="AO29">
            <v>0.35290634302215002</v>
          </cell>
          <cell r="AP29" t="e">
            <v>#DIV/0!</v>
          </cell>
          <cell r="AQ29">
            <v>0</v>
          </cell>
          <cell r="AR29" t="e">
            <v>#DIV/0!</v>
          </cell>
        </row>
        <row r="30">
          <cell r="B30">
            <v>39508</v>
          </cell>
          <cell r="C30">
            <v>39508</v>
          </cell>
          <cell r="D30" t="str">
            <v>Global</v>
          </cell>
          <cell r="E30">
            <v>0.3333561993766252</v>
          </cell>
          <cell r="F30" t="str">
            <v>c</v>
          </cell>
          <cell r="G30" t="str">
            <v>c</v>
          </cell>
          <cell r="H30" t="str">
            <v>g</v>
          </cell>
          <cell r="I30">
            <v>0.20000000000000007</v>
          </cell>
          <cell r="J30">
            <v>0.18000000000000005</v>
          </cell>
          <cell r="K30">
            <v>0.3333561993766252</v>
          </cell>
          <cell r="L30" t="str">
            <v>c</v>
          </cell>
          <cell r="M30" t="str">
            <v>c</v>
          </cell>
          <cell r="N30" t="str">
            <v>g</v>
          </cell>
          <cell r="O30">
            <v>0.20000000000000007</v>
          </cell>
          <cell r="P30">
            <v>0.18000000000000005</v>
          </cell>
          <cell r="R30">
            <v>39508</v>
          </cell>
          <cell r="S30" t="str">
            <v>Global</v>
          </cell>
          <cell r="T30"/>
          <cell r="U30">
            <v>0.3333561993766252</v>
          </cell>
          <cell r="V30">
            <v>0</v>
          </cell>
          <cell r="W30">
            <v>0.3333561993766252</v>
          </cell>
          <cell r="X30"/>
          <cell r="Y30">
            <v>0.3333561993766252</v>
          </cell>
          <cell r="Z30" t="e">
            <v>#DIV/0!</v>
          </cell>
          <cell r="AA30"/>
          <cell r="AB30">
            <v>0</v>
          </cell>
          <cell r="AC30">
            <v>99149737.019999981</v>
          </cell>
          <cell r="AD30">
            <v>0</v>
          </cell>
          <cell r="AE30">
            <v>99149737.019999981</v>
          </cell>
          <cell r="AF30">
            <v>-1</v>
          </cell>
          <cell r="AG30">
            <v>99149737.019999981</v>
          </cell>
          <cell r="AH30">
            <v>-1</v>
          </cell>
          <cell r="AI30"/>
          <cell r="AJ30"/>
          <cell r="AK30">
            <v>0.3333561993766252</v>
          </cell>
          <cell r="AL30">
            <v>0</v>
          </cell>
          <cell r="AM30">
            <v>0.3333561993766252</v>
          </cell>
          <cell r="AN30"/>
          <cell r="AO30">
            <v>0.3333561993766252</v>
          </cell>
          <cell r="AP30" t="e">
            <v>#DIV/0!</v>
          </cell>
          <cell r="AQ30">
            <v>0</v>
          </cell>
          <cell r="AR30" t="e">
            <v>#DIV/0!</v>
          </cell>
        </row>
        <row r="31">
          <cell r="B31">
            <v>39539</v>
          </cell>
          <cell r="C31">
            <v>39539</v>
          </cell>
          <cell r="D31" t="str">
            <v>Global</v>
          </cell>
          <cell r="E31">
            <v>0.321308032616757</v>
          </cell>
          <cell r="F31" t="str">
            <v>c</v>
          </cell>
          <cell r="G31" t="str">
            <v>c</v>
          </cell>
          <cell r="H31" t="str">
            <v>g</v>
          </cell>
          <cell r="I31">
            <v>0.19999999999999996</v>
          </cell>
          <cell r="J31">
            <v>0.17999999999999994</v>
          </cell>
          <cell r="K31">
            <v>0.321308032616757</v>
          </cell>
          <cell r="L31" t="str">
            <v>c</v>
          </cell>
          <cell r="M31" t="str">
            <v>c</v>
          </cell>
          <cell r="N31" t="str">
            <v>g</v>
          </cell>
          <cell r="O31">
            <v>0.19999999999999996</v>
          </cell>
          <cell r="P31">
            <v>0.17999999999999994</v>
          </cell>
          <cell r="R31">
            <v>39539</v>
          </cell>
          <cell r="S31" t="str">
            <v>Global</v>
          </cell>
          <cell r="T31"/>
          <cell r="U31">
            <v>0.321308032616757</v>
          </cell>
          <cell r="V31">
            <v>0</v>
          </cell>
          <cell r="W31">
            <v>0.321308032616757</v>
          </cell>
          <cell r="X31"/>
          <cell r="Y31">
            <v>0.321308032616757</v>
          </cell>
          <cell r="Z31" t="e">
            <v>#DIV/0!</v>
          </cell>
          <cell r="AA31"/>
          <cell r="AB31">
            <v>0</v>
          </cell>
          <cell r="AC31">
            <v>97824755.689999998</v>
          </cell>
          <cell r="AD31">
            <v>0</v>
          </cell>
          <cell r="AE31">
            <v>97824755.689999998</v>
          </cell>
          <cell r="AF31">
            <v>-1</v>
          </cell>
          <cell r="AG31">
            <v>97824755.689999998</v>
          </cell>
          <cell r="AH31">
            <v>-1</v>
          </cell>
          <cell r="AI31"/>
          <cell r="AJ31"/>
          <cell r="AK31">
            <v>0.321308032616757</v>
          </cell>
          <cell r="AL31">
            <v>0</v>
          </cell>
          <cell r="AM31">
            <v>0.321308032616757</v>
          </cell>
          <cell r="AN31"/>
          <cell r="AO31">
            <v>0.321308032616757</v>
          </cell>
          <cell r="AP31" t="e">
            <v>#DIV/0!</v>
          </cell>
          <cell r="AQ31">
            <v>0</v>
          </cell>
          <cell r="AR31" t="e">
            <v>#DIV/0!</v>
          </cell>
        </row>
        <row r="32">
          <cell r="B32">
            <v>39569</v>
          </cell>
          <cell r="C32">
            <v>39569</v>
          </cell>
          <cell r="D32" t="str">
            <v>Global</v>
          </cell>
          <cell r="E32">
            <v>0.31622823847112808</v>
          </cell>
          <cell r="F32" t="str">
            <v>c</v>
          </cell>
          <cell r="G32" t="str">
            <v>c</v>
          </cell>
          <cell r="H32" t="str">
            <v>g</v>
          </cell>
          <cell r="I32">
            <v>0.19999999999999996</v>
          </cell>
          <cell r="J32">
            <v>0.17999999999999994</v>
          </cell>
          <cell r="K32">
            <v>0.31622823847112808</v>
          </cell>
          <cell r="L32" t="str">
            <v>c</v>
          </cell>
          <cell r="M32" t="str">
            <v>c</v>
          </cell>
          <cell r="N32" t="str">
            <v>g</v>
          </cell>
          <cell r="O32">
            <v>0.19999999999999996</v>
          </cell>
          <cell r="P32">
            <v>0.17999999999999994</v>
          </cell>
          <cell r="R32">
            <v>39569</v>
          </cell>
          <cell r="S32" t="str">
            <v>Global</v>
          </cell>
          <cell r="T32"/>
          <cell r="U32">
            <v>0.31622823847112808</v>
          </cell>
          <cell r="V32">
            <v>0</v>
          </cell>
          <cell r="W32">
            <v>0.31622823847112808</v>
          </cell>
          <cell r="X32"/>
          <cell r="Y32">
            <v>0.31622823847112808</v>
          </cell>
          <cell r="Z32" t="e">
            <v>#DIV/0!</v>
          </cell>
          <cell r="AA32"/>
          <cell r="AB32">
            <v>0</v>
          </cell>
          <cell r="AC32">
            <v>97905986.959999979</v>
          </cell>
          <cell r="AD32">
            <v>0</v>
          </cell>
          <cell r="AE32">
            <v>97905986.959999979</v>
          </cell>
          <cell r="AF32">
            <v>-1</v>
          </cell>
          <cell r="AG32">
            <v>97905986.959999979</v>
          </cell>
          <cell r="AH32">
            <v>-1</v>
          </cell>
          <cell r="AI32"/>
          <cell r="AJ32"/>
          <cell r="AK32">
            <v>0.31622823847112808</v>
          </cell>
          <cell r="AL32">
            <v>0</v>
          </cell>
          <cell r="AM32">
            <v>0.31622823847112808</v>
          </cell>
          <cell r="AN32"/>
          <cell r="AO32">
            <v>0.31622823847112808</v>
          </cell>
          <cell r="AP32" t="e">
            <v>#DIV/0!</v>
          </cell>
          <cell r="AQ32">
            <v>0</v>
          </cell>
          <cell r="AR32" t="e">
            <v>#DIV/0!</v>
          </cell>
        </row>
        <row r="33">
          <cell r="B33">
            <v>39600</v>
          </cell>
          <cell r="C33">
            <v>39600</v>
          </cell>
          <cell r="D33" t="str">
            <v>Global</v>
          </cell>
          <cell r="E33">
            <v>0.31081898695536947</v>
          </cell>
          <cell r="F33" t="str">
            <v>c</v>
          </cell>
          <cell r="G33" t="str">
            <v>c</v>
          </cell>
          <cell r="H33" t="str">
            <v>g</v>
          </cell>
          <cell r="I33">
            <v>0.19999999999999996</v>
          </cell>
          <cell r="J33">
            <v>0.17999999999999994</v>
          </cell>
          <cell r="K33">
            <v>0.31081898695536947</v>
          </cell>
          <cell r="L33" t="str">
            <v>c</v>
          </cell>
          <cell r="M33" t="str">
            <v>c</v>
          </cell>
          <cell r="N33" t="str">
            <v>g</v>
          </cell>
          <cell r="O33">
            <v>0.19999999999999996</v>
          </cell>
          <cell r="P33">
            <v>0.17999999999999994</v>
          </cell>
          <cell r="R33">
            <v>39600</v>
          </cell>
          <cell r="S33" t="str">
            <v>Global</v>
          </cell>
          <cell r="T33"/>
          <cell r="U33">
            <v>0.31081898695536947</v>
          </cell>
          <cell r="V33">
            <v>0</v>
          </cell>
          <cell r="W33">
            <v>0.31081898695536947</v>
          </cell>
          <cell r="X33"/>
          <cell r="Y33">
            <v>0.31081898695536947</v>
          </cell>
          <cell r="Z33" t="e">
            <v>#DIV/0!</v>
          </cell>
          <cell r="AA33"/>
          <cell r="AB33">
            <v>0</v>
          </cell>
          <cell r="AC33">
            <v>98850479.170000076</v>
          </cell>
          <cell r="AD33">
            <v>0</v>
          </cell>
          <cell r="AE33">
            <v>98850479.170000076</v>
          </cell>
          <cell r="AF33">
            <v>-1</v>
          </cell>
          <cell r="AG33">
            <v>98850479.170000076</v>
          </cell>
          <cell r="AH33">
            <v>-1</v>
          </cell>
          <cell r="AI33"/>
          <cell r="AJ33"/>
          <cell r="AK33">
            <v>0.31081898695536947</v>
          </cell>
          <cell r="AL33">
            <v>0</v>
          </cell>
          <cell r="AM33">
            <v>0.31081898695536947</v>
          </cell>
          <cell r="AN33"/>
          <cell r="AO33">
            <v>0.31081898695536947</v>
          </cell>
          <cell r="AP33" t="e">
            <v>#DIV/0!</v>
          </cell>
          <cell r="AQ33">
            <v>0</v>
          </cell>
          <cell r="AR33" t="e">
            <v>#DIV/0!</v>
          </cell>
        </row>
        <row r="34">
          <cell r="B34">
            <v>39630</v>
          </cell>
          <cell r="C34">
            <v>39630</v>
          </cell>
          <cell r="D34" t="str">
            <v>Global</v>
          </cell>
          <cell r="E34">
            <v>0.29150802146575888</v>
          </cell>
          <cell r="F34" t="str">
            <v>c</v>
          </cell>
          <cell r="G34" t="str">
            <v>c</v>
          </cell>
          <cell r="H34" t="str">
            <v>g</v>
          </cell>
          <cell r="I34">
            <v>0.19999999999999996</v>
          </cell>
          <cell r="J34">
            <v>0.17999999999999994</v>
          </cell>
          <cell r="K34">
            <v>0.29150802146575888</v>
          </cell>
          <cell r="L34" t="str">
            <v>c</v>
          </cell>
          <cell r="M34" t="str">
            <v>c</v>
          </cell>
          <cell r="N34" t="str">
            <v>g</v>
          </cell>
          <cell r="O34">
            <v>0.19999999999999996</v>
          </cell>
          <cell r="P34">
            <v>0.17999999999999994</v>
          </cell>
          <cell r="R34">
            <v>39630</v>
          </cell>
          <cell r="S34" t="str">
            <v>Global</v>
          </cell>
          <cell r="T34"/>
          <cell r="U34">
            <v>0.29150802146575888</v>
          </cell>
          <cell r="V34">
            <v>0</v>
          </cell>
          <cell r="W34">
            <v>0.29150802146575888</v>
          </cell>
          <cell r="X34"/>
          <cell r="Y34">
            <v>0.29150802146575888</v>
          </cell>
          <cell r="Z34" t="e">
            <v>#DIV/0!</v>
          </cell>
          <cell r="AA34"/>
          <cell r="AB34">
            <v>0</v>
          </cell>
          <cell r="AC34">
            <v>94910771.950000048</v>
          </cell>
          <cell r="AD34">
            <v>0</v>
          </cell>
          <cell r="AE34">
            <v>94910771.950000048</v>
          </cell>
          <cell r="AF34">
            <v>-1</v>
          </cell>
          <cell r="AG34">
            <v>94910771.950000048</v>
          </cell>
          <cell r="AH34">
            <v>-1</v>
          </cell>
          <cell r="AI34"/>
          <cell r="AJ34"/>
          <cell r="AK34">
            <v>0.29150802146575888</v>
          </cell>
          <cell r="AL34">
            <v>0</v>
          </cell>
          <cell r="AM34">
            <v>0.29150802146575888</v>
          </cell>
          <cell r="AN34"/>
          <cell r="AO34">
            <v>0.29150802146575888</v>
          </cell>
          <cell r="AP34" t="e">
            <v>#DIV/0!</v>
          </cell>
          <cell r="AQ34">
            <v>0</v>
          </cell>
          <cell r="AR34" t="e">
            <v>#DIV/0!</v>
          </cell>
        </row>
        <row r="35">
          <cell r="B35">
            <v>39661</v>
          </cell>
          <cell r="C35">
            <v>39661</v>
          </cell>
          <cell r="D35" t="str">
            <v>Global</v>
          </cell>
          <cell r="E35">
            <v>0.28066330334642986</v>
          </cell>
          <cell r="F35" t="str">
            <v>c</v>
          </cell>
          <cell r="G35" t="str">
            <v>c</v>
          </cell>
          <cell r="H35" t="str">
            <v>g</v>
          </cell>
          <cell r="I35">
            <v>0.19999999999999996</v>
          </cell>
          <cell r="J35">
            <v>0.17999999999999994</v>
          </cell>
          <cell r="K35">
            <v>0.28066330334642986</v>
          </cell>
          <cell r="L35" t="str">
            <v>c</v>
          </cell>
          <cell r="M35" t="str">
            <v>c</v>
          </cell>
          <cell r="N35" t="str">
            <v>g</v>
          </cell>
          <cell r="O35">
            <v>0.19999999999999996</v>
          </cell>
          <cell r="P35">
            <v>0.17999999999999994</v>
          </cell>
          <cell r="R35">
            <v>39661</v>
          </cell>
          <cell r="S35" t="str">
            <v>Global</v>
          </cell>
          <cell r="T35"/>
          <cell r="U35">
            <v>0.28066330334642986</v>
          </cell>
          <cell r="V35">
            <v>0</v>
          </cell>
          <cell r="W35">
            <v>0.28066330334642986</v>
          </cell>
          <cell r="X35"/>
          <cell r="Y35">
            <v>0.28066330334642986</v>
          </cell>
          <cell r="Z35" t="e">
            <v>#DIV/0!</v>
          </cell>
          <cell r="AA35"/>
          <cell r="AB35">
            <v>0</v>
          </cell>
          <cell r="AC35">
            <v>93309698.519999981</v>
          </cell>
          <cell r="AD35">
            <v>0</v>
          </cell>
          <cell r="AE35">
            <v>93309698.519999981</v>
          </cell>
          <cell r="AF35">
            <v>-1</v>
          </cell>
          <cell r="AG35">
            <v>93309698.519999981</v>
          </cell>
          <cell r="AH35">
            <v>-1</v>
          </cell>
          <cell r="AI35"/>
          <cell r="AJ35"/>
          <cell r="AK35">
            <v>0.28066330334642986</v>
          </cell>
          <cell r="AL35">
            <v>0</v>
          </cell>
          <cell r="AM35">
            <v>0.28066330334642986</v>
          </cell>
          <cell r="AN35"/>
          <cell r="AO35">
            <v>0.28066330334642986</v>
          </cell>
          <cell r="AP35" t="e">
            <v>#DIV/0!</v>
          </cell>
          <cell r="AQ35">
            <v>0</v>
          </cell>
          <cell r="AR35" t="e">
            <v>#DIV/0!</v>
          </cell>
        </row>
        <row r="36">
          <cell r="B36">
            <v>39692</v>
          </cell>
          <cell r="C36">
            <v>39692</v>
          </cell>
          <cell r="D36" t="str">
            <v>Global</v>
          </cell>
          <cell r="E36">
            <v>0.17105548843986981</v>
          </cell>
          <cell r="F36" t="str">
            <v>g</v>
          </cell>
          <cell r="G36" t="str">
            <v>c</v>
          </cell>
          <cell r="H36" t="str">
            <v>c</v>
          </cell>
          <cell r="I36">
            <v>0.19999999999999996</v>
          </cell>
          <cell r="J36">
            <v>0.17999999999999994</v>
          </cell>
          <cell r="K36">
            <v>0.17105548843986981</v>
          </cell>
          <cell r="L36" t="str">
            <v>g</v>
          </cell>
          <cell r="M36" t="str">
            <v>c</v>
          </cell>
          <cell r="N36" t="str">
            <v>c</v>
          </cell>
          <cell r="O36">
            <v>0.19999999999999996</v>
          </cell>
          <cell r="P36">
            <v>0.17999999999999994</v>
          </cell>
          <cell r="R36">
            <v>39692</v>
          </cell>
          <cell r="S36" t="str">
            <v>Global</v>
          </cell>
          <cell r="T36"/>
          <cell r="U36">
            <v>0.17105548843986981</v>
          </cell>
          <cell r="V36">
            <v>0</v>
          </cell>
          <cell r="W36">
            <v>0.17105548843986981</v>
          </cell>
          <cell r="X36"/>
          <cell r="Y36">
            <v>0.17105548843986981</v>
          </cell>
          <cell r="Z36" t="e">
            <v>#DIV/0!</v>
          </cell>
          <cell r="AA36"/>
          <cell r="AB36">
            <v>0</v>
          </cell>
          <cell r="AC36">
            <v>63489551.220000029</v>
          </cell>
          <cell r="AD36">
            <v>0</v>
          </cell>
          <cell r="AE36">
            <v>63489551.220000029</v>
          </cell>
          <cell r="AF36">
            <v>-1</v>
          </cell>
          <cell r="AG36">
            <v>63489551.220000029</v>
          </cell>
          <cell r="AH36">
            <v>-1</v>
          </cell>
          <cell r="AI36"/>
          <cell r="AJ36"/>
          <cell r="AK36">
            <v>0.17105548843986981</v>
          </cell>
          <cell r="AL36">
            <v>0</v>
          </cell>
          <cell r="AM36">
            <v>0.17105548843986981</v>
          </cell>
          <cell r="AN36"/>
          <cell r="AO36">
            <v>0.17105548843986981</v>
          </cell>
          <cell r="AP36" t="e">
            <v>#DIV/0!</v>
          </cell>
          <cell r="AQ36">
            <v>0</v>
          </cell>
          <cell r="AR36" t="e">
            <v>#DIV/0!</v>
          </cell>
        </row>
        <row r="37">
          <cell r="B37">
            <v>39722</v>
          </cell>
          <cell r="C37">
            <v>39722</v>
          </cell>
          <cell r="D37" t="str">
            <v>Global</v>
          </cell>
          <cell r="E37">
            <v>0.21153588354366426</v>
          </cell>
          <cell r="F37" t="str">
            <v>c</v>
          </cell>
          <cell r="G37" t="str">
            <v>c</v>
          </cell>
          <cell r="H37" t="str">
            <v>g</v>
          </cell>
          <cell r="I37">
            <v>0.19999999999999996</v>
          </cell>
          <cell r="J37">
            <v>0.17999999999999994</v>
          </cell>
          <cell r="K37">
            <v>0.21153588354366426</v>
          </cell>
          <cell r="L37" t="str">
            <v>c</v>
          </cell>
          <cell r="M37" t="str">
            <v>c</v>
          </cell>
          <cell r="N37" t="str">
            <v>g</v>
          </cell>
          <cell r="O37">
            <v>0.19999999999999996</v>
          </cell>
          <cell r="P37">
            <v>0.17999999999999994</v>
          </cell>
          <cell r="R37">
            <v>39722</v>
          </cell>
          <cell r="S37" t="str">
            <v>Global</v>
          </cell>
          <cell r="T37"/>
          <cell r="U37">
            <v>0.21153588354366426</v>
          </cell>
          <cell r="V37">
            <v>0</v>
          </cell>
          <cell r="W37">
            <v>0.21153588354366426</v>
          </cell>
          <cell r="X37"/>
          <cell r="Y37">
            <v>0.21153588354366426</v>
          </cell>
          <cell r="Z37" t="e">
            <v>#DIV/0!</v>
          </cell>
          <cell r="AA37"/>
          <cell r="AB37">
            <v>0</v>
          </cell>
          <cell r="AC37">
            <v>80208756.940000057</v>
          </cell>
          <cell r="AD37">
            <v>0</v>
          </cell>
          <cell r="AE37">
            <v>80208756.940000057</v>
          </cell>
          <cell r="AF37">
            <v>-1</v>
          </cell>
          <cell r="AG37">
            <v>80208756.940000057</v>
          </cell>
          <cell r="AH37">
            <v>-1</v>
          </cell>
          <cell r="AI37"/>
          <cell r="AJ37"/>
          <cell r="AK37">
            <v>0.21153588354366426</v>
          </cell>
          <cell r="AL37">
            <v>0</v>
          </cell>
          <cell r="AM37">
            <v>0.21153588354366426</v>
          </cell>
          <cell r="AN37"/>
          <cell r="AO37">
            <v>0.21153588354366426</v>
          </cell>
          <cell r="AP37" t="e">
            <v>#DIV/0!</v>
          </cell>
          <cell r="AQ37">
            <v>0</v>
          </cell>
          <cell r="AR37" t="e">
            <v>#DIV/0!</v>
          </cell>
        </row>
        <row r="38">
          <cell r="B38">
            <v>39753</v>
          </cell>
          <cell r="C38">
            <v>39753</v>
          </cell>
          <cell r="D38" t="str">
            <v>Global</v>
          </cell>
          <cell r="E38">
            <v>0.19800273031150256</v>
          </cell>
          <cell r="F38" t="str">
            <v>c</v>
          </cell>
          <cell r="G38" t="str">
            <v>g</v>
          </cell>
          <cell r="H38" t="str">
            <v>c</v>
          </cell>
          <cell r="I38">
            <v>0.19999999999999996</v>
          </cell>
          <cell r="J38">
            <v>0.17999999999999994</v>
          </cell>
          <cell r="K38">
            <v>0.19800273031150256</v>
          </cell>
          <cell r="L38" t="str">
            <v>c</v>
          </cell>
          <cell r="M38" t="str">
            <v>g</v>
          </cell>
          <cell r="N38" t="str">
            <v>c</v>
          </cell>
          <cell r="O38">
            <v>0.19999999999999996</v>
          </cell>
          <cell r="P38">
            <v>0.17999999999999994</v>
          </cell>
          <cell r="R38">
            <v>39753</v>
          </cell>
          <cell r="S38" t="str">
            <v>Global</v>
          </cell>
          <cell r="T38"/>
          <cell r="U38">
            <v>0.19800273031150256</v>
          </cell>
          <cell r="V38">
            <v>0</v>
          </cell>
          <cell r="W38">
            <v>0.19800273031150256</v>
          </cell>
          <cell r="X38"/>
          <cell r="Y38">
            <v>0.19800273031150256</v>
          </cell>
          <cell r="Z38" t="e">
            <v>#DIV/0!</v>
          </cell>
          <cell r="AA38"/>
          <cell r="AB38">
            <v>0</v>
          </cell>
          <cell r="AC38">
            <v>73359999.129999995</v>
          </cell>
          <cell r="AD38">
            <v>0</v>
          </cell>
          <cell r="AE38">
            <v>73359999.129999995</v>
          </cell>
          <cell r="AF38">
            <v>-1</v>
          </cell>
          <cell r="AG38">
            <v>73359999.129999995</v>
          </cell>
          <cell r="AH38">
            <v>-1</v>
          </cell>
          <cell r="AI38"/>
          <cell r="AJ38"/>
          <cell r="AK38">
            <v>0.19800273031150256</v>
          </cell>
          <cell r="AL38">
            <v>0</v>
          </cell>
          <cell r="AM38">
            <v>0.19800273031150256</v>
          </cell>
          <cell r="AN38"/>
          <cell r="AO38">
            <v>0.19800273031150256</v>
          </cell>
          <cell r="AP38" t="e">
            <v>#DIV/0!</v>
          </cell>
          <cell r="AQ38">
            <v>0</v>
          </cell>
          <cell r="AR38" t="e">
            <v>#DIV/0!</v>
          </cell>
        </row>
        <row r="39">
          <cell r="B39">
            <v>39783</v>
          </cell>
          <cell r="C39">
            <v>39783</v>
          </cell>
          <cell r="D39" t="str">
            <v>Global</v>
          </cell>
          <cell r="E39">
            <v>0.17285318346858577</v>
          </cell>
          <cell r="F39" t="str">
            <v>g</v>
          </cell>
          <cell r="G39" t="str">
            <v>c</v>
          </cell>
          <cell r="H39" t="str">
            <v>c</v>
          </cell>
          <cell r="I39">
            <v>0.20000000000000018</v>
          </cell>
          <cell r="J39">
            <v>0.18000000000000016</v>
          </cell>
          <cell r="K39">
            <v>0.17285318346858577</v>
          </cell>
          <cell r="L39" t="str">
            <v>g</v>
          </cell>
          <cell r="M39" t="str">
            <v>c</v>
          </cell>
          <cell r="N39" t="str">
            <v>c</v>
          </cell>
          <cell r="O39">
            <v>0.20000000000000018</v>
          </cell>
          <cell r="P39">
            <v>0.18000000000000016</v>
          </cell>
          <cell r="R39">
            <v>39783</v>
          </cell>
          <cell r="S39" t="str">
            <v>Global</v>
          </cell>
          <cell r="T39"/>
          <cell r="U39">
            <v>0.17285318346858577</v>
          </cell>
          <cell r="V39">
            <v>0</v>
          </cell>
          <cell r="W39">
            <v>0.17285318346858577</v>
          </cell>
          <cell r="X39"/>
          <cell r="Y39">
            <v>0.17285318346858577</v>
          </cell>
          <cell r="Z39" t="e">
            <v>#DIV/0!</v>
          </cell>
          <cell r="AA39"/>
          <cell r="AB39">
            <v>0</v>
          </cell>
          <cell r="AC39">
            <v>72969999.120000005</v>
          </cell>
          <cell r="AD39">
            <v>0</v>
          </cell>
          <cell r="AE39">
            <v>72969999.120000005</v>
          </cell>
          <cell r="AF39">
            <v>-1</v>
          </cell>
          <cell r="AG39">
            <v>72969999.120000005</v>
          </cell>
          <cell r="AH39">
            <v>-1</v>
          </cell>
          <cell r="AI39"/>
          <cell r="AJ39"/>
          <cell r="AK39">
            <v>0.17285318346858577</v>
          </cell>
          <cell r="AL39">
            <v>0</v>
          </cell>
          <cell r="AM39">
            <v>0.17285318346858577</v>
          </cell>
          <cell r="AN39"/>
          <cell r="AO39">
            <v>0.17285318346858577</v>
          </cell>
          <cell r="AP39" t="e">
            <v>#DIV/0!</v>
          </cell>
          <cell r="AQ39">
            <v>0</v>
          </cell>
          <cell r="AR39" t="e">
            <v>#DIV/0!</v>
          </cell>
        </row>
        <row r="40">
          <cell r="B40">
            <v>39814</v>
          </cell>
          <cell r="C40"/>
          <cell r="D40" t="str">
            <v>Global</v>
          </cell>
          <cell r="E40" t="str">
            <v/>
          </cell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  <cell r="L40" t="str">
            <v/>
          </cell>
          <cell r="M40" t="str">
            <v/>
          </cell>
          <cell r="N40" t="str">
            <v/>
          </cell>
          <cell r="O40" t="str">
            <v/>
          </cell>
          <cell r="P40" t="str">
            <v/>
          </cell>
          <cell r="R40">
            <v>39814</v>
          </cell>
          <cell r="S40" t="str">
            <v>Global</v>
          </cell>
          <cell r="T40">
            <v>0.30112850580108258</v>
          </cell>
          <cell r="U40" t="str">
            <v/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 t="str">
            <v/>
          </cell>
          <cell r="AA40"/>
          <cell r="AB40">
            <v>85108159.180000007</v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/>
          <cell r="AJ40">
            <v>0.30112850580108258</v>
          </cell>
          <cell r="AK40" t="str">
            <v/>
          </cell>
          <cell r="AL40" t="str">
            <v/>
          </cell>
          <cell r="AM40" t="str">
            <v/>
          </cell>
          <cell r="AN40" t="str">
            <v/>
          </cell>
          <cell r="AO40" t="str">
            <v/>
          </cell>
          <cell r="AP40" t="str">
            <v/>
          </cell>
          <cell r="AQ40">
            <v>0</v>
          </cell>
          <cell r="AR40" t="str">
            <v/>
          </cell>
        </row>
        <row r="41">
          <cell r="B41">
            <v>39845</v>
          </cell>
          <cell r="C41"/>
          <cell r="D41" t="str">
            <v>Global</v>
          </cell>
          <cell r="E41" t="str">
            <v/>
          </cell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  <cell r="J41" t="str">
            <v/>
          </cell>
          <cell r="K41" t="str">
            <v/>
          </cell>
          <cell r="L41" t="str">
            <v/>
          </cell>
          <cell r="M41" t="str">
            <v/>
          </cell>
          <cell r="N41" t="str">
            <v/>
          </cell>
          <cell r="O41"/>
          <cell r="P41"/>
          <cell r="R41">
            <v>39845</v>
          </cell>
          <cell r="S41" t="str">
            <v>Global</v>
          </cell>
          <cell r="T41">
            <v>0.35290634302215002</v>
          </cell>
          <cell r="U41" t="str">
            <v/>
          </cell>
          <cell r="V41" t="str">
            <v/>
          </cell>
          <cell r="W41" t="str">
            <v/>
          </cell>
          <cell r="X41" t="str">
            <v/>
          </cell>
          <cell r="Y41" t="str">
            <v/>
          </cell>
          <cell r="Z41" t="str">
            <v/>
          </cell>
          <cell r="AA41"/>
          <cell r="AB41">
            <v>102967919.19</v>
          </cell>
          <cell r="AC41" t="str">
            <v/>
          </cell>
          <cell r="AD41" t="str">
            <v/>
          </cell>
          <cell r="AE41" t="str">
            <v/>
          </cell>
          <cell r="AF41" t="str">
            <v/>
          </cell>
          <cell r="AG41" t="str">
            <v/>
          </cell>
          <cell r="AH41" t="str">
            <v/>
          </cell>
          <cell r="AI41"/>
          <cell r="AJ41">
            <v>0.35290634302215002</v>
          </cell>
          <cell r="AK41" t="str">
            <v/>
          </cell>
          <cell r="AL41" t="str">
            <v/>
          </cell>
          <cell r="AM41" t="str">
            <v/>
          </cell>
          <cell r="AN41" t="str">
            <v/>
          </cell>
          <cell r="AO41" t="str">
            <v/>
          </cell>
          <cell r="AP41" t="str">
            <v/>
          </cell>
          <cell r="AQ41">
            <v>0</v>
          </cell>
          <cell r="AR41"/>
        </row>
        <row r="42">
          <cell r="B42">
            <v>39873</v>
          </cell>
          <cell r="C42"/>
          <cell r="D42" t="str">
            <v>Global</v>
          </cell>
          <cell r="E42" t="str">
            <v/>
          </cell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  <cell r="J42" t="str">
            <v/>
          </cell>
          <cell r="K42" t="str">
            <v/>
          </cell>
          <cell r="L42" t="str">
            <v/>
          </cell>
          <cell r="M42" t="str">
            <v/>
          </cell>
          <cell r="N42" t="str">
            <v/>
          </cell>
          <cell r="O42"/>
          <cell r="P42"/>
          <cell r="R42">
            <v>39873</v>
          </cell>
          <cell r="S42" t="str">
            <v>Global</v>
          </cell>
          <cell r="T42">
            <v>0.3333561993766252</v>
          </cell>
          <cell r="U42" t="str">
            <v/>
          </cell>
          <cell r="V42" t="str">
            <v/>
          </cell>
          <cell r="W42" t="str">
            <v/>
          </cell>
          <cell r="X42" t="str">
            <v/>
          </cell>
          <cell r="Y42" t="str">
            <v/>
          </cell>
          <cell r="Z42" t="str">
            <v/>
          </cell>
          <cell r="AA42"/>
          <cell r="AB42">
            <v>99149737.019999981</v>
          </cell>
          <cell r="AC42" t="str">
            <v/>
          </cell>
          <cell r="AD42" t="str">
            <v/>
          </cell>
          <cell r="AE42" t="str">
            <v/>
          </cell>
          <cell r="AF42" t="str">
            <v/>
          </cell>
          <cell r="AG42" t="str">
            <v/>
          </cell>
          <cell r="AH42" t="str">
            <v/>
          </cell>
          <cell r="AI42"/>
          <cell r="AJ42">
            <v>0.3333561993766252</v>
          </cell>
          <cell r="AK42" t="str">
            <v/>
          </cell>
          <cell r="AL42" t="str">
            <v/>
          </cell>
          <cell r="AM42" t="str">
            <v/>
          </cell>
          <cell r="AN42" t="str">
            <v/>
          </cell>
          <cell r="AO42" t="str">
            <v/>
          </cell>
          <cell r="AP42" t="str">
            <v/>
          </cell>
          <cell r="AQ42">
            <v>0</v>
          </cell>
          <cell r="AR42"/>
        </row>
        <row r="43">
          <cell r="B43">
            <v>39904</v>
          </cell>
          <cell r="C43"/>
          <cell r="D43" t="str">
            <v>Global</v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 t="str">
            <v/>
          </cell>
          <cell r="L43" t="str">
            <v/>
          </cell>
          <cell r="M43" t="str">
            <v/>
          </cell>
          <cell r="N43" t="str">
            <v/>
          </cell>
          <cell r="O43"/>
          <cell r="P43"/>
          <cell r="R43">
            <v>39904</v>
          </cell>
          <cell r="S43" t="str">
            <v>Global</v>
          </cell>
          <cell r="T43">
            <v>0.321308032616757</v>
          </cell>
          <cell r="U43" t="str">
            <v/>
          </cell>
          <cell r="V43" t="str">
            <v/>
          </cell>
          <cell r="W43" t="str">
            <v/>
          </cell>
          <cell r="X43" t="str">
            <v/>
          </cell>
          <cell r="Y43" t="str">
            <v/>
          </cell>
          <cell r="Z43" t="str">
            <v/>
          </cell>
          <cell r="AA43"/>
          <cell r="AB43">
            <v>97824755.689999998</v>
          </cell>
          <cell r="AC43" t="str">
            <v/>
          </cell>
          <cell r="AD43" t="str">
            <v/>
          </cell>
          <cell r="AE43" t="str">
            <v/>
          </cell>
          <cell r="AF43" t="str">
            <v/>
          </cell>
          <cell r="AG43" t="str">
            <v/>
          </cell>
          <cell r="AH43" t="str">
            <v/>
          </cell>
          <cell r="AI43"/>
          <cell r="AJ43">
            <v>0.321308032616757</v>
          </cell>
          <cell r="AK43" t="str">
            <v/>
          </cell>
          <cell r="AL43" t="str">
            <v/>
          </cell>
          <cell r="AM43" t="str">
            <v/>
          </cell>
          <cell r="AN43" t="str">
            <v/>
          </cell>
          <cell r="AO43" t="str">
            <v/>
          </cell>
          <cell r="AP43" t="str">
            <v/>
          </cell>
          <cell r="AQ43">
            <v>0</v>
          </cell>
          <cell r="AR43"/>
        </row>
        <row r="44">
          <cell r="B44">
            <v>39934</v>
          </cell>
          <cell r="C44"/>
          <cell r="D44" t="str">
            <v>Global</v>
          </cell>
          <cell r="E44" t="str">
            <v/>
          </cell>
          <cell r="F44" t="str">
            <v/>
          </cell>
          <cell r="G44" t="str">
            <v/>
          </cell>
          <cell r="H44" t="str">
            <v/>
          </cell>
          <cell r="I44" t="str">
            <v/>
          </cell>
          <cell r="J44" t="str">
            <v/>
          </cell>
          <cell r="K44" t="str">
            <v/>
          </cell>
          <cell r="L44" t="str">
            <v/>
          </cell>
          <cell r="M44" t="str">
            <v/>
          </cell>
          <cell r="N44" t="str">
            <v/>
          </cell>
          <cell r="O44"/>
          <cell r="P44"/>
          <cell r="R44">
            <v>39934</v>
          </cell>
          <cell r="S44" t="str">
            <v>Global</v>
          </cell>
          <cell r="T44">
            <v>0.31622823847112808</v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  <cell r="AA44"/>
          <cell r="AB44">
            <v>97905986.959999979</v>
          </cell>
          <cell r="AC44" t="str">
            <v/>
          </cell>
          <cell r="AD44" t="str">
            <v/>
          </cell>
          <cell r="AE44" t="str">
            <v/>
          </cell>
          <cell r="AF44" t="str">
            <v/>
          </cell>
          <cell r="AG44" t="str">
            <v/>
          </cell>
          <cell r="AH44" t="str">
            <v/>
          </cell>
          <cell r="AI44"/>
          <cell r="AJ44">
            <v>0.31622823847112808</v>
          </cell>
          <cell r="AK44" t="str">
            <v/>
          </cell>
          <cell r="AL44" t="str">
            <v/>
          </cell>
          <cell r="AM44" t="str">
            <v/>
          </cell>
          <cell r="AN44" t="str">
            <v/>
          </cell>
          <cell r="AO44" t="str">
            <v/>
          </cell>
          <cell r="AP44" t="str">
            <v/>
          </cell>
          <cell r="AQ44">
            <v>0</v>
          </cell>
          <cell r="AR44"/>
        </row>
        <row r="45">
          <cell r="B45">
            <v>39965</v>
          </cell>
          <cell r="C45"/>
          <cell r="D45" t="str">
            <v>Global</v>
          </cell>
          <cell r="E45" t="str">
            <v/>
          </cell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  <cell r="M45" t="str">
            <v/>
          </cell>
          <cell r="N45" t="str">
            <v/>
          </cell>
          <cell r="O45"/>
          <cell r="P45"/>
          <cell r="R45">
            <v>39965</v>
          </cell>
          <cell r="S45" t="str">
            <v>Global</v>
          </cell>
          <cell r="T45">
            <v>0.31081898695536947</v>
          </cell>
          <cell r="U45" t="str">
            <v/>
          </cell>
          <cell r="V45" t="str">
            <v/>
          </cell>
          <cell r="W45" t="str">
            <v/>
          </cell>
          <cell r="X45" t="str">
            <v/>
          </cell>
          <cell r="Y45" t="str">
            <v/>
          </cell>
          <cell r="Z45" t="str">
            <v/>
          </cell>
          <cell r="AA45"/>
          <cell r="AB45">
            <v>98850479.170000076</v>
          </cell>
          <cell r="AC45" t="str">
            <v/>
          </cell>
          <cell r="AD45" t="str">
            <v/>
          </cell>
          <cell r="AE45" t="str">
            <v/>
          </cell>
          <cell r="AF45" t="str">
            <v/>
          </cell>
          <cell r="AG45" t="str">
            <v/>
          </cell>
          <cell r="AH45" t="str">
            <v/>
          </cell>
          <cell r="AI45"/>
          <cell r="AJ45">
            <v>0.31081898695536947</v>
          </cell>
          <cell r="AK45" t="str">
            <v/>
          </cell>
          <cell r="AL45" t="str">
            <v/>
          </cell>
          <cell r="AM45" t="str">
            <v/>
          </cell>
          <cell r="AN45" t="str">
            <v/>
          </cell>
          <cell r="AO45" t="str">
            <v/>
          </cell>
          <cell r="AP45" t="str">
            <v/>
          </cell>
          <cell r="AQ45">
            <v>0</v>
          </cell>
          <cell r="AR45"/>
        </row>
        <row r="46">
          <cell r="B46">
            <v>39995</v>
          </cell>
          <cell r="C46"/>
          <cell r="D46" t="str">
            <v>Global</v>
          </cell>
          <cell r="E46" t="str">
            <v/>
          </cell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  <cell r="M46" t="str">
            <v/>
          </cell>
          <cell r="N46" t="str">
            <v/>
          </cell>
          <cell r="O46"/>
          <cell r="P46"/>
          <cell r="R46">
            <v>39995</v>
          </cell>
          <cell r="S46" t="str">
            <v>Global</v>
          </cell>
          <cell r="T46">
            <v>0.29150802146575888</v>
          </cell>
          <cell r="U46" t="str">
            <v/>
          </cell>
          <cell r="V46" t="str">
            <v/>
          </cell>
          <cell r="W46" t="str">
            <v/>
          </cell>
          <cell r="X46" t="str">
            <v/>
          </cell>
          <cell r="Y46" t="str">
            <v/>
          </cell>
          <cell r="Z46" t="str">
            <v/>
          </cell>
          <cell r="AA46"/>
          <cell r="AB46">
            <v>94910771.950000048</v>
          </cell>
          <cell r="AC46" t="str">
            <v/>
          </cell>
          <cell r="AD46" t="str">
            <v/>
          </cell>
          <cell r="AE46" t="str">
            <v/>
          </cell>
          <cell r="AF46" t="str">
            <v/>
          </cell>
          <cell r="AG46" t="str">
            <v/>
          </cell>
          <cell r="AH46" t="str">
            <v/>
          </cell>
          <cell r="AI46"/>
          <cell r="AJ46">
            <v>0.29150802146575888</v>
          </cell>
          <cell r="AK46" t="str">
            <v/>
          </cell>
          <cell r="AL46" t="str">
            <v/>
          </cell>
          <cell r="AM46" t="str">
            <v/>
          </cell>
          <cell r="AN46" t="str">
            <v/>
          </cell>
          <cell r="AO46" t="str">
            <v/>
          </cell>
          <cell r="AP46" t="str">
            <v/>
          </cell>
          <cell r="AQ46">
            <v>0</v>
          </cell>
          <cell r="AR46"/>
        </row>
        <row r="47">
          <cell r="B47">
            <v>40026</v>
          </cell>
          <cell r="C47"/>
          <cell r="D47" t="str">
            <v>Global</v>
          </cell>
          <cell r="E47" t="str">
            <v/>
          </cell>
          <cell r="F47" t="str">
            <v/>
          </cell>
          <cell r="G47" t="str">
            <v/>
          </cell>
          <cell r="H47" t="str">
            <v/>
          </cell>
          <cell r="I47" t="str">
            <v/>
          </cell>
          <cell r="J47" t="str">
            <v/>
          </cell>
          <cell r="K47" t="str">
            <v/>
          </cell>
          <cell r="L47" t="str">
            <v/>
          </cell>
          <cell r="M47" t="str">
            <v/>
          </cell>
          <cell r="N47" t="str">
            <v/>
          </cell>
          <cell r="O47"/>
          <cell r="P47"/>
          <cell r="R47">
            <v>40026</v>
          </cell>
          <cell r="S47" t="str">
            <v>Global</v>
          </cell>
          <cell r="T47">
            <v>0.28066330334642986</v>
          </cell>
          <cell r="U47" t="str">
            <v/>
          </cell>
          <cell r="V47" t="str">
            <v/>
          </cell>
          <cell r="W47" t="str">
            <v/>
          </cell>
          <cell r="X47" t="str">
            <v/>
          </cell>
          <cell r="Y47" t="str">
            <v/>
          </cell>
          <cell r="Z47" t="str">
            <v/>
          </cell>
          <cell r="AA47"/>
          <cell r="AB47">
            <v>93309698.519999981</v>
          </cell>
          <cell r="AC47" t="str">
            <v/>
          </cell>
          <cell r="AD47" t="str">
            <v/>
          </cell>
          <cell r="AE47" t="str">
            <v/>
          </cell>
          <cell r="AF47" t="str">
            <v/>
          </cell>
          <cell r="AG47" t="str">
            <v/>
          </cell>
          <cell r="AH47" t="str">
            <v/>
          </cell>
          <cell r="AI47"/>
          <cell r="AJ47">
            <v>0.28066330334642986</v>
          </cell>
          <cell r="AK47" t="str">
            <v/>
          </cell>
          <cell r="AL47" t="str">
            <v/>
          </cell>
          <cell r="AM47" t="str">
            <v/>
          </cell>
          <cell r="AN47" t="str">
            <v/>
          </cell>
          <cell r="AO47" t="str">
            <v/>
          </cell>
          <cell r="AP47" t="str">
            <v/>
          </cell>
          <cell r="AQ47">
            <v>0</v>
          </cell>
          <cell r="AR47"/>
        </row>
        <row r="48">
          <cell r="B48">
            <v>40057</v>
          </cell>
          <cell r="C48"/>
          <cell r="D48" t="str">
            <v>Global</v>
          </cell>
          <cell r="E48" t="str">
            <v/>
          </cell>
          <cell r="F48" t="str">
            <v/>
          </cell>
          <cell r="G48" t="str">
            <v/>
          </cell>
          <cell r="H48" t="str">
            <v/>
          </cell>
          <cell r="I48" t="str">
            <v/>
          </cell>
          <cell r="J48" t="str">
            <v/>
          </cell>
          <cell r="K48" t="str">
            <v/>
          </cell>
          <cell r="L48" t="str">
            <v/>
          </cell>
          <cell r="M48" t="str">
            <v/>
          </cell>
          <cell r="N48" t="str">
            <v/>
          </cell>
          <cell r="O48"/>
          <cell r="P48"/>
          <cell r="R48">
            <v>40057</v>
          </cell>
          <cell r="S48" t="str">
            <v>Global</v>
          </cell>
          <cell r="T48">
            <v>0.17105548843986981</v>
          </cell>
          <cell r="U48" t="str">
            <v/>
          </cell>
          <cell r="V48" t="str">
            <v/>
          </cell>
          <cell r="W48" t="str">
            <v/>
          </cell>
          <cell r="X48" t="str">
            <v/>
          </cell>
          <cell r="Y48" t="str">
            <v/>
          </cell>
          <cell r="Z48" t="str">
            <v/>
          </cell>
          <cell r="AA48"/>
          <cell r="AB48">
            <v>63489551.220000029</v>
          </cell>
          <cell r="AC48" t="str">
            <v/>
          </cell>
          <cell r="AD48" t="str">
            <v/>
          </cell>
          <cell r="AE48" t="str">
            <v/>
          </cell>
          <cell r="AF48" t="str">
            <v/>
          </cell>
          <cell r="AG48" t="str">
            <v/>
          </cell>
          <cell r="AH48" t="str">
            <v/>
          </cell>
          <cell r="AI48"/>
          <cell r="AJ48">
            <v>0.17105548843986981</v>
          </cell>
          <cell r="AK48" t="str">
            <v/>
          </cell>
          <cell r="AL48" t="str">
            <v/>
          </cell>
          <cell r="AM48" t="str">
            <v/>
          </cell>
          <cell r="AN48" t="str">
            <v/>
          </cell>
          <cell r="AO48" t="str">
            <v/>
          </cell>
          <cell r="AP48" t="str">
            <v/>
          </cell>
          <cell r="AQ48">
            <v>0</v>
          </cell>
          <cell r="AR48"/>
        </row>
        <row r="49">
          <cell r="B49">
            <v>40087</v>
          </cell>
          <cell r="C49"/>
          <cell r="D49" t="str">
            <v>Global</v>
          </cell>
          <cell r="E49" t="str">
            <v/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  <cell r="L49" t="str">
            <v/>
          </cell>
          <cell r="M49" t="str">
            <v/>
          </cell>
          <cell r="N49" t="str">
            <v/>
          </cell>
          <cell r="O49"/>
          <cell r="P49"/>
          <cell r="R49">
            <v>40087</v>
          </cell>
          <cell r="S49" t="str">
            <v>Global</v>
          </cell>
          <cell r="T49">
            <v>0.21153588354366426</v>
          </cell>
          <cell r="U49" t="str">
            <v/>
          </cell>
          <cell r="V49" t="str">
            <v/>
          </cell>
          <cell r="W49" t="str">
            <v/>
          </cell>
          <cell r="X49" t="str">
            <v/>
          </cell>
          <cell r="Y49" t="str">
            <v/>
          </cell>
          <cell r="Z49" t="str">
            <v/>
          </cell>
          <cell r="AA49"/>
          <cell r="AB49">
            <v>80208756.940000057</v>
          </cell>
          <cell r="AC49" t="str">
            <v/>
          </cell>
          <cell r="AD49" t="str">
            <v/>
          </cell>
          <cell r="AE49" t="str">
            <v/>
          </cell>
          <cell r="AF49" t="str">
            <v/>
          </cell>
          <cell r="AG49" t="str">
            <v/>
          </cell>
          <cell r="AH49" t="str">
            <v/>
          </cell>
          <cell r="AI49"/>
          <cell r="AJ49">
            <v>0.21153588354366426</v>
          </cell>
          <cell r="AK49" t="str">
            <v/>
          </cell>
          <cell r="AL49" t="str">
            <v/>
          </cell>
          <cell r="AM49" t="str">
            <v/>
          </cell>
          <cell r="AN49" t="str">
            <v/>
          </cell>
          <cell r="AO49" t="str">
            <v/>
          </cell>
          <cell r="AP49" t="str">
            <v/>
          </cell>
          <cell r="AQ49">
            <v>0</v>
          </cell>
          <cell r="AR49"/>
        </row>
        <row r="50">
          <cell r="R50">
            <v>40118</v>
          </cell>
          <cell r="S50"/>
          <cell r="T50"/>
          <cell r="U50"/>
          <cell r="V50"/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 t="str">
            <v/>
          </cell>
          <cell r="AL50" t="str">
            <v/>
          </cell>
          <cell r="AM50"/>
          <cell r="AN50"/>
          <cell r="AO50"/>
          <cell r="AP50"/>
          <cell r="AQ50">
            <v>0</v>
          </cell>
          <cell r="AR50"/>
        </row>
        <row r="51">
          <cell r="R51">
            <v>40148</v>
          </cell>
          <cell r="S51"/>
          <cell r="T51"/>
          <cell r="U51"/>
          <cell r="V51"/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 t="str">
            <v/>
          </cell>
          <cell r="AL51" t="str">
            <v/>
          </cell>
          <cell r="AM51"/>
          <cell r="AN51"/>
          <cell r="AO51"/>
          <cell r="AP51"/>
          <cell r="AQ51">
            <v>0</v>
          </cell>
          <cell r="AR51"/>
        </row>
        <row r="52">
          <cell r="R52"/>
          <cell r="S52"/>
          <cell r="T52"/>
          <cell r="U52"/>
          <cell r="V52"/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 t="str">
            <v/>
          </cell>
          <cell r="AM52"/>
          <cell r="AN52"/>
          <cell r="AO52"/>
          <cell r="AP52"/>
          <cell r="AQ52"/>
          <cell r="AR52"/>
        </row>
      </sheetData>
      <sheetData sheetId="81"/>
      <sheetData sheetId="82">
        <row r="13">
          <cell r="B13"/>
          <cell r="C13"/>
          <cell r="D13"/>
          <cell r="E13" t="str">
            <v>Mensual</v>
          </cell>
          <cell r="F13"/>
          <cell r="G13"/>
          <cell r="H13"/>
          <cell r="I13"/>
          <cell r="J13"/>
          <cell r="K13"/>
          <cell r="L13"/>
          <cell r="M13"/>
          <cell r="N13"/>
          <cell r="O13"/>
          <cell r="P13"/>
          <cell r="Q13" t="str">
            <v>Acumulado</v>
          </cell>
          <cell r="R13"/>
          <cell r="S13"/>
          <cell r="T13"/>
          <cell r="U13"/>
          <cell r="V13"/>
          <cell r="W13"/>
          <cell r="X13"/>
          <cell r="Y13"/>
          <cell r="Z13"/>
          <cell r="AA13"/>
          <cell r="AB13"/>
          <cell r="AC13"/>
          <cell r="AD13"/>
          <cell r="AE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/>
          <cell r="AS13"/>
          <cell r="AT13"/>
          <cell r="AU13"/>
          <cell r="AV13"/>
          <cell r="AW13"/>
          <cell r="AX13"/>
        </row>
        <row r="14">
          <cell r="B14"/>
          <cell r="C14"/>
          <cell r="D14"/>
          <cell r="E14" t="str">
            <v>%</v>
          </cell>
          <cell r="F14" t="str">
            <v>Venta en exportaciones vs venta total  U$</v>
          </cell>
          <cell r="G14"/>
          <cell r="H14"/>
          <cell r="I14"/>
          <cell r="J14"/>
          <cell r="K14" t="str">
            <v>%</v>
          </cell>
          <cell r="L14" t="str">
            <v>Venta en exportaciones vs venta total  TM</v>
          </cell>
          <cell r="M14"/>
          <cell r="N14"/>
          <cell r="O14"/>
          <cell r="P14"/>
          <cell r="Q14" t="str">
            <v>%</v>
          </cell>
          <cell r="R14" t="str">
            <v>Acum.  Venta en exportaciones vs venta total  U$</v>
          </cell>
          <cell r="S14"/>
          <cell r="T14"/>
          <cell r="U14"/>
          <cell r="V14"/>
          <cell r="W14" t="str">
            <v>%</v>
          </cell>
          <cell r="X14" t="str">
            <v>Acum. Venta en exportaciones vs venta total  TM</v>
          </cell>
          <cell r="Y14"/>
          <cell r="Z14"/>
          <cell r="AA14"/>
          <cell r="AB14"/>
          <cell r="AC14"/>
          <cell r="AD14"/>
          <cell r="AE14"/>
          <cell r="AF14" t="str">
            <v>Venta en exportaciones vs venta total $</v>
          </cell>
          <cell r="AG14"/>
          <cell r="AH14"/>
          <cell r="AI14" t="str">
            <v>Var 1.</v>
          </cell>
          <cell r="AJ14"/>
          <cell r="AK14" t="str">
            <v>Var. 2</v>
          </cell>
          <cell r="AL14"/>
          <cell r="AM14"/>
          <cell r="AN14" t="str">
            <v>Venta en exportaciones vs venta total TM</v>
          </cell>
          <cell r="AO14"/>
          <cell r="AP14"/>
          <cell r="AQ14" t="str">
            <v>Var 1.</v>
          </cell>
          <cell r="AR14"/>
          <cell r="AS14" t="str">
            <v>Var. 2</v>
          </cell>
          <cell r="AT14"/>
          <cell r="AU14"/>
          <cell r="AV14" t="str">
            <v>Acum. Venta en exportaciones vs venta total  U$</v>
          </cell>
          <cell r="AW14"/>
          <cell r="AX14"/>
          <cell r="AY14" t="str">
            <v>Var 1.</v>
          </cell>
          <cell r="AZ14"/>
          <cell r="BA14" t="str">
            <v>Var. 2</v>
          </cell>
          <cell r="BB14"/>
          <cell r="BC14" t="str">
            <v>Acumula</v>
          </cell>
          <cell r="BD14"/>
          <cell r="BE14" t="str">
            <v>Acum. Venta en exportaciones vs venta total  TM</v>
          </cell>
          <cell r="BF14"/>
          <cell r="BG14"/>
          <cell r="BH14" t="str">
            <v>Var 1.</v>
          </cell>
          <cell r="BI14"/>
          <cell r="BJ14" t="str">
            <v>Var. 2</v>
          </cell>
          <cell r="BK14"/>
          <cell r="BL14" t="str">
            <v>Acumula</v>
          </cell>
          <cell r="BM14"/>
        </row>
        <row r="15">
          <cell r="B15"/>
          <cell r="C15" t="str">
            <v>Fecha</v>
          </cell>
          <cell r="D15" t="str">
            <v>TIPO</v>
          </cell>
          <cell r="E15"/>
          <cell r="F15" t="str">
            <v>Performance</v>
          </cell>
          <cell r="G15"/>
          <cell r="H15"/>
          <cell r="I15" t="str">
            <v>Sup</v>
          </cell>
          <cell r="J15" t="str">
            <v>Inf</v>
          </cell>
          <cell r="K15"/>
          <cell r="L15" t="str">
            <v>Performance</v>
          </cell>
          <cell r="M15"/>
          <cell r="N15"/>
          <cell r="O15" t="str">
            <v>Sup</v>
          </cell>
          <cell r="P15" t="str">
            <v>Inf</v>
          </cell>
          <cell r="Q15"/>
          <cell r="R15" t="str">
            <v>Performance</v>
          </cell>
          <cell r="S15"/>
          <cell r="T15"/>
          <cell r="U15" t="str">
            <v>Sup</v>
          </cell>
          <cell r="V15" t="str">
            <v>Inf</v>
          </cell>
          <cell r="W15"/>
          <cell r="X15" t="str">
            <v>Performance</v>
          </cell>
          <cell r="Y15"/>
          <cell r="Z15"/>
          <cell r="AA15" t="str">
            <v>Sup</v>
          </cell>
          <cell r="AB15" t="str">
            <v>Inf</v>
          </cell>
          <cell r="AC15"/>
          <cell r="AD15" t="str">
            <v>Fecha</v>
          </cell>
          <cell r="AE15" t="str">
            <v>TIPO</v>
          </cell>
          <cell r="AF15" t="str">
            <v>Anteriores</v>
          </cell>
          <cell r="AG15" t="str">
            <v>Real</v>
          </cell>
          <cell r="AH15" t="str">
            <v>Programado</v>
          </cell>
          <cell r="AI15" t="str">
            <v>Unidades</v>
          </cell>
          <cell r="AJ15" t="str">
            <v>%</v>
          </cell>
          <cell r="AK15" t="str">
            <v>Unidades</v>
          </cell>
          <cell r="AL15" t="str">
            <v>%</v>
          </cell>
          <cell r="AM15"/>
          <cell r="AN15" t="str">
            <v>Anteriores</v>
          </cell>
          <cell r="AO15" t="str">
            <v>Real</v>
          </cell>
          <cell r="AP15" t="str">
            <v>Programado</v>
          </cell>
          <cell r="AQ15" t="str">
            <v>Unidades</v>
          </cell>
          <cell r="AR15" t="str">
            <v>%</v>
          </cell>
          <cell r="AS15" t="str">
            <v>Unidades</v>
          </cell>
          <cell r="AT15" t="str">
            <v>%</v>
          </cell>
          <cell r="AU15"/>
          <cell r="AV15" t="str">
            <v>Anterior</v>
          </cell>
          <cell r="AW15" t="str">
            <v>Real</v>
          </cell>
          <cell r="AX15" t="str">
            <v>Programado</v>
          </cell>
          <cell r="AY15" t="str">
            <v>Unidades</v>
          </cell>
          <cell r="AZ15" t="str">
            <v>%</v>
          </cell>
          <cell r="BA15" t="str">
            <v>Unidades</v>
          </cell>
          <cell r="BB15" t="str">
            <v>%</v>
          </cell>
          <cell r="BC15" t="str">
            <v>PPTO</v>
          </cell>
          <cell r="BD15" t="str">
            <v>Avance</v>
          </cell>
          <cell r="BE15" t="str">
            <v>Anteriores</v>
          </cell>
          <cell r="BF15" t="str">
            <v>Real</v>
          </cell>
          <cell r="BG15" t="str">
            <v>Programado</v>
          </cell>
          <cell r="BH15" t="str">
            <v>Unidades</v>
          </cell>
          <cell r="BI15" t="str">
            <v>%</v>
          </cell>
          <cell r="BJ15" t="str">
            <v>Unidades</v>
          </cell>
          <cell r="BK15" t="str">
            <v>%</v>
          </cell>
          <cell r="BL15" t="str">
            <v>PPTO</v>
          </cell>
          <cell r="BM15" t="str">
            <v>Avance</v>
          </cell>
        </row>
        <row r="16">
          <cell r="B16">
            <v>39083</v>
          </cell>
          <cell r="C16">
            <v>39083</v>
          </cell>
          <cell r="D16" t="str">
            <v>Global</v>
          </cell>
          <cell r="E16">
            <v>3.8353366366792076E-3</v>
          </cell>
          <cell r="F16" t="str">
            <v>c</v>
          </cell>
          <cell r="G16" t="str">
            <v>c</v>
          </cell>
          <cell r="H16" t="str">
            <v>g</v>
          </cell>
          <cell r="I16">
            <v>0.08</v>
          </cell>
          <cell r="J16">
            <v>0.05</v>
          </cell>
          <cell r="K16">
            <v>3.190965228690096E-3</v>
          </cell>
          <cell r="L16" t="str">
            <v>c</v>
          </cell>
          <cell r="M16" t="str">
            <v>c</v>
          </cell>
          <cell r="N16" t="str">
            <v>g</v>
          </cell>
          <cell r="O16">
            <v>0.08</v>
          </cell>
          <cell r="P16">
            <v>0.05</v>
          </cell>
          <cell r="Q16">
            <v>3.8353366366792076E-3</v>
          </cell>
          <cell r="R16" t="str">
            <v>c</v>
          </cell>
          <cell r="S16" t="str">
            <v>c</v>
          </cell>
          <cell r="T16" t="str">
            <v>g</v>
          </cell>
          <cell r="U16">
            <v>0.08</v>
          </cell>
          <cell r="V16">
            <v>0.05</v>
          </cell>
          <cell r="W16">
            <v>3.190965228690096E-3</v>
          </cell>
          <cell r="X16" t="str">
            <v>c</v>
          </cell>
          <cell r="Y16" t="str">
            <v>c</v>
          </cell>
          <cell r="Z16" t="str">
            <v>g</v>
          </cell>
          <cell r="AA16">
            <v>0.08</v>
          </cell>
          <cell r="AB16">
            <v>0.05</v>
          </cell>
          <cell r="AC16"/>
          <cell r="AD16">
            <v>39083</v>
          </cell>
          <cell r="AE16" t="str">
            <v>Global</v>
          </cell>
          <cell r="AF16"/>
          <cell r="AG16">
            <v>16250.07</v>
          </cell>
          <cell r="AH16">
            <v>111.74437300000001</v>
          </cell>
          <cell r="AI16">
            <v>16250.07</v>
          </cell>
          <cell r="AJ16"/>
          <cell r="AK16">
            <v>16138.325627</v>
          </cell>
          <cell r="AL16">
            <v>144.42181913714793</v>
          </cell>
          <cell r="AM16"/>
          <cell r="AN16"/>
          <cell r="AO16">
            <v>12.5</v>
          </cell>
          <cell r="AP16">
            <v>52</v>
          </cell>
          <cell r="AQ16">
            <v>12.5</v>
          </cell>
          <cell r="AR16"/>
          <cell r="AS16">
            <v>-39.5</v>
          </cell>
          <cell r="AT16">
            <v>-0.75961538461538458</v>
          </cell>
          <cell r="AU16"/>
          <cell r="AV16"/>
          <cell r="AW16">
            <v>16250.07</v>
          </cell>
          <cell r="AX16">
            <v>111.74437300000001</v>
          </cell>
          <cell r="AY16">
            <v>16250.07</v>
          </cell>
          <cell r="AZ16"/>
          <cell r="BA16">
            <v>16138.325627</v>
          </cell>
          <cell r="BB16">
            <v>144.42181913714793</v>
          </cell>
          <cell r="BC16">
            <v>3457.2089369500004</v>
          </cell>
          <cell r="BD16">
            <v>4.7003436287353946</v>
          </cell>
          <cell r="BE16"/>
          <cell r="BF16">
            <v>12.5</v>
          </cell>
          <cell r="BG16">
            <v>52</v>
          </cell>
          <cell r="BH16">
            <v>12.5</v>
          </cell>
          <cell r="BI16"/>
          <cell r="BJ16">
            <v>-39.5</v>
          </cell>
          <cell r="BK16">
            <v>-0.75961538461538458</v>
          </cell>
          <cell r="BL16">
            <v>1600.3000000000002</v>
          </cell>
          <cell r="BM16">
            <v>7.8110354308567132E-3</v>
          </cell>
        </row>
        <row r="17">
          <cell r="B17">
            <v>39114</v>
          </cell>
          <cell r="C17">
            <v>39114</v>
          </cell>
          <cell r="D17" t="str">
            <v>Global</v>
          </cell>
          <cell r="E17">
            <v>0</v>
          </cell>
          <cell r="F17" t="str">
            <v>c</v>
          </cell>
          <cell r="G17" t="str">
            <v>c</v>
          </cell>
          <cell r="H17" t="str">
            <v>g</v>
          </cell>
          <cell r="I17">
            <v>0.08</v>
          </cell>
          <cell r="J17">
            <v>0.05</v>
          </cell>
          <cell r="K17">
            <v>0</v>
          </cell>
          <cell r="L17" t="str">
            <v>c</v>
          </cell>
          <cell r="M17" t="str">
            <v>c</v>
          </cell>
          <cell r="N17" t="str">
            <v>g</v>
          </cell>
          <cell r="O17">
            <v>0.08</v>
          </cell>
          <cell r="P17">
            <v>0.05</v>
          </cell>
          <cell r="Q17">
            <v>1.9927750895269054E-3</v>
          </cell>
          <cell r="R17" t="str">
            <v>c</v>
          </cell>
          <cell r="S17" t="str">
            <v>c</v>
          </cell>
          <cell r="T17" t="str">
            <v>g</v>
          </cell>
          <cell r="U17">
            <v>0.08</v>
          </cell>
          <cell r="V17">
            <v>0.05</v>
          </cell>
          <cell r="W17">
            <v>1.6735404551628389E-3</v>
          </cell>
          <cell r="X17" t="str">
            <v>c</v>
          </cell>
          <cell r="Y17" t="str">
            <v>c</v>
          </cell>
          <cell r="Z17" t="str">
            <v>g</v>
          </cell>
          <cell r="AA17">
            <v>0.08</v>
          </cell>
          <cell r="AB17">
            <v>0.05</v>
          </cell>
          <cell r="AC17"/>
          <cell r="AD17">
            <v>39114</v>
          </cell>
          <cell r="AE17" t="str">
            <v>Global</v>
          </cell>
          <cell r="AF17"/>
          <cell r="AG17">
            <v>0</v>
          </cell>
          <cell r="AH17">
            <v>176.21228050000002</v>
          </cell>
          <cell r="AI17">
            <v>0</v>
          </cell>
          <cell r="AJ17"/>
          <cell r="AK17">
            <v>-176.21228050000002</v>
          </cell>
          <cell r="AL17">
            <v>-1</v>
          </cell>
          <cell r="AM17"/>
          <cell r="AN17"/>
          <cell r="AO17">
            <v>0</v>
          </cell>
          <cell r="AP17">
            <v>82</v>
          </cell>
          <cell r="AQ17">
            <v>0</v>
          </cell>
          <cell r="AR17"/>
          <cell r="AS17">
            <v>-82</v>
          </cell>
          <cell r="AT17">
            <v>-1</v>
          </cell>
          <cell r="AU17"/>
          <cell r="AV17"/>
          <cell r="AW17">
            <v>16250.07</v>
          </cell>
          <cell r="AX17">
            <v>287.95665350000002</v>
          </cell>
          <cell r="AY17">
            <v>16250.07</v>
          </cell>
          <cell r="AZ17"/>
          <cell r="BA17">
            <v>15962.1133465</v>
          </cell>
          <cell r="BB17">
            <v>55.432347724863384</v>
          </cell>
          <cell r="BC17">
            <v>3457.2089369500004</v>
          </cell>
          <cell r="BD17">
            <v>4.7003436287353946</v>
          </cell>
          <cell r="BE17"/>
          <cell r="BF17">
            <v>12.5</v>
          </cell>
          <cell r="BG17">
            <v>134</v>
          </cell>
          <cell r="BH17">
            <v>12.5</v>
          </cell>
          <cell r="BI17"/>
          <cell r="BJ17">
            <v>-121.5</v>
          </cell>
          <cell r="BK17">
            <v>-0.90671641791044777</v>
          </cell>
          <cell r="BL17">
            <v>1600.3000000000002</v>
          </cell>
          <cell r="BM17">
            <v>7.8110354308567132E-3</v>
          </cell>
        </row>
        <row r="18">
          <cell r="B18">
            <v>39142</v>
          </cell>
          <cell r="C18">
            <v>39142</v>
          </cell>
          <cell r="D18" t="str">
            <v>Global</v>
          </cell>
          <cell r="E18">
            <v>3.1922445134448536E-2</v>
          </cell>
          <cell r="F18" t="str">
            <v>c</v>
          </cell>
          <cell r="G18" t="str">
            <v>c</v>
          </cell>
          <cell r="H18" t="str">
            <v>g</v>
          </cell>
          <cell r="I18">
            <v>7.9999999999999988E-2</v>
          </cell>
          <cell r="J18">
            <v>5.0000000000000017E-2</v>
          </cell>
          <cell r="K18">
            <v>1.9776145025063516E-2</v>
          </cell>
          <cell r="L18" t="str">
            <v>c</v>
          </cell>
          <cell r="M18" t="str">
            <v>c</v>
          </cell>
          <cell r="N18" t="str">
            <v>g</v>
          </cell>
          <cell r="O18">
            <v>7.9999999999999988E-2</v>
          </cell>
          <cell r="P18">
            <v>5.0000000000000017E-2</v>
          </cell>
          <cell r="Q18">
            <v>1.3387028598184476E-2</v>
          </cell>
          <cell r="R18" t="str">
            <v>c</v>
          </cell>
          <cell r="S18" t="str">
            <v>c</v>
          </cell>
          <cell r="T18" t="str">
            <v>g</v>
          </cell>
          <cell r="U18">
            <v>7.9999999999999988E-2</v>
          </cell>
          <cell r="V18">
            <v>5.0000000000000017E-2</v>
          </cell>
          <cell r="W18">
            <v>7.6057982285240838E-3</v>
          </cell>
          <cell r="X18" t="str">
            <v>c</v>
          </cell>
          <cell r="Y18" t="str">
            <v>c</v>
          </cell>
          <cell r="Z18" t="str">
            <v>g</v>
          </cell>
          <cell r="AA18">
            <v>7.9999999999999988E-2</v>
          </cell>
          <cell r="AB18">
            <v>5.0000000000000017E-2</v>
          </cell>
          <cell r="AC18"/>
          <cell r="AD18">
            <v>39142</v>
          </cell>
          <cell r="AE18" t="str">
            <v>Global</v>
          </cell>
          <cell r="AF18"/>
          <cell r="AG18">
            <v>160020.87</v>
          </cell>
          <cell r="AH18">
            <v>625.50164165000012</v>
          </cell>
          <cell r="AI18">
            <v>160020.87</v>
          </cell>
          <cell r="AJ18"/>
          <cell r="AK18">
            <v>159395.36835835001</v>
          </cell>
          <cell r="AL18">
            <v>254.82805758572218</v>
          </cell>
          <cell r="AM18"/>
          <cell r="AN18"/>
          <cell r="AO18">
            <v>72</v>
          </cell>
          <cell r="AP18">
            <v>289.10000000000002</v>
          </cell>
          <cell r="AQ18">
            <v>72</v>
          </cell>
          <cell r="AR18"/>
          <cell r="AS18">
            <v>-217.10000000000002</v>
          </cell>
          <cell r="AT18">
            <v>-0.75095122794880664</v>
          </cell>
          <cell r="AU18"/>
          <cell r="AV18"/>
          <cell r="AW18">
            <v>176270.94</v>
          </cell>
          <cell r="AX18">
            <v>913.45829515000014</v>
          </cell>
          <cell r="AY18">
            <v>176270.94</v>
          </cell>
          <cell r="AZ18"/>
          <cell r="BA18">
            <v>175357.48170485001</v>
          </cell>
          <cell r="BB18">
            <v>191.97097736799722</v>
          </cell>
          <cell r="BC18">
            <v>3457.2089369500004</v>
          </cell>
          <cell r="BD18">
            <v>50.986487428066404</v>
          </cell>
          <cell r="BE18"/>
          <cell r="BF18">
            <v>84.5</v>
          </cell>
          <cell r="BG18">
            <v>423.1</v>
          </cell>
          <cell r="BH18">
            <v>84.5</v>
          </cell>
          <cell r="BI18"/>
          <cell r="BJ18">
            <v>-338.6</v>
          </cell>
          <cell r="BK18">
            <v>-0.80028362089340588</v>
          </cell>
          <cell r="BL18">
            <v>1600.3000000000002</v>
          </cell>
          <cell r="BM18">
            <v>5.2802599512591385E-2</v>
          </cell>
        </row>
        <row r="19">
          <cell r="B19">
            <v>39173</v>
          </cell>
          <cell r="C19">
            <v>39173</v>
          </cell>
          <cell r="D19" t="str">
            <v>Global</v>
          </cell>
          <cell r="E19">
            <v>1.1105049554743179E-2</v>
          </cell>
          <cell r="F19" t="str">
            <v>c</v>
          </cell>
          <cell r="G19" t="str">
            <v>c</v>
          </cell>
          <cell r="H19" t="str">
            <v>g</v>
          </cell>
          <cell r="I19">
            <v>8.0000000000000016E-2</v>
          </cell>
          <cell r="J19">
            <v>4.9999999999999989E-2</v>
          </cell>
          <cell r="K19">
            <v>8.5268765460240273E-3</v>
          </cell>
          <cell r="L19" t="str">
            <v>c</v>
          </cell>
          <cell r="M19" t="str">
            <v>c</v>
          </cell>
          <cell r="N19" t="str">
            <v>g</v>
          </cell>
          <cell r="O19">
            <v>8.0000000000000016E-2</v>
          </cell>
          <cell r="P19">
            <v>4.9999999999999989E-2</v>
          </cell>
          <cell r="Q19">
            <v>1.2824861801751422E-2</v>
          </cell>
          <cell r="R19" t="str">
            <v>c</v>
          </cell>
          <cell r="S19" t="str">
            <v>c</v>
          </cell>
          <cell r="T19" t="str">
            <v>g</v>
          </cell>
          <cell r="U19">
            <v>8.0000000000000016E-2</v>
          </cell>
          <cell r="V19">
            <v>4.9999999999999989E-2</v>
          </cell>
          <cell r="W19">
            <v>7.8290084540333892E-3</v>
          </cell>
          <cell r="X19" t="str">
            <v>c</v>
          </cell>
          <cell r="Y19" t="str">
            <v>c</v>
          </cell>
          <cell r="Z19" t="str">
            <v>g</v>
          </cell>
          <cell r="AA19">
            <v>8.0000000000000016E-2</v>
          </cell>
          <cell r="AB19">
            <v>4.9999999999999989E-2</v>
          </cell>
          <cell r="AC19"/>
          <cell r="AD19">
            <v>39173</v>
          </cell>
          <cell r="AE19" t="str">
            <v>Global</v>
          </cell>
          <cell r="AF19"/>
          <cell r="AG19">
            <v>47797.06</v>
          </cell>
          <cell r="AH19">
            <v>111.744373</v>
          </cell>
          <cell r="AI19">
            <v>47797.06</v>
          </cell>
          <cell r="AJ19"/>
          <cell r="AK19">
            <v>47685.315626999996</v>
          </cell>
          <cell r="AL19">
            <v>426.73572142196366</v>
          </cell>
          <cell r="AM19"/>
          <cell r="AN19"/>
          <cell r="AO19">
            <v>30.299999999999997</v>
          </cell>
          <cell r="AP19">
            <v>52</v>
          </cell>
          <cell r="AQ19">
            <v>30.299999999999997</v>
          </cell>
          <cell r="AR19"/>
          <cell r="AS19">
            <v>-21.700000000000003</v>
          </cell>
          <cell r="AT19">
            <v>-0.41730769230769238</v>
          </cell>
          <cell r="AU19"/>
          <cell r="AV19"/>
          <cell r="AW19">
            <v>224068</v>
          </cell>
          <cell r="AX19">
            <v>1025.2026681500001</v>
          </cell>
          <cell r="AY19">
            <v>224068</v>
          </cell>
          <cell r="AZ19"/>
          <cell r="BA19">
            <v>223042.79733184999</v>
          </cell>
          <cell r="BB19">
            <v>217.5597121048616</v>
          </cell>
          <cell r="BC19">
            <v>3457.2089369500004</v>
          </cell>
          <cell r="BD19">
            <v>64.811819038532292</v>
          </cell>
          <cell r="BE19"/>
          <cell r="BF19">
            <v>114.8</v>
          </cell>
          <cell r="BG19">
            <v>475.1</v>
          </cell>
          <cell r="BH19">
            <v>114.8</v>
          </cell>
          <cell r="BI19"/>
          <cell r="BJ19">
            <v>-360.3</v>
          </cell>
          <cell r="BK19">
            <v>-0.75836665965059991</v>
          </cell>
          <cell r="BL19">
            <v>1600.3000000000002</v>
          </cell>
          <cell r="BM19">
            <v>7.173654939698805E-2</v>
          </cell>
        </row>
        <row r="20">
          <cell r="B20">
            <v>39203</v>
          </cell>
          <cell r="C20">
            <v>39203</v>
          </cell>
          <cell r="D20" t="str">
            <v>Global</v>
          </cell>
          <cell r="E20">
            <v>0</v>
          </cell>
          <cell r="F20" t="str">
            <v>c</v>
          </cell>
          <cell r="G20" t="str">
            <v>c</v>
          </cell>
          <cell r="H20" t="str">
            <v>g</v>
          </cell>
          <cell r="I20">
            <v>8.0000000000000016E-2</v>
          </cell>
          <cell r="J20">
            <v>4.9999999999999989E-2</v>
          </cell>
          <cell r="K20">
            <v>0</v>
          </cell>
          <cell r="L20" t="str">
            <v>c</v>
          </cell>
          <cell r="M20" t="str">
            <v>c</v>
          </cell>
          <cell r="N20" t="str">
            <v>g</v>
          </cell>
          <cell r="O20">
            <v>8.0000000000000016E-2</v>
          </cell>
          <cell r="P20">
            <v>4.9999999999999989E-2</v>
          </cell>
          <cell r="Q20">
            <v>1.0187826087797868E-2</v>
          </cell>
          <cell r="R20" t="str">
            <v>c</v>
          </cell>
          <cell r="S20" t="str">
            <v>c</v>
          </cell>
          <cell r="T20" t="str">
            <v>g</v>
          </cell>
          <cell r="U20">
            <v>8.0000000000000016E-2</v>
          </cell>
          <cell r="V20">
            <v>4.9999999999999989E-2</v>
          </cell>
          <cell r="W20">
            <v>6.3315678848316487E-3</v>
          </cell>
          <cell r="X20" t="str">
            <v>c</v>
          </cell>
          <cell r="Y20" t="str">
            <v>c</v>
          </cell>
          <cell r="Z20" t="str">
            <v>g</v>
          </cell>
          <cell r="AA20">
            <v>8.0000000000000016E-2</v>
          </cell>
          <cell r="AB20">
            <v>4.9999999999999989E-2</v>
          </cell>
          <cell r="AC20"/>
          <cell r="AD20">
            <v>39203</v>
          </cell>
          <cell r="AE20" t="str">
            <v>Global</v>
          </cell>
          <cell r="AF20"/>
          <cell r="AG20">
            <v>0</v>
          </cell>
          <cell r="AH20">
            <v>324.03414175000012</v>
          </cell>
          <cell r="AI20">
            <v>0</v>
          </cell>
          <cell r="AJ20"/>
          <cell r="AK20">
            <v>-324.03414175000012</v>
          </cell>
          <cell r="AL20">
            <v>-1</v>
          </cell>
          <cell r="AM20"/>
          <cell r="AN20"/>
          <cell r="AO20">
            <v>0</v>
          </cell>
          <cell r="AP20">
            <v>149.5</v>
          </cell>
          <cell r="AQ20">
            <v>0</v>
          </cell>
          <cell r="AR20"/>
          <cell r="AS20">
            <v>-149.5</v>
          </cell>
          <cell r="AT20">
            <v>-1</v>
          </cell>
          <cell r="AU20"/>
          <cell r="AV20"/>
          <cell r="AW20">
            <v>224068</v>
          </cell>
          <cell r="AX20">
            <v>1349.2368099000003</v>
          </cell>
          <cell r="AY20">
            <v>224068</v>
          </cell>
          <cell r="AZ20"/>
          <cell r="BA20">
            <v>222718.7631901</v>
          </cell>
          <cell r="BB20">
            <v>165.0701800869241</v>
          </cell>
          <cell r="BC20">
            <v>3457.2089369500004</v>
          </cell>
          <cell r="BD20">
            <v>64.811819038532292</v>
          </cell>
          <cell r="BE20"/>
          <cell r="BF20">
            <v>114.8</v>
          </cell>
          <cell r="BG20">
            <v>624.6</v>
          </cell>
          <cell r="BH20">
            <v>114.8</v>
          </cell>
          <cell r="BI20"/>
          <cell r="BJ20">
            <v>-509.8</v>
          </cell>
          <cell r="BK20">
            <v>-0.81620236951649061</v>
          </cell>
          <cell r="BL20">
            <v>1600.3000000000002</v>
          </cell>
          <cell r="BM20">
            <v>7.173654939698805E-2</v>
          </cell>
        </row>
        <row r="21">
          <cell r="B21">
            <v>39234</v>
          </cell>
          <cell r="C21">
            <v>39234</v>
          </cell>
          <cell r="D21" t="str">
            <v>Global</v>
          </cell>
          <cell r="E21">
            <v>0.1493291922052718</v>
          </cell>
          <cell r="F21" t="str">
            <v>g</v>
          </cell>
          <cell r="G21" t="str">
            <v>c</v>
          </cell>
          <cell r="H21" t="str">
            <v>c</v>
          </cell>
          <cell r="I21">
            <v>8.0000000000000016E-2</v>
          </cell>
          <cell r="J21">
            <v>4.9999999999999989E-2</v>
          </cell>
          <cell r="K21">
            <v>0.10174037542546079</v>
          </cell>
          <cell r="L21" t="str">
            <v>g</v>
          </cell>
          <cell r="M21" t="str">
            <v>c</v>
          </cell>
          <cell r="N21" t="str">
            <v>c</v>
          </cell>
          <cell r="O21">
            <v>8.0000000000000016E-2</v>
          </cell>
          <cell r="P21">
            <v>4.9999999999999989E-2</v>
          </cell>
          <cell r="Q21">
            <v>3.7684639314281287E-2</v>
          </cell>
          <cell r="R21" t="str">
            <v>c</v>
          </cell>
          <cell r="S21" t="str">
            <v>c</v>
          </cell>
          <cell r="T21" t="str">
            <v>g</v>
          </cell>
          <cell r="U21">
            <v>8.0000000000000016E-2</v>
          </cell>
          <cell r="V21">
            <v>4.9999999999999989E-2</v>
          </cell>
          <cell r="W21">
            <v>2.3472014945209872E-2</v>
          </cell>
          <cell r="X21" t="str">
            <v>c</v>
          </cell>
          <cell r="Y21" t="str">
            <v>c</v>
          </cell>
          <cell r="Z21" t="str">
            <v>g</v>
          </cell>
          <cell r="AA21">
            <v>8.0000000000000016E-2</v>
          </cell>
          <cell r="AB21">
            <v>4.9999999999999989E-2</v>
          </cell>
          <cell r="AC21"/>
          <cell r="AD21">
            <v>39234</v>
          </cell>
          <cell r="AE21" t="str">
            <v>Global</v>
          </cell>
          <cell r="AF21"/>
          <cell r="AG21">
            <v>808887</v>
          </cell>
          <cell r="AH21">
            <v>477.67978040000003</v>
          </cell>
          <cell r="AI21">
            <v>808887</v>
          </cell>
          <cell r="AJ21"/>
          <cell r="AK21">
            <v>808409.32021959999</v>
          </cell>
          <cell r="AL21">
            <v>1692.366630094021</v>
          </cell>
          <cell r="AM21"/>
          <cell r="AN21"/>
          <cell r="AO21">
            <v>403.97999999999996</v>
          </cell>
          <cell r="AP21">
            <v>221.60000000000002</v>
          </cell>
          <cell r="AQ21">
            <v>403.97999999999996</v>
          </cell>
          <cell r="AR21"/>
          <cell r="AS21">
            <v>182.37999999999994</v>
          </cell>
          <cell r="AT21">
            <v>0.8230144404332127</v>
          </cell>
          <cell r="AU21"/>
          <cell r="AV21"/>
          <cell r="AW21">
            <v>1032955</v>
          </cell>
          <cell r="AX21">
            <v>1826.9165903000003</v>
          </cell>
          <cell r="AY21">
            <v>1032955</v>
          </cell>
          <cell r="AZ21"/>
          <cell r="BA21">
            <v>1031128.0834097</v>
          </cell>
          <cell r="BB21">
            <v>564.4089548939819</v>
          </cell>
          <cell r="BC21">
            <v>3457.2089369500004</v>
          </cell>
          <cell r="BD21">
            <v>298.78292542865165</v>
          </cell>
          <cell r="BE21"/>
          <cell r="BF21">
            <v>518.78</v>
          </cell>
          <cell r="BG21">
            <v>846.2</v>
          </cell>
          <cell r="BH21">
            <v>518.78</v>
          </cell>
          <cell r="BI21"/>
          <cell r="BJ21">
            <v>-327.42000000000007</v>
          </cell>
          <cell r="BK21">
            <v>-0.38692980382888209</v>
          </cell>
          <cell r="BL21">
            <v>1600.3000000000002</v>
          </cell>
          <cell r="BM21">
            <v>0.32417671686558763</v>
          </cell>
        </row>
        <row r="22">
          <cell r="B22">
            <v>39264</v>
          </cell>
          <cell r="C22">
            <v>39264</v>
          </cell>
          <cell r="D22" t="str">
            <v>Global</v>
          </cell>
          <cell r="E22">
            <v>0</v>
          </cell>
          <cell r="F22" t="str">
            <v>c</v>
          </cell>
          <cell r="G22" t="str">
            <v>c</v>
          </cell>
          <cell r="H22" t="str">
            <v>g</v>
          </cell>
          <cell r="I22">
            <v>8.0000000000000016E-2</v>
          </cell>
          <cell r="J22">
            <v>4.9999999999999989E-2</v>
          </cell>
          <cell r="K22">
            <v>9.7806493764347014E-5</v>
          </cell>
          <cell r="L22" t="str">
            <v>c</v>
          </cell>
          <cell r="M22" t="str">
            <v>c</v>
          </cell>
          <cell r="N22" t="str">
            <v>g</v>
          </cell>
          <cell r="O22">
            <v>8.0000000000000016E-2</v>
          </cell>
          <cell r="P22">
            <v>4.9999999999999989E-2</v>
          </cell>
          <cell r="Q22">
            <v>3.1375847403712021E-2</v>
          </cell>
          <cell r="R22" t="str">
            <v>c</v>
          </cell>
          <cell r="S22" t="str">
            <v>c</v>
          </cell>
          <cell r="T22" t="str">
            <v>g</v>
          </cell>
          <cell r="U22">
            <v>8.0000000000000016E-2</v>
          </cell>
          <cell r="V22">
            <v>4.9999999999999989E-2</v>
          </cell>
          <cell r="W22">
            <v>1.908121495395786E-2</v>
          </cell>
          <cell r="X22" t="str">
            <v>c</v>
          </cell>
          <cell r="Y22" t="str">
            <v>c</v>
          </cell>
          <cell r="Z22" t="str">
            <v>g</v>
          </cell>
          <cell r="AA22">
            <v>8.0000000000000016E-2</v>
          </cell>
          <cell r="AB22">
            <v>4.9999999999999989E-2</v>
          </cell>
          <cell r="AC22"/>
          <cell r="AD22">
            <v>39264</v>
          </cell>
          <cell r="AE22" t="str">
            <v>Global</v>
          </cell>
          <cell r="AF22"/>
          <cell r="AG22">
            <v>0</v>
          </cell>
          <cell r="AH22">
            <v>259.56623424999998</v>
          </cell>
          <cell r="AI22">
            <v>0</v>
          </cell>
          <cell r="AJ22"/>
          <cell r="AK22">
            <v>-259.56623424999998</v>
          </cell>
          <cell r="AL22">
            <v>-1</v>
          </cell>
          <cell r="AM22"/>
          <cell r="AN22"/>
          <cell r="AO22">
            <v>0.5</v>
          </cell>
          <cell r="AP22">
            <v>119.5</v>
          </cell>
          <cell r="AQ22">
            <v>0.5</v>
          </cell>
          <cell r="AR22"/>
          <cell r="AS22">
            <v>-119</v>
          </cell>
          <cell r="AT22">
            <v>-0.99581589958159</v>
          </cell>
          <cell r="AU22"/>
          <cell r="AV22"/>
          <cell r="AW22">
            <v>1032955</v>
          </cell>
          <cell r="AX22">
            <v>2086.4828245500003</v>
          </cell>
          <cell r="AY22">
            <v>1032955</v>
          </cell>
          <cell r="AZ22"/>
          <cell r="BA22">
            <v>1030868.51717545</v>
          </cell>
          <cell r="BB22">
            <v>494.0699751016553</v>
          </cell>
          <cell r="BC22">
            <v>3457.2089369500004</v>
          </cell>
          <cell r="BD22">
            <v>298.78292542865165</v>
          </cell>
          <cell r="BE22"/>
          <cell r="BF22">
            <v>519.28</v>
          </cell>
          <cell r="BG22">
            <v>965.7</v>
          </cell>
          <cell r="BH22">
            <v>519.28</v>
          </cell>
          <cell r="BI22"/>
          <cell r="BJ22">
            <v>-446.42000000000007</v>
          </cell>
          <cell r="BK22">
            <v>-0.46227606917262098</v>
          </cell>
          <cell r="BL22">
            <v>1600.3000000000002</v>
          </cell>
          <cell r="BM22">
            <v>0.32448915828282193</v>
          </cell>
        </row>
        <row r="23">
          <cell r="B23">
            <v>39295</v>
          </cell>
          <cell r="C23">
            <v>39295</v>
          </cell>
          <cell r="D23" t="str">
            <v>Global</v>
          </cell>
          <cell r="E23">
            <v>1.5490046723212062E-2</v>
          </cell>
          <cell r="F23" t="str">
            <v>c</v>
          </cell>
          <cell r="G23" t="str">
            <v>c</v>
          </cell>
          <cell r="H23" t="str">
            <v>g</v>
          </cell>
          <cell r="I23">
            <v>7.999999999999996E-2</v>
          </cell>
          <cell r="J23">
            <v>4.9999999999999989E-2</v>
          </cell>
          <cell r="K23">
            <v>1.07964804976568E-2</v>
          </cell>
          <cell r="L23" t="str">
            <v>c</v>
          </cell>
          <cell r="M23" t="str">
            <v>c</v>
          </cell>
          <cell r="N23" t="str">
            <v>g</v>
          </cell>
          <cell r="O23">
            <v>7.999999999999996E-2</v>
          </cell>
          <cell r="P23">
            <v>4.9999999999999989E-2</v>
          </cell>
          <cell r="Q23">
            <v>2.8954059224359837E-2</v>
          </cell>
          <cell r="R23" t="str">
            <v>c</v>
          </cell>
          <cell r="S23" t="str">
            <v>c</v>
          </cell>
          <cell r="T23" t="str">
            <v>g</v>
          </cell>
          <cell r="U23">
            <v>7.999999999999996E-2</v>
          </cell>
          <cell r="V23">
            <v>4.9999999999999989E-2</v>
          </cell>
          <cell r="W23">
            <v>1.7841157456807057E-2</v>
          </cell>
          <cell r="X23" t="str">
            <v>c</v>
          </cell>
          <cell r="Y23" t="str">
            <v>c</v>
          </cell>
          <cell r="Z23" t="str">
            <v>g</v>
          </cell>
          <cell r="AA23">
            <v>7.999999999999996E-2</v>
          </cell>
          <cell r="AB23">
            <v>4.9999999999999989E-2</v>
          </cell>
          <cell r="AC23"/>
          <cell r="AD23">
            <v>39295</v>
          </cell>
          <cell r="AE23" t="str">
            <v>Global</v>
          </cell>
          <cell r="AF23"/>
          <cell r="AG23">
            <v>91727.659999999916</v>
          </cell>
          <cell r="AH23">
            <v>176.21228049999991</v>
          </cell>
          <cell r="AI23">
            <v>91727.659999999916</v>
          </cell>
          <cell r="AJ23"/>
          <cell r="AK23">
            <v>91551.44771949992</v>
          </cell>
          <cell r="AL23">
            <v>519.55202815447342</v>
          </cell>
          <cell r="AM23"/>
          <cell r="AN23"/>
          <cell r="AO23">
            <v>51.720000000000027</v>
          </cell>
          <cell r="AP23">
            <v>82</v>
          </cell>
          <cell r="AQ23">
            <v>51.720000000000027</v>
          </cell>
          <cell r="AR23"/>
          <cell r="AS23">
            <v>-30.279999999999973</v>
          </cell>
          <cell r="AT23">
            <v>-0.36926829268292649</v>
          </cell>
          <cell r="AU23"/>
          <cell r="AV23"/>
          <cell r="AW23">
            <v>1124682.6599999999</v>
          </cell>
          <cell r="AX23">
            <v>2262.6951050500002</v>
          </cell>
          <cell r="AY23">
            <v>1124682.6599999999</v>
          </cell>
          <cell r="AZ23"/>
          <cell r="BA23">
            <v>1122419.9648949499</v>
          </cell>
          <cell r="BB23">
            <v>496.05444515696121</v>
          </cell>
          <cell r="BC23">
            <v>3457.2089369500004</v>
          </cell>
          <cell r="BD23">
            <v>325.31521250555693</v>
          </cell>
          <cell r="BE23"/>
          <cell r="BF23">
            <v>571</v>
          </cell>
          <cell r="BG23">
            <v>1047.7</v>
          </cell>
          <cell r="BH23">
            <v>571</v>
          </cell>
          <cell r="BI23"/>
          <cell r="BJ23">
            <v>-476.70000000000005</v>
          </cell>
          <cell r="BK23">
            <v>-0.45499665934905031</v>
          </cell>
          <cell r="BL23">
            <v>1600.3000000000002</v>
          </cell>
          <cell r="BM23">
            <v>0.35680809848153466</v>
          </cell>
        </row>
        <row r="24">
          <cell r="B24">
            <v>39326</v>
          </cell>
          <cell r="C24">
            <v>39326</v>
          </cell>
          <cell r="D24" t="str">
            <v>Global</v>
          </cell>
          <cell r="E24">
            <v>1.6382910962903566E-2</v>
          </cell>
          <cell r="F24" t="str">
            <v>c</v>
          </cell>
          <cell r="G24" t="str">
            <v>c</v>
          </cell>
          <cell r="H24" t="str">
            <v>g</v>
          </cell>
          <cell r="I24">
            <v>7.999999999999996E-2</v>
          </cell>
          <cell r="J24">
            <v>4.9999999999999989E-2</v>
          </cell>
          <cell r="K24">
            <v>1.06838814130255E-2</v>
          </cell>
          <cell r="L24" t="str">
            <v>c</v>
          </cell>
          <cell r="M24" t="str">
            <v>c</v>
          </cell>
          <cell r="N24" t="str">
            <v>g</v>
          </cell>
          <cell r="O24">
            <v>7.999999999999996E-2</v>
          </cell>
          <cell r="P24">
            <v>4.9999999999999989E-2</v>
          </cell>
          <cell r="Q24">
            <v>2.7295381030644446E-2</v>
          </cell>
          <cell r="R24" t="str">
            <v>c</v>
          </cell>
          <cell r="S24" t="str">
            <v>c</v>
          </cell>
          <cell r="T24" t="str">
            <v>g</v>
          </cell>
          <cell r="U24">
            <v>7.999999999999996E-2</v>
          </cell>
          <cell r="V24">
            <v>4.9999999999999989E-2</v>
          </cell>
          <cell r="W24">
            <v>1.6896383807731629E-2</v>
          </cell>
          <cell r="X24" t="str">
            <v>c</v>
          </cell>
          <cell r="Y24" t="str">
            <v>c</v>
          </cell>
          <cell r="Z24" t="str">
            <v>g</v>
          </cell>
          <cell r="AA24">
            <v>7.999999999999996E-2</v>
          </cell>
          <cell r="AB24">
            <v>4.9999999999999989E-2</v>
          </cell>
          <cell r="AC24"/>
          <cell r="AD24">
            <v>39326</v>
          </cell>
          <cell r="AE24" t="str">
            <v>Global</v>
          </cell>
          <cell r="AF24"/>
          <cell r="AG24">
            <v>96727.660000000149</v>
          </cell>
          <cell r="AH24">
            <v>625.50164165000024</v>
          </cell>
          <cell r="AI24">
            <v>96727.660000000149</v>
          </cell>
          <cell r="AJ24"/>
          <cell r="AK24">
            <v>96102.158358350149</v>
          </cell>
          <cell r="AL24">
            <v>153.64013770586419</v>
          </cell>
          <cell r="AM24"/>
          <cell r="AN24"/>
          <cell r="AO24">
            <v>52</v>
          </cell>
          <cell r="AP24">
            <v>289.10000000000014</v>
          </cell>
          <cell r="AQ24">
            <v>52</v>
          </cell>
          <cell r="AR24"/>
          <cell r="AS24">
            <v>-237.10000000000014</v>
          </cell>
          <cell r="AT24">
            <v>-0.82013144240747149</v>
          </cell>
          <cell r="AU24"/>
          <cell r="AV24"/>
          <cell r="AW24">
            <v>1221410.32</v>
          </cell>
          <cell r="AX24">
            <v>2888.1967467000004</v>
          </cell>
          <cell r="AY24">
            <v>1221410.32</v>
          </cell>
          <cell r="AZ24"/>
          <cell r="BA24">
            <v>1218522.1232533001</v>
          </cell>
          <cell r="BB24">
            <v>421.89720095958165</v>
          </cell>
          <cell r="BC24">
            <v>3457.2089369500004</v>
          </cell>
          <cell r="BD24">
            <v>353.29375293052027</v>
          </cell>
          <cell r="BE24"/>
          <cell r="BF24">
            <v>623</v>
          </cell>
          <cell r="BG24">
            <v>1336.8000000000002</v>
          </cell>
          <cell r="BH24">
            <v>623</v>
          </cell>
          <cell r="BI24"/>
          <cell r="BJ24">
            <v>-713.80000000000018</v>
          </cell>
          <cell r="BK24">
            <v>-0.53396169958108919</v>
          </cell>
          <cell r="BL24">
            <v>1600.3000000000002</v>
          </cell>
          <cell r="BM24">
            <v>0.38930200587389863</v>
          </cell>
        </row>
        <row r="25">
          <cell r="B25">
            <v>39356</v>
          </cell>
          <cell r="C25">
            <v>39356</v>
          </cell>
          <cell r="D25" t="str">
            <v>Global</v>
          </cell>
          <cell r="E25">
            <v>5.1141369776274939E-2</v>
          </cell>
          <cell r="F25" t="str">
            <v>c</v>
          </cell>
          <cell r="G25" t="str">
            <v>g</v>
          </cell>
          <cell r="H25" t="str">
            <v>c</v>
          </cell>
          <cell r="I25">
            <v>7.999999999999996E-2</v>
          </cell>
          <cell r="J25">
            <v>4.9999999999999989E-2</v>
          </cell>
          <cell r="K25">
            <v>4.676922805403614E-2</v>
          </cell>
          <cell r="L25" t="str">
            <v>c</v>
          </cell>
          <cell r="M25" t="str">
            <v>c</v>
          </cell>
          <cell r="N25" t="str">
            <v>g</v>
          </cell>
          <cell r="O25">
            <v>7.999999999999996E-2</v>
          </cell>
          <cell r="P25">
            <v>4.9999999999999989E-2</v>
          </cell>
          <cell r="Q25">
            <v>3.0227717315567903E-2</v>
          </cell>
          <cell r="R25" t="str">
            <v>c</v>
          </cell>
          <cell r="S25" t="str">
            <v>c</v>
          </cell>
          <cell r="T25" t="str">
            <v>g</v>
          </cell>
          <cell r="U25">
            <v>7.999999999999996E-2</v>
          </cell>
          <cell r="V25">
            <v>4.9999999999999989E-2</v>
          </cell>
          <cell r="W25">
            <v>2.0166797529458623E-2</v>
          </cell>
          <cell r="X25" t="str">
            <v>c</v>
          </cell>
          <cell r="Y25" t="str">
            <v>c</v>
          </cell>
          <cell r="Z25" t="str">
            <v>g</v>
          </cell>
          <cell r="AA25">
            <v>7.999999999999996E-2</v>
          </cell>
          <cell r="AB25">
            <v>4.9999999999999989E-2</v>
          </cell>
          <cell r="AC25"/>
          <cell r="AD25">
            <v>39356</v>
          </cell>
          <cell r="AE25" t="str">
            <v>Global</v>
          </cell>
          <cell r="AF25"/>
          <cell r="AG25">
            <v>320869.66999999993</v>
          </cell>
          <cell r="AH25">
            <v>111.744373</v>
          </cell>
          <cell r="AI25">
            <v>320869.66999999993</v>
          </cell>
          <cell r="AJ25"/>
          <cell r="AK25">
            <v>320757.92562699993</v>
          </cell>
          <cell r="AL25">
            <v>2870.461545540194</v>
          </cell>
          <cell r="AM25"/>
          <cell r="AN25"/>
          <cell r="AO25">
            <v>212</v>
          </cell>
          <cell r="AP25">
            <v>52</v>
          </cell>
          <cell r="AQ25">
            <v>212</v>
          </cell>
          <cell r="AR25"/>
          <cell r="AS25">
            <v>160</v>
          </cell>
          <cell r="AT25">
            <v>3.0769230769230766</v>
          </cell>
          <cell r="AU25"/>
          <cell r="AV25"/>
          <cell r="AW25">
            <v>1542279.99</v>
          </cell>
          <cell r="AX25">
            <v>2999.9411197000004</v>
          </cell>
          <cell r="AY25">
            <v>1542279.99</v>
          </cell>
          <cell r="AZ25"/>
          <cell r="BA25">
            <v>1539280.0488803</v>
          </cell>
          <cell r="BB25">
            <v>513.10342018787048</v>
          </cell>
          <cell r="BC25">
            <v>3457.2089369500004</v>
          </cell>
          <cell r="BD25">
            <v>446.10551983607377</v>
          </cell>
          <cell r="BE25"/>
          <cell r="BF25">
            <v>835</v>
          </cell>
          <cell r="BG25">
            <v>1388.8000000000002</v>
          </cell>
          <cell r="BH25">
            <v>835</v>
          </cell>
          <cell r="BI25"/>
          <cell r="BJ25">
            <v>-553.80000000000018</v>
          </cell>
          <cell r="BK25">
            <v>-0.39876152073732729</v>
          </cell>
          <cell r="BL25">
            <v>1600.3000000000002</v>
          </cell>
          <cell r="BM25">
            <v>0.52177716678122843</v>
          </cell>
        </row>
        <row r="26">
          <cell r="B26">
            <v>39387</v>
          </cell>
          <cell r="C26">
            <v>39387</v>
          </cell>
          <cell r="D26" t="str">
            <v>Global</v>
          </cell>
          <cell r="E26">
            <v>0.12032728062592077</v>
          </cell>
          <cell r="F26" t="str">
            <v>g</v>
          </cell>
          <cell r="G26" t="str">
            <v>c</v>
          </cell>
          <cell r="H26" t="str">
            <v>c</v>
          </cell>
          <cell r="I26">
            <v>7.999999999999996E-2</v>
          </cell>
          <cell r="J26">
            <v>4.9999999999999989E-2</v>
          </cell>
          <cell r="K26">
            <v>7.4892762835601576E-2</v>
          </cell>
          <cell r="L26" t="str">
            <v>c</v>
          </cell>
          <cell r="M26" t="str">
            <v>g</v>
          </cell>
          <cell r="N26" t="str">
            <v>c</v>
          </cell>
          <cell r="O26">
            <v>7.999999999999996E-2</v>
          </cell>
          <cell r="P26">
            <v>4.9999999999999989E-2</v>
          </cell>
          <cell r="Q26">
            <v>4.1222701942597403E-2</v>
          </cell>
          <cell r="R26" t="str">
            <v>c</v>
          </cell>
          <cell r="S26" t="str">
            <v>c</v>
          </cell>
          <cell r="T26" t="str">
            <v>g</v>
          </cell>
          <cell r="U26">
            <v>7.999999999999996E-2</v>
          </cell>
          <cell r="V26">
            <v>4.9999999999999989E-2</v>
          </cell>
          <cell r="W26">
            <v>2.6522084071988031E-2</v>
          </cell>
          <cell r="X26" t="str">
            <v>c</v>
          </cell>
          <cell r="Y26" t="str">
            <v>c</v>
          </cell>
          <cell r="Z26" t="str">
            <v>g</v>
          </cell>
          <cell r="AA26">
            <v>7.999999999999996E-2</v>
          </cell>
          <cell r="AB26">
            <v>4.9999999999999989E-2</v>
          </cell>
          <cell r="AC26"/>
          <cell r="AD26">
            <v>39387</v>
          </cell>
          <cell r="AE26" t="str">
            <v>Global</v>
          </cell>
          <cell r="AF26"/>
          <cell r="AG26">
            <v>853326.00000000023</v>
          </cell>
          <cell r="AH26">
            <v>324.03414174999989</v>
          </cell>
          <cell r="AI26">
            <v>853326.00000000023</v>
          </cell>
          <cell r="AJ26"/>
          <cell r="AK26">
            <v>853001.96585825027</v>
          </cell>
          <cell r="AL26">
            <v>2632.4447209527743</v>
          </cell>
          <cell r="AM26"/>
          <cell r="AN26"/>
          <cell r="AO26">
            <v>407.42000000000007</v>
          </cell>
          <cell r="AP26">
            <v>149.5</v>
          </cell>
          <cell r="AQ26">
            <v>407.42000000000007</v>
          </cell>
          <cell r="AR26"/>
          <cell r="AS26">
            <v>257.92000000000007</v>
          </cell>
          <cell r="AT26">
            <v>1.7252173913043483</v>
          </cell>
          <cell r="AU26"/>
          <cell r="AV26"/>
          <cell r="AW26">
            <v>2395605.9900000002</v>
          </cell>
          <cell r="AX26">
            <v>3323.9752614500003</v>
          </cell>
          <cell r="AY26">
            <v>2395605.9900000002</v>
          </cell>
          <cell r="AZ26"/>
          <cell r="BA26">
            <v>2392282.0147385504</v>
          </cell>
          <cell r="BB26">
            <v>719.70512009616391</v>
          </cell>
          <cell r="BC26">
            <v>3457.2089369500004</v>
          </cell>
          <cell r="BD26">
            <v>692.93063673306312</v>
          </cell>
          <cell r="BE26"/>
          <cell r="BF26">
            <v>1242.42</v>
          </cell>
          <cell r="BG26">
            <v>1538.3000000000002</v>
          </cell>
          <cell r="BH26">
            <v>1242.42</v>
          </cell>
          <cell r="BI26"/>
          <cell r="BJ26">
            <v>-295.88000000000011</v>
          </cell>
          <cell r="BK26">
            <v>-0.19234219593057278</v>
          </cell>
          <cell r="BL26">
            <v>1600.3000000000002</v>
          </cell>
          <cell r="BM26">
            <v>0.7763669312003999</v>
          </cell>
        </row>
        <row r="27">
          <cell r="B27">
            <v>39417</v>
          </cell>
          <cell r="C27">
            <v>39417</v>
          </cell>
          <cell r="D27" t="str">
            <v>Global</v>
          </cell>
          <cell r="E27">
            <v>1.7464048414633618E-2</v>
          </cell>
          <cell r="F27" t="str">
            <v>c</v>
          </cell>
          <cell r="G27" t="str">
            <v>c</v>
          </cell>
          <cell r="H27" t="str">
            <v>g</v>
          </cell>
          <cell r="I27">
            <v>7.999999999999996E-2</v>
          </cell>
          <cell r="J27">
            <v>5.0000000000000044E-2</v>
          </cell>
          <cell r="K27">
            <v>1.493691268106309E-2</v>
          </cell>
          <cell r="L27" t="str">
            <v>c</v>
          </cell>
          <cell r="M27" t="str">
            <v>c</v>
          </cell>
          <cell r="N27" t="str">
            <v>g</v>
          </cell>
          <cell r="O27">
            <v>7.999999999999996E-2</v>
          </cell>
          <cell r="P27">
            <v>5.0000000000000044E-2</v>
          </cell>
          <cell r="Q27">
            <v>3.8712034701586191E-2</v>
          </cell>
          <cell r="R27" t="str">
            <v>c</v>
          </cell>
          <cell r="S27" t="str">
            <v>c</v>
          </cell>
          <cell r="T27" t="str">
            <v>g</v>
          </cell>
          <cell r="U27">
            <v>7.999999999999996E-2</v>
          </cell>
          <cell r="V27">
            <v>5.0000000000000044E-2</v>
          </cell>
          <cell r="W27">
            <v>2.5340099280926381E-2</v>
          </cell>
          <cell r="X27" t="str">
            <v>c</v>
          </cell>
          <cell r="Y27" t="str">
            <v>c</v>
          </cell>
          <cell r="Z27" t="str">
            <v>g</v>
          </cell>
          <cell r="AA27">
            <v>7.999999999999996E-2</v>
          </cell>
          <cell r="AB27">
            <v>5.0000000000000044E-2</v>
          </cell>
          <cell r="AC27"/>
          <cell r="AD27">
            <v>39417</v>
          </cell>
          <cell r="AE27" t="str">
            <v>Global</v>
          </cell>
          <cell r="AF27"/>
          <cell r="AG27">
            <v>119921</v>
          </cell>
          <cell r="AH27">
            <v>133.23367550000012</v>
          </cell>
          <cell r="AI27">
            <v>119921</v>
          </cell>
          <cell r="AJ27"/>
          <cell r="AK27">
            <v>119787.7663245</v>
          </cell>
          <cell r="AL27">
            <v>899.08025035682431</v>
          </cell>
          <cell r="AM27"/>
          <cell r="AN27"/>
          <cell r="AO27">
            <v>79.5</v>
          </cell>
          <cell r="AP27">
            <v>62</v>
          </cell>
          <cell r="AQ27">
            <v>79.5</v>
          </cell>
          <cell r="AR27"/>
          <cell r="AS27">
            <v>17.5</v>
          </cell>
          <cell r="AT27">
            <v>0.282258064516129</v>
          </cell>
          <cell r="AU27"/>
          <cell r="AV27"/>
          <cell r="AW27">
            <v>2515526.9900000002</v>
          </cell>
          <cell r="AX27">
            <v>3457.2089369500004</v>
          </cell>
          <cell r="AY27">
            <v>2515526.9900000002</v>
          </cell>
          <cell r="AZ27"/>
          <cell r="BA27">
            <v>2512069.78106305</v>
          </cell>
          <cell r="BB27">
            <v>726.61786628355605</v>
          </cell>
          <cell r="BC27">
            <v>3457.2089369500004</v>
          </cell>
          <cell r="BD27">
            <v>727.61786628355605</v>
          </cell>
          <cell r="BE27"/>
          <cell r="BF27">
            <v>1321.92</v>
          </cell>
          <cell r="BG27">
            <v>1600.3000000000002</v>
          </cell>
          <cell r="BH27">
            <v>1321.92</v>
          </cell>
          <cell r="BI27"/>
          <cell r="BJ27">
            <v>-278.38000000000011</v>
          </cell>
          <cell r="BK27">
            <v>-0.17395488345935139</v>
          </cell>
          <cell r="BL27">
            <v>1600.3000000000002</v>
          </cell>
          <cell r="BM27">
            <v>0.82604511654064861</v>
          </cell>
        </row>
        <row r="28">
          <cell r="B28">
            <v>39448</v>
          </cell>
          <cell r="C28">
            <v>39448</v>
          </cell>
          <cell r="D28" t="str">
            <v>Global</v>
          </cell>
          <cell r="E28">
            <v>3.4475359871254017E-2</v>
          </cell>
          <cell r="F28" t="str">
            <v>c</v>
          </cell>
          <cell r="G28" t="str">
            <v>c</v>
          </cell>
          <cell r="H28" t="str">
            <v>g</v>
          </cell>
          <cell r="I28">
            <v>7.999999999999996E-2</v>
          </cell>
          <cell r="J28">
            <v>5.0000000000000044E-2</v>
          </cell>
          <cell r="K28">
            <v>1.3465466170618168E-2</v>
          </cell>
          <cell r="L28" t="str">
            <v>c</v>
          </cell>
          <cell r="M28" t="str">
            <v>c</v>
          </cell>
          <cell r="N28" t="str">
            <v>g</v>
          </cell>
          <cell r="O28">
            <v>7.999999999999996E-2</v>
          </cell>
          <cell r="P28">
            <v>5.0000000000000044E-2</v>
          </cell>
          <cell r="Q28">
            <v>3.4475359871254017E-2</v>
          </cell>
          <cell r="R28" t="str">
            <v>c</v>
          </cell>
          <cell r="S28" t="str">
            <v>c</v>
          </cell>
          <cell r="T28" t="str">
            <v>g</v>
          </cell>
          <cell r="U28">
            <v>7.999999999999996E-2</v>
          </cell>
          <cell r="V28">
            <v>5.0000000000000044E-2</v>
          </cell>
          <cell r="W28">
            <v>1.3465466170618168E-2</v>
          </cell>
          <cell r="X28" t="str">
            <v>c</v>
          </cell>
          <cell r="Y28" t="str">
            <v>c</v>
          </cell>
          <cell r="Z28" t="str">
            <v>g</v>
          </cell>
          <cell r="AA28">
            <v>7.999999999999996E-2</v>
          </cell>
          <cell r="AB28">
            <v>5.0000000000000044E-2</v>
          </cell>
          <cell r="AC28"/>
          <cell r="AD28">
            <v>39448</v>
          </cell>
          <cell r="AE28" t="str">
            <v>Global</v>
          </cell>
          <cell r="AF28">
            <v>16250.07</v>
          </cell>
          <cell r="AG28">
            <v>182621.75</v>
          </cell>
          <cell r="AH28">
            <v>0</v>
          </cell>
          <cell r="AI28">
            <v>166371.68</v>
          </cell>
          <cell r="AJ28">
            <v>10.238213127697296</v>
          </cell>
          <cell r="AK28">
            <v>182621.75</v>
          </cell>
          <cell r="AL28" t="e">
            <v>#DIV/0!</v>
          </cell>
          <cell r="AM28"/>
          <cell r="AN28">
            <v>12.5</v>
          </cell>
          <cell r="AO28">
            <v>55.050999999999931</v>
          </cell>
          <cell r="AP28">
            <v>0</v>
          </cell>
          <cell r="AQ28">
            <v>42.550999999999931</v>
          </cell>
          <cell r="AR28">
            <v>3.4040799999999942</v>
          </cell>
          <cell r="AS28">
            <v>55.050999999999931</v>
          </cell>
          <cell r="AT28" t="str">
            <v/>
          </cell>
          <cell r="AU28"/>
          <cell r="AV28">
            <v>16250.07</v>
          </cell>
          <cell r="AW28">
            <v>182621.75</v>
          </cell>
          <cell r="AX28">
            <v>0</v>
          </cell>
          <cell r="AY28">
            <v>166371.68</v>
          </cell>
          <cell r="AZ28">
            <v>10.238213127697296</v>
          </cell>
          <cell r="BA28">
            <v>182621.75</v>
          </cell>
          <cell r="BB28" t="str">
            <v/>
          </cell>
          <cell r="BC28">
            <v>7947771</v>
          </cell>
          <cell r="BD28">
            <v>2.2977731743906563E-2</v>
          </cell>
          <cell r="BE28">
            <v>12.5</v>
          </cell>
          <cell r="BF28">
            <v>55.050999999999931</v>
          </cell>
          <cell r="BG28">
            <v>0</v>
          </cell>
          <cell r="BH28">
            <v>42.550999999999931</v>
          </cell>
          <cell r="BI28">
            <v>3.4040799999999942</v>
          </cell>
          <cell r="BJ28">
            <v>55.050999999999931</v>
          </cell>
          <cell r="BK28" t="str">
            <v/>
          </cell>
          <cell r="BL28">
            <v>5612</v>
          </cell>
          <cell r="BM28">
            <v>9.8095153243050476E-3</v>
          </cell>
        </row>
        <row r="29">
          <cell r="B29">
            <v>39479</v>
          </cell>
          <cell r="C29">
            <v>39479</v>
          </cell>
          <cell r="D29" t="str">
            <v>Global</v>
          </cell>
          <cell r="E29">
            <v>2.8066443204921476E-2</v>
          </cell>
          <cell r="F29" t="str">
            <v>c</v>
          </cell>
          <cell r="G29" t="str">
            <v>c</v>
          </cell>
          <cell r="H29" t="str">
            <v>g</v>
          </cell>
          <cell r="I29">
            <v>8.0000000000000071E-2</v>
          </cell>
          <cell r="J29">
            <v>5.0000000000000044E-2</v>
          </cell>
          <cell r="K29">
            <v>1.7973867109009087E-2</v>
          </cell>
          <cell r="L29" t="str">
            <v>c</v>
          </cell>
          <cell r="M29" t="str">
            <v>c</v>
          </cell>
          <cell r="N29" t="str">
            <v>g</v>
          </cell>
          <cell r="O29">
            <v>8.0000000000000071E-2</v>
          </cell>
          <cell r="P29">
            <v>5.0000000000000044E-2</v>
          </cell>
          <cell r="Q29">
            <v>3.1043526712071098E-2</v>
          </cell>
          <cell r="R29" t="str">
            <v>c</v>
          </cell>
          <cell r="S29" t="str">
            <v>c</v>
          </cell>
          <cell r="T29" t="str">
            <v>g</v>
          </cell>
          <cell r="U29">
            <v>8.0000000000000071E-2</v>
          </cell>
          <cell r="V29">
            <v>5.0000000000000044E-2</v>
          </cell>
          <cell r="W29">
            <v>1.6030622557599683E-2</v>
          </cell>
          <cell r="X29" t="str">
            <v>c</v>
          </cell>
          <cell r="Y29" t="str">
            <v>c</v>
          </cell>
          <cell r="Z29" t="str">
            <v>g</v>
          </cell>
          <cell r="AA29">
            <v>8.0000000000000071E-2</v>
          </cell>
          <cell r="AB29">
            <v>5.0000000000000044E-2</v>
          </cell>
          <cell r="AC29"/>
          <cell r="AD29">
            <v>39479</v>
          </cell>
          <cell r="AE29" t="str">
            <v>Global</v>
          </cell>
          <cell r="AF29">
            <v>0</v>
          </cell>
          <cell r="AG29">
            <v>171382.39999999991</v>
          </cell>
          <cell r="AH29">
            <v>0</v>
          </cell>
          <cell r="AI29">
            <v>171382.39999999991</v>
          </cell>
          <cell r="AJ29" t="str">
            <v/>
          </cell>
          <cell r="AK29">
            <v>171382.39999999991</v>
          </cell>
          <cell r="AL29" t="e">
            <v>#DIV/0!</v>
          </cell>
          <cell r="AM29"/>
          <cell r="AN29">
            <v>0</v>
          </cell>
          <cell r="AO29">
            <v>97</v>
          </cell>
          <cell r="AP29">
            <v>0</v>
          </cell>
          <cell r="AQ29">
            <v>97</v>
          </cell>
          <cell r="AR29" t="str">
            <v/>
          </cell>
          <cell r="AS29">
            <v>97</v>
          </cell>
          <cell r="AT29" t="str">
            <v/>
          </cell>
          <cell r="AU29"/>
          <cell r="AV29">
            <v>16250.07</v>
          </cell>
          <cell r="AW29">
            <v>354004.14999999991</v>
          </cell>
          <cell r="AX29">
            <v>0</v>
          </cell>
          <cell r="AY29">
            <v>337754.0799999999</v>
          </cell>
          <cell r="AZ29">
            <v>20.78477692711477</v>
          </cell>
          <cell r="BA29">
            <v>354004.14999999991</v>
          </cell>
          <cell r="BB29" t="str">
            <v/>
          </cell>
          <cell r="BC29">
            <v>7947771</v>
          </cell>
          <cell r="BD29">
            <v>4.4541312274850385E-2</v>
          </cell>
          <cell r="BE29">
            <v>12.5</v>
          </cell>
          <cell r="BF29">
            <v>152.05099999999993</v>
          </cell>
          <cell r="BG29">
            <v>0</v>
          </cell>
          <cell r="BH29">
            <v>139.55099999999993</v>
          </cell>
          <cell r="BI29">
            <v>11.164079999999995</v>
          </cell>
          <cell r="BJ29">
            <v>152.05099999999993</v>
          </cell>
          <cell r="BK29" t="str">
            <v/>
          </cell>
          <cell r="BL29">
            <v>5612</v>
          </cell>
          <cell r="BM29">
            <v>2.7093905915894501E-2</v>
          </cell>
        </row>
        <row r="30">
          <cell r="B30">
            <v>39508</v>
          </cell>
          <cell r="C30">
            <v>39508</v>
          </cell>
          <cell r="D30" t="str">
            <v>Global</v>
          </cell>
          <cell r="E30">
            <v>1.7448816006867075E-2</v>
          </cell>
          <cell r="F30" t="str">
            <v>c</v>
          </cell>
          <cell r="G30" t="str">
            <v>c</v>
          </cell>
          <cell r="H30" t="str">
            <v>g</v>
          </cell>
          <cell r="I30">
            <v>8.0000000000000071E-2</v>
          </cell>
          <cell r="J30">
            <v>5.0000000000000044E-2</v>
          </cell>
          <cell r="K30">
            <v>9.212409824680759E-3</v>
          </cell>
          <cell r="L30" t="str">
            <v>c</v>
          </cell>
          <cell r="M30" t="str">
            <v>c</v>
          </cell>
          <cell r="N30" t="str">
            <v>g</v>
          </cell>
          <cell r="O30">
            <v>8.0000000000000071E-2</v>
          </cell>
          <cell r="P30">
            <v>5.0000000000000044E-2</v>
          </cell>
          <cell r="Q30">
            <v>2.6116841103010626E-2</v>
          </cell>
          <cell r="R30" t="str">
            <v>c</v>
          </cell>
          <cell r="S30" t="str">
            <v>c</v>
          </cell>
          <cell r="T30" t="str">
            <v>g</v>
          </cell>
          <cell r="U30">
            <v>8.0000000000000071E-2</v>
          </cell>
          <cell r="V30">
            <v>5.0000000000000044E-2</v>
          </cell>
          <cell r="W30">
            <v>1.34868787622457E-2</v>
          </cell>
          <cell r="X30" t="str">
            <v>c</v>
          </cell>
          <cell r="Y30" t="str">
            <v>c</v>
          </cell>
          <cell r="Z30" t="str">
            <v>g</v>
          </cell>
          <cell r="AA30">
            <v>8.0000000000000071E-2</v>
          </cell>
          <cell r="AB30">
            <v>5.0000000000000044E-2</v>
          </cell>
          <cell r="AC30"/>
          <cell r="AD30">
            <v>39508</v>
          </cell>
          <cell r="AE30" t="str">
            <v>Global</v>
          </cell>
          <cell r="AF30">
            <v>160020.87</v>
          </cell>
          <cell r="AG30">
            <v>113093.58000000007</v>
          </cell>
          <cell r="AH30">
            <v>0</v>
          </cell>
          <cell r="AI30">
            <v>-46927.289999999921</v>
          </cell>
          <cell r="AJ30">
            <v>-0.29325731074952865</v>
          </cell>
          <cell r="AK30">
            <v>113093.58000000007</v>
          </cell>
          <cell r="AL30" t="e">
            <v>#DIV/0!</v>
          </cell>
          <cell r="AM30"/>
          <cell r="AN30">
            <v>72</v>
          </cell>
          <cell r="AO30">
            <v>52</v>
          </cell>
          <cell r="AP30">
            <v>0</v>
          </cell>
          <cell r="AQ30">
            <v>-20</v>
          </cell>
          <cell r="AR30">
            <v>-0.27777777777777779</v>
          </cell>
          <cell r="AS30">
            <v>52</v>
          </cell>
          <cell r="AT30" t="str">
            <v/>
          </cell>
          <cell r="AU30"/>
          <cell r="AV30">
            <v>176270.94</v>
          </cell>
          <cell r="AW30">
            <v>467097.73</v>
          </cell>
          <cell r="AX30">
            <v>0</v>
          </cell>
          <cell r="AY30">
            <v>290826.78999999998</v>
          </cell>
          <cell r="AZ30">
            <v>1.6498850576277633</v>
          </cell>
          <cell r="BA30">
            <v>467097.73</v>
          </cell>
          <cell r="BB30" t="str">
            <v/>
          </cell>
          <cell r="BC30">
            <v>7947771</v>
          </cell>
          <cell r="BD30">
            <v>5.8770909478896662E-2</v>
          </cell>
          <cell r="BE30">
            <v>84.5</v>
          </cell>
          <cell r="BF30">
            <v>204.05099999999993</v>
          </cell>
          <cell r="BG30">
            <v>0</v>
          </cell>
          <cell r="BH30">
            <v>119.55099999999993</v>
          </cell>
          <cell r="BI30">
            <v>1.4148047337278098</v>
          </cell>
          <cell r="BJ30">
            <v>204.05099999999993</v>
          </cell>
          <cell r="BK30" t="str">
            <v/>
          </cell>
          <cell r="BL30">
            <v>5612</v>
          </cell>
          <cell r="BM30">
            <v>3.6359764789736265E-2</v>
          </cell>
        </row>
        <row r="31">
          <cell r="B31">
            <v>39539</v>
          </cell>
          <cell r="C31">
            <v>39539</v>
          </cell>
          <cell r="D31" t="str">
            <v>Global</v>
          </cell>
          <cell r="E31">
            <v>1.983025382174879E-2</v>
          </cell>
          <cell r="F31" t="str">
            <v>c</v>
          </cell>
          <cell r="G31" t="str">
            <v>c</v>
          </cell>
          <cell r="H31" t="str">
            <v>g</v>
          </cell>
          <cell r="I31">
            <v>8.0000000000000071E-2</v>
          </cell>
          <cell r="J31">
            <v>5.0000000000000044E-2</v>
          </cell>
          <cell r="K31">
            <v>1.3490468069700758E-2</v>
          </cell>
          <cell r="L31" t="str">
            <v>c</v>
          </cell>
          <cell r="M31" t="str">
            <v>c</v>
          </cell>
          <cell r="N31" t="str">
            <v>g</v>
          </cell>
          <cell r="O31">
            <v>8.0000000000000071E-2</v>
          </cell>
          <cell r="P31">
            <v>5.0000000000000044E-2</v>
          </cell>
          <cell r="Q31">
            <v>2.4432550030660881E-2</v>
          </cell>
          <cell r="R31" t="str">
            <v>c</v>
          </cell>
          <cell r="S31" t="str">
            <v>c</v>
          </cell>
          <cell r="T31" t="str">
            <v>g</v>
          </cell>
          <cell r="U31">
            <v>8.0000000000000071E-2</v>
          </cell>
          <cell r="V31">
            <v>5.0000000000000044E-2</v>
          </cell>
          <cell r="W31">
            <v>1.3487803164079399E-2</v>
          </cell>
          <cell r="X31" t="str">
            <v>c</v>
          </cell>
          <cell r="Y31" t="str">
            <v>c</v>
          </cell>
          <cell r="Z31" t="str">
            <v>g</v>
          </cell>
          <cell r="AA31">
            <v>8.0000000000000071E-2</v>
          </cell>
          <cell r="AB31">
            <v>5.0000000000000044E-2</v>
          </cell>
          <cell r="AC31"/>
          <cell r="AD31">
            <v>39539</v>
          </cell>
          <cell r="AE31" t="str">
            <v>Global</v>
          </cell>
          <cell r="AF31">
            <v>47797.06</v>
          </cell>
          <cell r="AG31">
            <v>129795</v>
          </cell>
          <cell r="AH31">
            <v>0</v>
          </cell>
          <cell r="AI31">
            <v>81997.94</v>
          </cell>
          <cell r="AJ31">
            <v>1.7155435920117266</v>
          </cell>
          <cell r="AK31">
            <v>129795</v>
          </cell>
          <cell r="AL31" t="e">
            <v>#DIV/0!</v>
          </cell>
          <cell r="AM31"/>
          <cell r="AN31">
            <v>30.299999999999997</v>
          </cell>
          <cell r="AO31">
            <v>70.799999999999955</v>
          </cell>
          <cell r="AP31">
            <v>0</v>
          </cell>
          <cell r="AQ31">
            <v>40.499999999999957</v>
          </cell>
          <cell r="AR31">
            <v>1.3366336633663352</v>
          </cell>
          <cell r="AS31">
            <v>70.799999999999955</v>
          </cell>
          <cell r="AT31" t="str">
            <v/>
          </cell>
          <cell r="AU31"/>
          <cell r="AV31">
            <v>224068</v>
          </cell>
          <cell r="AW31">
            <v>596892.73</v>
          </cell>
          <cell r="AX31">
            <v>0</v>
          </cell>
          <cell r="AY31">
            <v>372824.73</v>
          </cell>
          <cell r="AZ31">
            <v>1.6638910063016583</v>
          </cell>
          <cell r="BA31">
            <v>596892.73</v>
          </cell>
          <cell r="BB31" t="str">
            <v/>
          </cell>
          <cell r="BC31">
            <v>7947771</v>
          </cell>
          <cell r="BD31">
            <v>7.5101903414177384E-2</v>
          </cell>
          <cell r="BE31">
            <v>114.8</v>
          </cell>
          <cell r="BF31">
            <v>274.85099999999989</v>
          </cell>
          <cell r="BG31">
            <v>0</v>
          </cell>
          <cell r="BH31">
            <v>160.05099999999987</v>
          </cell>
          <cell r="BI31">
            <v>1.3941724738675947</v>
          </cell>
          <cell r="BJ31">
            <v>274.85099999999989</v>
          </cell>
          <cell r="BK31" t="str">
            <v/>
          </cell>
          <cell r="BL31">
            <v>5612</v>
          </cell>
          <cell r="BM31">
            <v>4.8975588025659281E-2</v>
          </cell>
        </row>
        <row r="32">
          <cell r="B32">
            <v>39569</v>
          </cell>
          <cell r="C32">
            <v>39569</v>
          </cell>
          <cell r="D32" t="str">
            <v>Global</v>
          </cell>
          <cell r="E32">
            <v>1.7925142200441502E-2</v>
          </cell>
          <cell r="F32" t="str">
            <v>c</v>
          </cell>
          <cell r="G32" t="str">
            <v>c</v>
          </cell>
          <cell r="H32" t="str">
            <v>g</v>
          </cell>
          <cell r="I32">
            <v>8.0000000000000071E-2</v>
          </cell>
          <cell r="J32">
            <v>5.0000000000000044E-2</v>
          </cell>
          <cell r="K32">
            <v>1.0590092154167303E-2</v>
          </cell>
          <cell r="L32" t="str">
            <v>c</v>
          </cell>
          <cell r="M32" t="str">
            <v>c</v>
          </cell>
          <cell r="N32" t="str">
            <v>g</v>
          </cell>
          <cell r="O32">
            <v>8.0000000000000071E-2</v>
          </cell>
          <cell r="P32">
            <v>5.0000000000000044E-2</v>
          </cell>
          <cell r="Q32">
            <v>2.2996670775767104E-2</v>
          </cell>
          <cell r="R32" t="str">
            <v>c</v>
          </cell>
          <cell r="S32" t="str">
            <v>c</v>
          </cell>
          <cell r="T32" t="str">
            <v>g</v>
          </cell>
          <cell r="U32">
            <v>8.0000000000000071E-2</v>
          </cell>
          <cell r="V32">
            <v>5.0000000000000044E-2</v>
          </cell>
          <cell r="W32">
            <v>1.2925145426719098E-2</v>
          </cell>
          <cell r="X32" t="str">
            <v>c</v>
          </cell>
          <cell r="Y32" t="str">
            <v>c</v>
          </cell>
          <cell r="Z32" t="str">
            <v>g</v>
          </cell>
          <cell r="AA32">
            <v>8.0000000000000071E-2</v>
          </cell>
          <cell r="AB32">
            <v>5.0000000000000044E-2</v>
          </cell>
          <cell r="AC32"/>
          <cell r="AD32">
            <v>39569</v>
          </cell>
          <cell r="AE32" t="str">
            <v>Global</v>
          </cell>
          <cell r="AF32">
            <v>0</v>
          </cell>
          <cell r="AG32">
            <v>123985</v>
          </cell>
          <cell r="AH32">
            <v>0</v>
          </cell>
          <cell r="AI32">
            <v>123985</v>
          </cell>
          <cell r="AJ32" t="str">
            <v/>
          </cell>
          <cell r="AK32">
            <v>123985</v>
          </cell>
          <cell r="AL32" t="e">
            <v>#DIV/0!</v>
          </cell>
          <cell r="AM32"/>
          <cell r="AN32">
            <v>0</v>
          </cell>
          <cell r="AO32">
            <v>52</v>
          </cell>
          <cell r="AP32">
            <v>0</v>
          </cell>
          <cell r="AQ32">
            <v>52</v>
          </cell>
          <cell r="AR32" t="str">
            <v/>
          </cell>
          <cell r="AS32">
            <v>52</v>
          </cell>
          <cell r="AT32" t="str">
            <v/>
          </cell>
          <cell r="AU32"/>
          <cell r="AV32">
            <v>224068</v>
          </cell>
          <cell r="AW32">
            <v>720877.73</v>
          </cell>
          <cell r="AX32">
            <v>0</v>
          </cell>
          <cell r="AY32">
            <v>496809.73</v>
          </cell>
          <cell r="AZ32">
            <v>2.2172274934394913</v>
          </cell>
          <cell r="BA32">
            <v>720877.73</v>
          </cell>
          <cell r="BB32" t="str">
            <v/>
          </cell>
          <cell r="BC32">
            <v>7947771</v>
          </cell>
          <cell r="BD32">
            <v>9.0701874777217403E-2</v>
          </cell>
          <cell r="BE32">
            <v>114.8</v>
          </cell>
          <cell r="BF32">
            <v>326.85099999999989</v>
          </cell>
          <cell r="BG32">
            <v>0</v>
          </cell>
          <cell r="BH32">
            <v>212.05099999999987</v>
          </cell>
          <cell r="BI32">
            <v>1.8471341463414626</v>
          </cell>
          <cell r="BJ32">
            <v>326.85099999999989</v>
          </cell>
          <cell r="BK32" t="str">
            <v/>
          </cell>
          <cell r="BL32">
            <v>5612</v>
          </cell>
          <cell r="BM32">
            <v>5.8241446899501045E-2</v>
          </cell>
        </row>
        <row r="33">
          <cell r="B33">
            <v>39600</v>
          </cell>
          <cell r="C33">
            <v>39600</v>
          </cell>
          <cell r="D33" t="str">
            <v>Global</v>
          </cell>
          <cell r="E33">
            <v>6.3640414152410549E-2</v>
          </cell>
          <cell r="F33" t="str">
            <v>c</v>
          </cell>
          <cell r="G33" t="str">
            <v>g</v>
          </cell>
          <cell r="H33" t="str">
            <v>c</v>
          </cell>
          <cell r="I33">
            <v>8.0000000000000071E-2</v>
          </cell>
          <cell r="J33">
            <v>5.0000000000000044E-2</v>
          </cell>
          <cell r="K33">
            <v>3.2294201647151279E-2</v>
          </cell>
          <cell r="L33" t="str">
            <v>c</v>
          </cell>
          <cell r="M33" t="str">
            <v>c</v>
          </cell>
          <cell r="N33" t="str">
            <v>g</v>
          </cell>
          <cell r="O33">
            <v>8.0000000000000071E-2</v>
          </cell>
          <cell r="P33">
            <v>5.0000000000000044E-2</v>
          </cell>
          <cell r="Q33">
            <v>3.0857828072685643E-2</v>
          </cell>
          <cell r="R33" t="str">
            <v>c</v>
          </cell>
          <cell r="S33" t="str">
            <v>c</v>
          </cell>
          <cell r="T33" t="str">
            <v>g</v>
          </cell>
          <cell r="U33">
            <v>8.0000000000000071E-2</v>
          </cell>
          <cell r="V33">
            <v>5.0000000000000044E-2</v>
          </cell>
          <cell r="W33">
            <v>1.617665742697098E-2</v>
          </cell>
          <cell r="X33" t="str">
            <v>c</v>
          </cell>
          <cell r="Y33" t="str">
            <v>c</v>
          </cell>
          <cell r="Z33" t="str">
            <v>g</v>
          </cell>
          <cell r="AA33">
            <v>8.0000000000000071E-2</v>
          </cell>
          <cell r="AB33">
            <v>5.0000000000000044E-2</v>
          </cell>
          <cell r="AC33"/>
          <cell r="AD33">
            <v>39600</v>
          </cell>
          <cell r="AE33" t="str">
            <v>Global</v>
          </cell>
          <cell r="AF33">
            <v>808887</v>
          </cell>
          <cell r="AG33">
            <v>478379.89000000013</v>
          </cell>
          <cell r="AH33">
            <v>0</v>
          </cell>
          <cell r="AI33">
            <v>-330507.10999999987</v>
          </cell>
          <cell r="AJ33">
            <v>-0.40859490880679239</v>
          </cell>
          <cell r="AK33">
            <v>478379.89000000013</v>
          </cell>
          <cell r="AL33" t="e">
            <v>#DIV/0!</v>
          </cell>
          <cell r="AM33"/>
          <cell r="AN33">
            <v>403.97999999999996</v>
          </cell>
          <cell r="AO33">
            <v>164.75</v>
          </cell>
          <cell r="AP33">
            <v>0</v>
          </cell>
          <cell r="AQ33">
            <v>-239.22999999999996</v>
          </cell>
          <cell r="AR33">
            <v>-0.59218278132580815</v>
          </cell>
          <cell r="AS33">
            <v>164.75</v>
          </cell>
          <cell r="AT33" t="str">
            <v/>
          </cell>
          <cell r="AU33"/>
          <cell r="AV33">
            <v>1032955</v>
          </cell>
          <cell r="AW33">
            <v>1199257.6200000001</v>
          </cell>
          <cell r="AX33">
            <v>0</v>
          </cell>
          <cell r="AY33">
            <v>166302.62000000011</v>
          </cell>
          <cell r="AZ33">
            <v>0.16099696501783733</v>
          </cell>
          <cell r="BA33">
            <v>1199257.6200000001</v>
          </cell>
          <cell r="BB33" t="str">
            <v/>
          </cell>
          <cell r="BC33">
            <v>7947771</v>
          </cell>
          <cell r="BD33">
            <v>0.15089232188496626</v>
          </cell>
          <cell r="BE33">
            <v>518.78</v>
          </cell>
          <cell r="BF33">
            <v>491.60099999999989</v>
          </cell>
          <cell r="BG33">
            <v>0</v>
          </cell>
          <cell r="BH33">
            <v>-27.179000000000087</v>
          </cell>
          <cell r="BI33">
            <v>-5.2390223216006948E-2</v>
          </cell>
          <cell r="BJ33">
            <v>491.60099999999989</v>
          </cell>
          <cell r="BK33" t="str">
            <v/>
          </cell>
          <cell r="BL33">
            <v>5612</v>
          </cell>
          <cell r="BM33">
            <v>8.7598182466143953E-2</v>
          </cell>
        </row>
        <row r="34">
          <cell r="B34">
            <v>39630</v>
          </cell>
          <cell r="C34">
            <v>39630</v>
          </cell>
          <cell r="D34" t="str">
            <v>Global</v>
          </cell>
          <cell r="E34">
            <v>8.0585957997153113E-3</v>
          </cell>
          <cell r="F34" t="str">
            <v>c</v>
          </cell>
          <cell r="G34" t="str">
            <v>c</v>
          </cell>
          <cell r="H34" t="str">
            <v>g</v>
          </cell>
          <cell r="I34">
            <v>8.0000000000000071E-2</v>
          </cell>
          <cell r="J34">
            <v>5.0000000000000044E-2</v>
          </cell>
          <cell r="K34">
            <v>4.3481663782382919E-3</v>
          </cell>
          <cell r="L34" t="str">
            <v>c</v>
          </cell>
          <cell r="M34" t="str">
            <v>c</v>
          </cell>
          <cell r="N34" t="str">
            <v>g</v>
          </cell>
          <cell r="O34">
            <v>8.0000000000000071E-2</v>
          </cell>
          <cell r="P34">
            <v>5.0000000000000044E-2</v>
          </cell>
          <cell r="Q34">
            <v>2.7063276789855716E-2</v>
          </cell>
          <cell r="R34" t="str">
            <v>c</v>
          </cell>
          <cell r="S34" t="str">
            <v>c</v>
          </cell>
          <cell r="T34" t="str">
            <v>g</v>
          </cell>
          <cell r="U34">
            <v>8.0000000000000071E-2</v>
          </cell>
          <cell r="V34">
            <v>5.0000000000000044E-2</v>
          </cell>
          <cell r="W34">
            <v>1.423190442007837E-2</v>
          </cell>
          <cell r="X34" t="str">
            <v>c</v>
          </cell>
          <cell r="Y34" t="str">
            <v>c</v>
          </cell>
          <cell r="Z34" t="str">
            <v>g</v>
          </cell>
          <cell r="AA34">
            <v>8.0000000000000071E-2</v>
          </cell>
          <cell r="AB34">
            <v>5.0000000000000044E-2</v>
          </cell>
          <cell r="AC34"/>
          <cell r="AD34">
            <v>39630</v>
          </cell>
          <cell r="AE34" t="str">
            <v>Global</v>
          </cell>
          <cell r="AF34">
            <v>0</v>
          </cell>
          <cell r="AG34">
            <v>62532.580000000075</v>
          </cell>
          <cell r="AH34">
            <v>7947771</v>
          </cell>
          <cell r="AI34">
            <v>62532.580000000075</v>
          </cell>
          <cell r="AJ34" t="str">
            <v/>
          </cell>
          <cell r="AK34">
            <v>-7885238.4199999999</v>
          </cell>
          <cell r="AL34">
            <v>-0.9921320606746219</v>
          </cell>
          <cell r="AM34"/>
          <cell r="AN34">
            <v>0.5</v>
          </cell>
          <cell r="AO34">
            <v>26</v>
          </cell>
          <cell r="AP34">
            <v>5612</v>
          </cell>
          <cell r="AQ34">
            <v>25.5</v>
          </cell>
          <cell r="AR34">
            <v>51</v>
          </cell>
          <cell r="AS34">
            <v>-5586</v>
          </cell>
          <cell r="AT34">
            <v>-0.99536707056307916</v>
          </cell>
          <cell r="AU34"/>
          <cell r="AV34">
            <v>1032955</v>
          </cell>
          <cell r="AW34">
            <v>1261790.2000000002</v>
          </cell>
          <cell r="AX34">
            <v>7947771</v>
          </cell>
          <cell r="AY34">
            <v>228835.20000000019</v>
          </cell>
          <cell r="AZ34">
            <v>0.22153452957776487</v>
          </cell>
          <cell r="BA34">
            <v>-6685980.7999999998</v>
          </cell>
          <cell r="BB34">
            <v>-0.84123973878965563</v>
          </cell>
          <cell r="BC34">
            <v>7947771</v>
          </cell>
          <cell r="BD34">
            <v>0.15876026121034439</v>
          </cell>
          <cell r="BE34">
            <v>519.28</v>
          </cell>
          <cell r="BF34">
            <v>517.60099999999989</v>
          </cell>
          <cell r="BG34">
            <v>5612</v>
          </cell>
          <cell r="BH34">
            <v>-1.6790000000000873</v>
          </cell>
          <cell r="BI34">
            <v>-3.233323062702409E-3</v>
          </cell>
          <cell r="BJ34">
            <v>-5094.3990000000003</v>
          </cell>
          <cell r="BK34">
            <v>-0.90776888809693512</v>
          </cell>
          <cell r="BL34">
            <v>5612</v>
          </cell>
          <cell r="BM34">
            <v>9.2231111903064836E-2</v>
          </cell>
        </row>
        <row r="35">
          <cell r="B35">
            <v>39661</v>
          </cell>
          <cell r="C35">
            <v>39661</v>
          </cell>
          <cell r="D35" t="str">
            <v>Global</v>
          </cell>
          <cell r="E35">
            <v>6.7687867273704419E-2</v>
          </cell>
          <cell r="F35" t="str">
            <v>c</v>
          </cell>
          <cell r="G35" t="str">
            <v>g</v>
          </cell>
          <cell r="H35" t="str">
            <v>c</v>
          </cell>
          <cell r="I35">
            <v>8.0000000000000071E-2</v>
          </cell>
          <cell r="J35">
            <v>4.9999999999999933E-2</v>
          </cell>
          <cell r="K35">
            <v>0.1119411773732973</v>
          </cell>
          <cell r="L35" t="str">
            <v>g</v>
          </cell>
          <cell r="M35" t="str">
            <v>c</v>
          </cell>
          <cell r="N35" t="str">
            <v>c</v>
          </cell>
          <cell r="O35">
            <v>8.0000000000000071E-2</v>
          </cell>
          <cell r="P35">
            <v>4.9999999999999933E-2</v>
          </cell>
          <cell r="Q35">
            <v>2.7063276789855716E-2</v>
          </cell>
          <cell r="R35" t="str">
            <v>c</v>
          </cell>
          <cell r="S35" t="str">
            <v>c</v>
          </cell>
          <cell r="T35" t="str">
            <v>g</v>
          </cell>
          <cell r="U35">
            <v>8.0000000000000071E-2</v>
          </cell>
          <cell r="V35">
            <v>4.9999999999999933E-2</v>
          </cell>
          <cell r="W35">
            <v>1.423190442007837E-2</v>
          </cell>
          <cell r="X35" t="str">
            <v>c</v>
          </cell>
          <cell r="Y35" t="str">
            <v>c</v>
          </cell>
          <cell r="Z35" t="str">
            <v>g</v>
          </cell>
          <cell r="AA35">
            <v>8.0000000000000071E-2</v>
          </cell>
          <cell r="AB35">
            <v>4.9999999999999933E-2</v>
          </cell>
          <cell r="AC35"/>
          <cell r="AD35">
            <v>39661</v>
          </cell>
          <cell r="AE35" t="str">
            <v>Global</v>
          </cell>
          <cell r="AF35">
            <v>91727.659999999916</v>
          </cell>
          <cell r="AG35">
            <v>0</v>
          </cell>
          <cell r="AH35">
            <v>0</v>
          </cell>
          <cell r="AI35">
            <v>-91727.659999999916</v>
          </cell>
          <cell r="AJ35">
            <v>-1</v>
          </cell>
          <cell r="AK35">
            <v>0</v>
          </cell>
          <cell r="AL35" t="e">
            <v>#DIV/0!</v>
          </cell>
          <cell r="AM35"/>
          <cell r="AN35">
            <v>51.720000000000027</v>
          </cell>
          <cell r="AO35">
            <v>0</v>
          </cell>
          <cell r="AP35">
            <v>0</v>
          </cell>
          <cell r="AQ35">
            <v>-51.720000000000027</v>
          </cell>
          <cell r="AR35">
            <v>-1</v>
          </cell>
          <cell r="AS35">
            <v>0</v>
          </cell>
          <cell r="AT35" t="str">
            <v/>
          </cell>
          <cell r="AU35"/>
          <cell r="AV35">
            <v>1124682.6599999999</v>
          </cell>
          <cell r="AW35">
            <v>1261790.2000000002</v>
          </cell>
          <cell r="AX35">
            <v>7947771</v>
          </cell>
          <cell r="AY35">
            <v>137107.54000000027</v>
          </cell>
          <cell r="AZ35">
            <v>0.12190775662887909</v>
          </cell>
          <cell r="BA35">
            <v>-6685980.7999999998</v>
          </cell>
          <cell r="BB35">
            <v>-0.84123973878965563</v>
          </cell>
          <cell r="BC35">
            <v>7947771</v>
          </cell>
          <cell r="BD35">
            <v>0.15876026121034439</v>
          </cell>
          <cell r="BE35">
            <v>571</v>
          </cell>
          <cell r="BF35">
            <v>517.60099999999989</v>
          </cell>
          <cell r="BG35">
            <v>5612</v>
          </cell>
          <cell r="BH35">
            <v>-53.399000000000115</v>
          </cell>
          <cell r="BI35">
            <v>-9.3518388791593909E-2</v>
          </cell>
          <cell r="BJ35">
            <v>-5094.3990000000003</v>
          </cell>
          <cell r="BK35">
            <v>-0.90776888809693512</v>
          </cell>
          <cell r="BL35">
            <v>5612</v>
          </cell>
          <cell r="BM35">
            <v>9.2231111903064836E-2</v>
          </cell>
        </row>
        <row r="36">
          <cell r="B36">
            <v>39692</v>
          </cell>
          <cell r="C36">
            <v>39692</v>
          </cell>
          <cell r="D36" t="str">
            <v>Global</v>
          </cell>
          <cell r="E36">
            <v>8.7901024889815688E-2</v>
          </cell>
          <cell r="F36" t="str">
            <v>g</v>
          </cell>
          <cell r="G36" t="str">
            <v>c</v>
          </cell>
          <cell r="H36" t="str">
            <v>c</v>
          </cell>
          <cell r="I36">
            <v>8.0000000000000071E-2</v>
          </cell>
          <cell r="J36">
            <v>5.0000000000000044E-2</v>
          </cell>
          <cell r="K36">
            <v>0.10649539447693762</v>
          </cell>
          <cell r="L36" t="str">
            <v>g</v>
          </cell>
          <cell r="M36" t="str">
            <v>c</v>
          </cell>
          <cell r="N36" t="str">
            <v>c</v>
          </cell>
          <cell r="O36">
            <v>8.0000000000000071E-2</v>
          </cell>
          <cell r="P36">
            <v>5.0000000000000044E-2</v>
          </cell>
          <cell r="Q36">
            <v>2.7063276789855716E-2</v>
          </cell>
          <cell r="R36" t="str">
            <v>c</v>
          </cell>
          <cell r="S36" t="str">
            <v>c</v>
          </cell>
          <cell r="T36" t="str">
            <v>g</v>
          </cell>
          <cell r="U36">
            <v>8.0000000000000071E-2</v>
          </cell>
          <cell r="V36">
            <v>5.0000000000000044E-2</v>
          </cell>
          <cell r="W36">
            <v>1.423190442007837E-2</v>
          </cell>
          <cell r="X36" t="str">
            <v>c</v>
          </cell>
          <cell r="Y36" t="str">
            <v>c</v>
          </cell>
          <cell r="Z36" t="str">
            <v>g</v>
          </cell>
          <cell r="AA36">
            <v>8.0000000000000071E-2</v>
          </cell>
          <cell r="AB36">
            <v>5.0000000000000044E-2</v>
          </cell>
          <cell r="AC36"/>
          <cell r="AD36">
            <v>39692</v>
          </cell>
          <cell r="AE36" t="str">
            <v>Global</v>
          </cell>
          <cell r="AF36">
            <v>96727.660000000149</v>
          </cell>
          <cell r="AG36">
            <v>0</v>
          </cell>
          <cell r="AH36">
            <v>0</v>
          </cell>
          <cell r="AI36">
            <v>-96727.660000000149</v>
          </cell>
          <cell r="AJ36">
            <v>-1</v>
          </cell>
          <cell r="AK36">
            <v>0</v>
          </cell>
          <cell r="AL36" t="e">
            <v>#DIV/0!</v>
          </cell>
          <cell r="AM36"/>
          <cell r="AN36">
            <v>52</v>
          </cell>
          <cell r="AO36">
            <v>0</v>
          </cell>
          <cell r="AP36">
            <v>0</v>
          </cell>
          <cell r="AQ36">
            <v>-52</v>
          </cell>
          <cell r="AR36">
            <v>-1</v>
          </cell>
          <cell r="AS36">
            <v>0</v>
          </cell>
          <cell r="AT36" t="str">
            <v/>
          </cell>
          <cell r="AU36"/>
          <cell r="AV36">
            <v>1221410.32</v>
          </cell>
          <cell r="AW36">
            <v>1261790.2000000002</v>
          </cell>
          <cell r="AX36">
            <v>7947771</v>
          </cell>
          <cell r="AY36">
            <v>40379.880000000121</v>
          </cell>
          <cell r="AZ36">
            <v>3.3060044883197026E-2</v>
          </cell>
          <cell r="BA36">
            <v>-6685980.7999999998</v>
          </cell>
          <cell r="BB36">
            <v>-0.84123973878965563</v>
          </cell>
          <cell r="BC36">
            <v>7947771</v>
          </cell>
          <cell r="BD36">
            <v>0.15876026121034439</v>
          </cell>
          <cell r="BE36">
            <v>623</v>
          </cell>
          <cell r="BF36">
            <v>517.60099999999989</v>
          </cell>
          <cell r="BG36">
            <v>5612</v>
          </cell>
          <cell r="BH36">
            <v>-105.39900000000011</v>
          </cell>
          <cell r="BI36">
            <v>-0.16917977528089911</v>
          </cell>
          <cell r="BJ36">
            <v>-5094.3990000000003</v>
          </cell>
          <cell r="BK36">
            <v>-0.90776888809693512</v>
          </cell>
          <cell r="BL36">
            <v>5612</v>
          </cell>
          <cell r="BM36">
            <v>9.2231111903064836E-2</v>
          </cell>
        </row>
        <row r="37">
          <cell r="B37">
            <v>39722</v>
          </cell>
          <cell r="C37">
            <v>39722</v>
          </cell>
          <cell r="D37" t="str">
            <v>Global</v>
          </cell>
          <cell r="E37">
            <v>5.2882984288225306E-2</v>
          </cell>
          <cell r="F37" t="str">
            <v>c</v>
          </cell>
          <cell r="G37" t="str">
            <v>g</v>
          </cell>
          <cell r="H37" t="str">
            <v>c</v>
          </cell>
          <cell r="I37">
            <v>8.0000000000000071E-2</v>
          </cell>
          <cell r="J37">
            <v>5.0000000000000044E-2</v>
          </cell>
          <cell r="K37">
            <v>3.3349663168401981E-2</v>
          </cell>
          <cell r="L37" t="str">
            <v>c</v>
          </cell>
          <cell r="M37" t="str">
            <v>c</v>
          </cell>
          <cell r="N37" t="str">
            <v>g</v>
          </cell>
          <cell r="O37">
            <v>8.0000000000000071E-2</v>
          </cell>
          <cell r="P37">
            <v>5.0000000000000044E-2</v>
          </cell>
          <cell r="Q37">
            <v>2.7063276789855716E-2</v>
          </cell>
          <cell r="R37" t="str">
            <v>c</v>
          </cell>
          <cell r="S37" t="str">
            <v>c</v>
          </cell>
          <cell r="T37" t="str">
            <v>g</v>
          </cell>
          <cell r="U37">
            <v>8.0000000000000071E-2</v>
          </cell>
          <cell r="V37">
            <v>5.0000000000000044E-2</v>
          </cell>
          <cell r="W37">
            <v>1.423190442007837E-2</v>
          </cell>
          <cell r="X37" t="str">
            <v>c</v>
          </cell>
          <cell r="Y37" t="str">
            <v>c</v>
          </cell>
          <cell r="Z37" t="str">
            <v>g</v>
          </cell>
          <cell r="AA37">
            <v>8.0000000000000071E-2</v>
          </cell>
          <cell r="AB37">
            <v>5.0000000000000044E-2</v>
          </cell>
          <cell r="AC37"/>
          <cell r="AD37">
            <v>39722</v>
          </cell>
          <cell r="AE37" t="str">
            <v>Global</v>
          </cell>
          <cell r="AF37">
            <v>320869.66999999993</v>
          </cell>
          <cell r="AG37">
            <v>0</v>
          </cell>
          <cell r="AH37">
            <v>0</v>
          </cell>
          <cell r="AI37">
            <v>-320869.66999999993</v>
          </cell>
          <cell r="AJ37">
            <v>-1</v>
          </cell>
          <cell r="AK37">
            <v>0</v>
          </cell>
          <cell r="AL37" t="e">
            <v>#DIV/0!</v>
          </cell>
          <cell r="AM37"/>
          <cell r="AN37">
            <v>212</v>
          </cell>
          <cell r="AO37">
            <v>0</v>
          </cell>
          <cell r="AP37">
            <v>0</v>
          </cell>
          <cell r="AQ37">
            <v>-212</v>
          </cell>
          <cell r="AR37">
            <v>-1</v>
          </cell>
          <cell r="AS37">
            <v>0</v>
          </cell>
          <cell r="AT37" t="str">
            <v/>
          </cell>
          <cell r="AU37"/>
          <cell r="AV37">
            <v>1542279.99</v>
          </cell>
          <cell r="AW37">
            <v>1261790.2000000002</v>
          </cell>
          <cell r="AX37">
            <v>7947771</v>
          </cell>
          <cell r="AY37">
            <v>-280489.7899999998</v>
          </cell>
          <cell r="AZ37">
            <v>-0.18186697086045955</v>
          </cell>
          <cell r="BA37">
            <v>-6685980.7999999998</v>
          </cell>
          <cell r="BB37">
            <v>-0.84123973878965563</v>
          </cell>
          <cell r="BC37">
            <v>7947771</v>
          </cell>
          <cell r="BD37">
            <v>0.15876026121034439</v>
          </cell>
          <cell r="BE37">
            <v>835</v>
          </cell>
          <cell r="BF37">
            <v>517.60099999999989</v>
          </cell>
          <cell r="BG37">
            <v>5612</v>
          </cell>
          <cell r="BH37">
            <v>-317.39900000000011</v>
          </cell>
          <cell r="BI37">
            <v>-0.38011856287425161</v>
          </cell>
          <cell r="BJ37">
            <v>-5094.3990000000003</v>
          </cell>
          <cell r="BK37">
            <v>-0.90776888809693512</v>
          </cell>
          <cell r="BL37">
            <v>5612</v>
          </cell>
          <cell r="BM37">
            <v>9.2231111903064836E-2</v>
          </cell>
        </row>
        <row r="38">
          <cell r="B38">
            <v>39753</v>
          </cell>
          <cell r="C38">
            <v>39753</v>
          </cell>
          <cell r="D38" t="str">
            <v>Global</v>
          </cell>
          <cell r="E38">
            <v>8.1430419816102426E-2</v>
          </cell>
          <cell r="F38" t="str">
            <v>g</v>
          </cell>
          <cell r="G38" t="str">
            <v>c</v>
          </cell>
          <cell r="H38" t="str">
            <v>c</v>
          </cell>
          <cell r="I38">
            <v>8.0000000000000071E-2</v>
          </cell>
          <cell r="J38">
            <v>5.0000000000000044E-2</v>
          </cell>
          <cell r="K38">
            <v>4.8693887902612226E-2</v>
          </cell>
          <cell r="L38" t="str">
            <v>c</v>
          </cell>
          <cell r="M38" t="str">
            <v>c</v>
          </cell>
          <cell r="N38" t="str">
            <v>g</v>
          </cell>
          <cell r="O38">
            <v>8.0000000000000071E-2</v>
          </cell>
          <cell r="P38">
            <v>5.0000000000000044E-2</v>
          </cell>
          <cell r="Q38">
            <v>2.7063276789855716E-2</v>
          </cell>
          <cell r="R38" t="str">
            <v>c</v>
          </cell>
          <cell r="S38" t="str">
            <v>c</v>
          </cell>
          <cell r="T38" t="str">
            <v>g</v>
          </cell>
          <cell r="U38">
            <v>8.0000000000000071E-2</v>
          </cell>
          <cell r="V38">
            <v>5.0000000000000044E-2</v>
          </cell>
          <cell r="W38">
            <v>1.423190442007837E-2</v>
          </cell>
          <cell r="X38" t="str">
            <v>c</v>
          </cell>
          <cell r="Y38" t="str">
            <v>c</v>
          </cell>
          <cell r="Z38" t="str">
            <v>g</v>
          </cell>
          <cell r="AA38">
            <v>8.0000000000000071E-2</v>
          </cell>
          <cell r="AB38">
            <v>5.0000000000000044E-2</v>
          </cell>
          <cell r="AC38"/>
          <cell r="AD38">
            <v>39753</v>
          </cell>
          <cell r="AE38" t="str">
            <v>Global</v>
          </cell>
          <cell r="AF38">
            <v>853326.00000000023</v>
          </cell>
          <cell r="AG38">
            <v>0</v>
          </cell>
          <cell r="AH38">
            <v>0</v>
          </cell>
          <cell r="AI38">
            <v>-853326.00000000023</v>
          </cell>
          <cell r="AJ38">
            <v>-1</v>
          </cell>
          <cell r="AK38">
            <v>0</v>
          </cell>
          <cell r="AL38" t="e">
            <v>#DIV/0!</v>
          </cell>
          <cell r="AM38"/>
          <cell r="AN38">
            <v>407.42000000000007</v>
          </cell>
          <cell r="AO38">
            <v>0</v>
          </cell>
          <cell r="AP38">
            <v>0</v>
          </cell>
          <cell r="AQ38">
            <v>-407.42000000000007</v>
          </cell>
          <cell r="AR38">
            <v>-1</v>
          </cell>
          <cell r="AS38">
            <v>0</v>
          </cell>
          <cell r="AT38" t="str">
            <v/>
          </cell>
          <cell r="AU38"/>
          <cell r="AV38">
            <v>2395605.9900000002</v>
          </cell>
          <cell r="AW38">
            <v>1261790.2000000002</v>
          </cell>
          <cell r="AX38">
            <v>7947771</v>
          </cell>
          <cell r="AY38">
            <v>-1133815.79</v>
          </cell>
          <cell r="AZ38">
            <v>-0.47328976247884569</v>
          </cell>
          <cell r="BA38">
            <v>-6685980.7999999998</v>
          </cell>
          <cell r="BB38">
            <v>-0.84123973878965563</v>
          </cell>
          <cell r="BC38">
            <v>7947771</v>
          </cell>
          <cell r="BD38">
            <v>0.15876026121034439</v>
          </cell>
          <cell r="BE38">
            <v>1242.42</v>
          </cell>
          <cell r="BF38">
            <v>517.60099999999989</v>
          </cell>
          <cell r="BG38">
            <v>5612</v>
          </cell>
          <cell r="BH38">
            <v>-724.81900000000019</v>
          </cell>
          <cell r="BI38">
            <v>-0.58339289451232279</v>
          </cell>
          <cell r="BJ38">
            <v>-5094.3990000000003</v>
          </cell>
          <cell r="BK38">
            <v>-0.90776888809693512</v>
          </cell>
          <cell r="BL38">
            <v>5612</v>
          </cell>
          <cell r="BM38">
            <v>9.2231111903064836E-2</v>
          </cell>
        </row>
        <row r="39">
          <cell r="B39">
            <v>39783</v>
          </cell>
          <cell r="C39">
            <v>39783</v>
          </cell>
          <cell r="D39" t="str">
            <v>Global</v>
          </cell>
          <cell r="E39">
            <v>3.1095227524698052E-2</v>
          </cell>
          <cell r="F39" t="str">
            <v>c</v>
          </cell>
          <cell r="G39" t="str">
            <v>c</v>
          </cell>
          <cell r="H39" t="str">
            <v>g</v>
          </cell>
          <cell r="I39">
            <v>8.0000000000000071E-2</v>
          </cell>
          <cell r="J39">
            <v>5.0000000000000044E-2</v>
          </cell>
          <cell r="K39">
            <v>2.1485864534815081E-2</v>
          </cell>
          <cell r="L39" t="str">
            <v>c</v>
          </cell>
          <cell r="M39" t="str">
            <v>c</v>
          </cell>
          <cell r="N39" t="str">
            <v>g</v>
          </cell>
          <cell r="O39">
            <v>8.0000000000000071E-2</v>
          </cell>
          <cell r="P39">
            <v>5.0000000000000044E-2</v>
          </cell>
          <cell r="Q39">
            <v>2.7063276789855716E-2</v>
          </cell>
          <cell r="R39" t="str">
            <v>c</v>
          </cell>
          <cell r="S39" t="str">
            <v>c</v>
          </cell>
          <cell r="T39" t="str">
            <v>g</v>
          </cell>
          <cell r="U39">
            <v>8.0000000000000071E-2</v>
          </cell>
          <cell r="V39">
            <v>5.0000000000000044E-2</v>
          </cell>
          <cell r="W39">
            <v>1.423190442007837E-2</v>
          </cell>
          <cell r="X39" t="str">
            <v>c</v>
          </cell>
          <cell r="Y39" t="str">
            <v>c</v>
          </cell>
          <cell r="Z39" t="str">
            <v>g</v>
          </cell>
          <cell r="AA39">
            <v>8.0000000000000071E-2</v>
          </cell>
          <cell r="AB39">
            <v>5.0000000000000044E-2</v>
          </cell>
          <cell r="AC39"/>
          <cell r="AD39">
            <v>39783</v>
          </cell>
          <cell r="AE39" t="str">
            <v>Global</v>
          </cell>
          <cell r="AF39">
            <v>119921</v>
          </cell>
          <cell r="AG39">
            <v>0</v>
          </cell>
          <cell r="AH39">
            <v>0</v>
          </cell>
          <cell r="AI39">
            <v>-119921</v>
          </cell>
          <cell r="AJ39">
            <v>-1</v>
          </cell>
          <cell r="AK39">
            <v>0</v>
          </cell>
          <cell r="AL39" t="e">
            <v>#DIV/0!</v>
          </cell>
          <cell r="AM39"/>
          <cell r="AN39">
            <v>79.5</v>
          </cell>
          <cell r="AO39">
            <v>0</v>
          </cell>
          <cell r="AP39">
            <v>0</v>
          </cell>
          <cell r="AQ39">
            <v>-79.5</v>
          </cell>
          <cell r="AR39">
            <v>-1</v>
          </cell>
          <cell r="AS39">
            <v>0</v>
          </cell>
          <cell r="AT39" t="str">
            <v/>
          </cell>
          <cell r="AU39"/>
          <cell r="AV39">
            <v>2515526.9900000002</v>
          </cell>
          <cell r="AW39">
            <v>1261790.2000000002</v>
          </cell>
          <cell r="AX39">
            <v>7947771</v>
          </cell>
          <cell r="AY39">
            <v>-1253736.79</v>
          </cell>
          <cell r="AZ39">
            <v>-0.49839925987039402</v>
          </cell>
          <cell r="BA39">
            <v>-6685980.7999999998</v>
          </cell>
          <cell r="BB39">
            <v>-0.84123973878965563</v>
          </cell>
          <cell r="BC39">
            <v>7947771</v>
          </cell>
          <cell r="BD39">
            <v>0.15876026121034439</v>
          </cell>
          <cell r="BE39">
            <v>1321.92</v>
          </cell>
          <cell r="BF39">
            <v>517.60099999999989</v>
          </cell>
          <cell r="BG39">
            <v>5612</v>
          </cell>
          <cell r="BH39">
            <v>-804.31900000000019</v>
          </cell>
          <cell r="BI39">
            <v>-0.60844756112321485</v>
          </cell>
          <cell r="BJ39">
            <v>-5094.3990000000003</v>
          </cell>
          <cell r="BK39">
            <v>-0.90776888809693512</v>
          </cell>
          <cell r="BL39">
            <v>5612</v>
          </cell>
          <cell r="BM39">
            <v>9.2231111903064836E-2</v>
          </cell>
        </row>
        <row r="40">
          <cell r="B40">
            <v>39814</v>
          </cell>
          <cell r="C40"/>
          <cell r="D40" t="str">
            <v>Global</v>
          </cell>
          <cell r="E40" t="str">
            <v/>
          </cell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  <cell r="L40" t="str">
            <v/>
          </cell>
          <cell r="M40" t="str">
            <v/>
          </cell>
          <cell r="N40" t="str">
            <v/>
          </cell>
          <cell r="O40" t="str">
            <v/>
          </cell>
          <cell r="P40" t="str">
            <v/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 t="str">
            <v/>
          </cell>
          <cell r="AA40" t="str">
            <v/>
          </cell>
          <cell r="AB40" t="str">
            <v/>
          </cell>
          <cell r="AC40"/>
          <cell r="AD40">
            <v>39814</v>
          </cell>
          <cell r="AE40" t="str">
            <v>Global</v>
          </cell>
          <cell r="AF40">
            <v>182621.75</v>
          </cell>
          <cell r="AG40" t="str">
            <v/>
          </cell>
          <cell r="AH40" t="str">
            <v/>
          </cell>
          <cell r="AI40" t="str">
            <v/>
          </cell>
          <cell r="AJ40" t="str">
            <v/>
          </cell>
          <cell r="AK40" t="str">
            <v/>
          </cell>
          <cell r="AL40" t="str">
            <v/>
          </cell>
          <cell r="AM40"/>
          <cell r="AN40">
            <v>55.050999999999931</v>
          </cell>
          <cell r="AO40" t="str">
            <v/>
          </cell>
          <cell r="AP40" t="str">
            <v/>
          </cell>
          <cell r="AQ40" t="str">
            <v/>
          </cell>
          <cell r="AR40" t="str">
            <v/>
          </cell>
          <cell r="AS40" t="str">
            <v/>
          </cell>
          <cell r="AT40" t="str">
            <v/>
          </cell>
          <cell r="AU40"/>
          <cell r="AV40">
            <v>182621.75</v>
          </cell>
          <cell r="AW40" t="str">
            <v/>
          </cell>
          <cell r="AX40" t="str">
            <v/>
          </cell>
          <cell r="AY40" t="str">
            <v/>
          </cell>
          <cell r="AZ40" t="str">
            <v/>
          </cell>
          <cell r="BA40" t="str">
            <v/>
          </cell>
          <cell r="BB40" t="str">
            <v/>
          </cell>
          <cell r="BC40">
            <v>0</v>
          </cell>
          <cell r="BD40" t="str">
            <v/>
          </cell>
          <cell r="BE40">
            <v>55.050999999999931</v>
          </cell>
          <cell r="BF40" t="str">
            <v/>
          </cell>
          <cell r="BG40" t="str">
            <v/>
          </cell>
          <cell r="BH40" t="str">
            <v/>
          </cell>
          <cell r="BI40" t="str">
            <v/>
          </cell>
          <cell r="BJ40" t="str">
            <v/>
          </cell>
          <cell r="BK40" t="str">
            <v/>
          </cell>
          <cell r="BL40">
            <v>0</v>
          </cell>
          <cell r="BM40" t="str">
            <v/>
          </cell>
        </row>
        <row r="41">
          <cell r="B41">
            <v>39845</v>
          </cell>
          <cell r="C41"/>
          <cell r="D41" t="str">
            <v>Global</v>
          </cell>
          <cell r="E41" t="str">
            <v/>
          </cell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  <cell r="J41" t="str">
            <v/>
          </cell>
          <cell r="K41" t="str">
            <v/>
          </cell>
          <cell r="L41" t="str">
            <v/>
          </cell>
          <cell r="M41" t="str">
            <v/>
          </cell>
          <cell r="N41" t="str">
            <v/>
          </cell>
          <cell r="O41" t="str">
            <v/>
          </cell>
          <cell r="P41" t="str">
            <v/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/>
          <cell r="V41"/>
          <cell r="W41" t="str">
            <v/>
          </cell>
          <cell r="X41" t="str">
            <v/>
          </cell>
          <cell r="Y41" t="str">
            <v/>
          </cell>
          <cell r="Z41" t="str">
            <v/>
          </cell>
          <cell r="AA41"/>
          <cell r="AB41"/>
          <cell r="AC41"/>
          <cell r="AD41">
            <v>39845</v>
          </cell>
          <cell r="AE41" t="str">
            <v>Global</v>
          </cell>
          <cell r="AF41">
            <v>171382.39999999991</v>
          </cell>
          <cell r="AG41" t="str">
            <v/>
          </cell>
          <cell r="AH41" t="str">
            <v/>
          </cell>
          <cell r="AI41" t="str">
            <v/>
          </cell>
          <cell r="AJ41" t="str">
            <v/>
          </cell>
          <cell r="AK41" t="str">
            <v/>
          </cell>
          <cell r="AL41" t="str">
            <v/>
          </cell>
          <cell r="AM41"/>
          <cell r="AN41">
            <v>97</v>
          </cell>
          <cell r="AO41" t="str">
            <v/>
          </cell>
          <cell r="AP41" t="str">
            <v/>
          </cell>
          <cell r="AQ41" t="str">
            <v/>
          </cell>
          <cell r="AR41" t="str">
            <v/>
          </cell>
          <cell r="AS41" t="str">
            <v/>
          </cell>
          <cell r="AT41" t="str">
            <v/>
          </cell>
          <cell r="AU41"/>
          <cell r="AV41">
            <v>354004.14999999991</v>
          </cell>
          <cell r="AW41" t="str">
            <v/>
          </cell>
          <cell r="AX41" t="str">
            <v/>
          </cell>
          <cell r="AY41" t="str">
            <v/>
          </cell>
          <cell r="AZ41" t="str">
            <v/>
          </cell>
          <cell r="BA41" t="str">
            <v/>
          </cell>
          <cell r="BB41" t="str">
            <v/>
          </cell>
          <cell r="BC41">
            <v>0</v>
          </cell>
          <cell r="BD41"/>
          <cell r="BE41">
            <v>152.05099999999993</v>
          </cell>
          <cell r="BF41" t="str">
            <v/>
          </cell>
          <cell r="BG41" t="str">
            <v/>
          </cell>
          <cell r="BH41" t="str">
            <v/>
          </cell>
          <cell r="BI41" t="str">
            <v/>
          </cell>
          <cell r="BJ41" t="str">
            <v/>
          </cell>
          <cell r="BK41" t="str">
            <v/>
          </cell>
          <cell r="BL41">
            <v>0</v>
          </cell>
          <cell r="BM41"/>
        </row>
        <row r="42">
          <cell r="B42">
            <v>39873</v>
          </cell>
          <cell r="C42"/>
          <cell r="D42" t="str">
            <v>Global</v>
          </cell>
          <cell r="E42" t="str">
            <v/>
          </cell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  <cell r="J42" t="str">
            <v/>
          </cell>
          <cell r="K42" t="str">
            <v/>
          </cell>
          <cell r="L42" t="str">
            <v/>
          </cell>
          <cell r="M42" t="str">
            <v/>
          </cell>
          <cell r="N42" t="str">
            <v/>
          </cell>
          <cell r="O42" t="str">
            <v/>
          </cell>
          <cell r="P42" t="str">
            <v/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/>
          <cell r="V42"/>
          <cell r="W42" t="str">
            <v/>
          </cell>
          <cell r="X42" t="str">
            <v/>
          </cell>
          <cell r="Y42" t="str">
            <v/>
          </cell>
          <cell r="Z42" t="str">
            <v/>
          </cell>
          <cell r="AA42"/>
          <cell r="AB42"/>
          <cell r="AC42"/>
          <cell r="AD42">
            <v>39873</v>
          </cell>
          <cell r="AE42" t="str">
            <v>Global</v>
          </cell>
          <cell r="AF42">
            <v>113093.58000000007</v>
          </cell>
          <cell r="AG42" t="str">
            <v/>
          </cell>
          <cell r="AH42" t="str">
            <v/>
          </cell>
          <cell r="AI42" t="str">
            <v/>
          </cell>
          <cell r="AJ42" t="str">
            <v/>
          </cell>
          <cell r="AK42" t="str">
            <v/>
          </cell>
          <cell r="AL42" t="str">
            <v/>
          </cell>
          <cell r="AM42"/>
          <cell r="AN42">
            <v>52</v>
          </cell>
          <cell r="AO42" t="str">
            <v/>
          </cell>
          <cell r="AP42" t="str">
            <v/>
          </cell>
          <cell r="AQ42" t="str">
            <v/>
          </cell>
          <cell r="AR42" t="str">
            <v/>
          </cell>
          <cell r="AS42" t="str">
            <v/>
          </cell>
          <cell r="AT42" t="str">
            <v/>
          </cell>
          <cell r="AU42"/>
          <cell r="AV42">
            <v>467097.73</v>
          </cell>
          <cell r="AW42" t="str">
            <v/>
          </cell>
          <cell r="AX42" t="str">
            <v/>
          </cell>
          <cell r="AY42" t="str">
            <v/>
          </cell>
          <cell r="AZ42" t="str">
            <v/>
          </cell>
          <cell r="BA42" t="str">
            <v/>
          </cell>
          <cell r="BB42" t="str">
            <v/>
          </cell>
          <cell r="BC42">
            <v>0</v>
          </cell>
          <cell r="BD42"/>
          <cell r="BE42">
            <v>204.05099999999993</v>
          </cell>
          <cell r="BF42" t="str">
            <v/>
          </cell>
          <cell r="BG42" t="str">
            <v/>
          </cell>
          <cell r="BH42" t="str">
            <v/>
          </cell>
          <cell r="BI42" t="str">
            <v/>
          </cell>
          <cell r="BJ42" t="str">
            <v/>
          </cell>
          <cell r="BK42" t="str">
            <v/>
          </cell>
          <cell r="BL42">
            <v>0</v>
          </cell>
          <cell r="BM42"/>
        </row>
        <row r="43">
          <cell r="B43">
            <v>39904</v>
          </cell>
          <cell r="C43"/>
          <cell r="D43" t="str">
            <v>Global</v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 t="str">
            <v/>
          </cell>
          <cell r="L43" t="str">
            <v/>
          </cell>
          <cell r="M43" t="str">
            <v/>
          </cell>
          <cell r="N43" t="str">
            <v/>
          </cell>
          <cell r="O43" t="str">
            <v/>
          </cell>
          <cell r="P43" t="str">
            <v/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/>
          <cell r="V43"/>
          <cell r="W43" t="str">
            <v/>
          </cell>
          <cell r="X43" t="str">
            <v/>
          </cell>
          <cell r="Y43" t="str">
            <v/>
          </cell>
          <cell r="Z43" t="str">
            <v/>
          </cell>
          <cell r="AA43"/>
          <cell r="AB43"/>
          <cell r="AC43"/>
          <cell r="AD43">
            <v>39904</v>
          </cell>
          <cell r="AE43" t="str">
            <v>Global</v>
          </cell>
          <cell r="AF43">
            <v>129795</v>
          </cell>
          <cell r="AG43" t="str">
            <v/>
          </cell>
          <cell r="AH43" t="str">
            <v/>
          </cell>
          <cell r="AI43" t="str">
            <v/>
          </cell>
          <cell r="AJ43" t="str">
            <v/>
          </cell>
          <cell r="AK43" t="str">
            <v/>
          </cell>
          <cell r="AL43" t="str">
            <v/>
          </cell>
          <cell r="AM43"/>
          <cell r="AN43">
            <v>70.799999999999955</v>
          </cell>
          <cell r="AO43" t="str">
            <v/>
          </cell>
          <cell r="AP43" t="str">
            <v/>
          </cell>
          <cell r="AQ43" t="str">
            <v/>
          </cell>
          <cell r="AR43" t="str">
            <v/>
          </cell>
          <cell r="AS43" t="str">
            <v/>
          </cell>
          <cell r="AT43" t="str">
            <v/>
          </cell>
          <cell r="AU43"/>
          <cell r="AV43">
            <v>596892.73</v>
          </cell>
          <cell r="AW43" t="str">
            <v/>
          </cell>
          <cell r="AX43" t="str">
            <v/>
          </cell>
          <cell r="AY43" t="str">
            <v/>
          </cell>
          <cell r="AZ43" t="str">
            <v/>
          </cell>
          <cell r="BA43" t="str">
            <v/>
          </cell>
          <cell r="BB43" t="str">
            <v/>
          </cell>
          <cell r="BC43">
            <v>0</v>
          </cell>
          <cell r="BD43"/>
          <cell r="BE43">
            <v>274.85099999999989</v>
          </cell>
          <cell r="BF43" t="str">
            <v/>
          </cell>
          <cell r="BG43" t="str">
            <v/>
          </cell>
          <cell r="BH43" t="str">
            <v/>
          </cell>
          <cell r="BI43" t="str">
            <v/>
          </cell>
          <cell r="BJ43" t="str">
            <v/>
          </cell>
          <cell r="BK43" t="str">
            <v/>
          </cell>
          <cell r="BL43">
            <v>0</v>
          </cell>
          <cell r="BM43"/>
        </row>
        <row r="44">
          <cell r="B44">
            <v>39934</v>
          </cell>
          <cell r="C44"/>
          <cell r="D44" t="str">
            <v>Global</v>
          </cell>
          <cell r="E44" t="str">
            <v/>
          </cell>
          <cell r="F44" t="str">
            <v/>
          </cell>
          <cell r="G44" t="str">
            <v/>
          </cell>
          <cell r="H44" t="str">
            <v/>
          </cell>
          <cell r="I44" t="str">
            <v/>
          </cell>
          <cell r="J44" t="str">
            <v/>
          </cell>
          <cell r="K44" t="str">
            <v/>
          </cell>
          <cell r="L44" t="str">
            <v/>
          </cell>
          <cell r="M44" t="str">
            <v/>
          </cell>
          <cell r="N44" t="str">
            <v/>
          </cell>
          <cell r="O44" t="str">
            <v/>
          </cell>
          <cell r="P44" t="str">
            <v/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/>
          <cell r="V44"/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  <cell r="AA44"/>
          <cell r="AB44"/>
          <cell r="AC44"/>
          <cell r="AD44">
            <v>39934</v>
          </cell>
          <cell r="AE44" t="str">
            <v>Global</v>
          </cell>
          <cell r="AF44">
            <v>123985</v>
          </cell>
          <cell r="AG44" t="str">
            <v/>
          </cell>
          <cell r="AH44" t="str">
            <v/>
          </cell>
          <cell r="AI44" t="str">
            <v/>
          </cell>
          <cell r="AJ44" t="str">
            <v/>
          </cell>
          <cell r="AK44" t="str">
            <v/>
          </cell>
          <cell r="AL44" t="str">
            <v/>
          </cell>
          <cell r="AM44"/>
          <cell r="AN44">
            <v>52</v>
          </cell>
          <cell r="AO44" t="str">
            <v/>
          </cell>
          <cell r="AP44" t="str">
            <v/>
          </cell>
          <cell r="AQ44" t="str">
            <v/>
          </cell>
          <cell r="AR44" t="str">
            <v/>
          </cell>
          <cell r="AS44" t="str">
            <v/>
          </cell>
          <cell r="AT44" t="str">
            <v/>
          </cell>
          <cell r="AU44"/>
          <cell r="AV44">
            <v>720877.73</v>
          </cell>
          <cell r="AW44" t="str">
            <v/>
          </cell>
          <cell r="AX44" t="str">
            <v/>
          </cell>
          <cell r="AY44" t="str">
            <v/>
          </cell>
          <cell r="AZ44" t="str">
            <v/>
          </cell>
          <cell r="BA44" t="str">
            <v/>
          </cell>
          <cell r="BB44" t="str">
            <v/>
          </cell>
          <cell r="BC44">
            <v>0</v>
          </cell>
          <cell r="BD44"/>
          <cell r="BE44">
            <v>326.85099999999989</v>
          </cell>
          <cell r="BF44" t="str">
            <v/>
          </cell>
          <cell r="BG44" t="str">
            <v/>
          </cell>
          <cell r="BH44" t="str">
            <v/>
          </cell>
          <cell r="BI44" t="str">
            <v/>
          </cell>
          <cell r="BJ44" t="str">
            <v/>
          </cell>
          <cell r="BK44" t="str">
            <v/>
          </cell>
          <cell r="BL44">
            <v>0</v>
          </cell>
          <cell r="BM44"/>
        </row>
        <row r="45">
          <cell r="B45">
            <v>39965</v>
          </cell>
          <cell r="C45"/>
          <cell r="D45" t="str">
            <v>Global</v>
          </cell>
          <cell r="E45" t="str">
            <v/>
          </cell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  <cell r="M45" t="str">
            <v/>
          </cell>
          <cell r="N45" t="str">
            <v/>
          </cell>
          <cell r="O45" t="str">
            <v/>
          </cell>
          <cell r="P45" t="str">
            <v/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/>
          <cell r="V45"/>
          <cell r="W45" t="str">
            <v/>
          </cell>
          <cell r="X45" t="str">
            <v/>
          </cell>
          <cell r="Y45" t="str">
            <v/>
          </cell>
          <cell r="Z45" t="str">
            <v/>
          </cell>
          <cell r="AA45"/>
          <cell r="AB45"/>
          <cell r="AC45"/>
          <cell r="AD45">
            <v>39965</v>
          </cell>
          <cell r="AE45" t="str">
            <v>Global</v>
          </cell>
          <cell r="AF45">
            <v>478379.89000000013</v>
          </cell>
          <cell r="AG45" t="str">
            <v/>
          </cell>
          <cell r="AH45" t="str">
            <v/>
          </cell>
          <cell r="AI45" t="str">
            <v/>
          </cell>
          <cell r="AJ45" t="str">
            <v/>
          </cell>
          <cell r="AK45" t="str">
            <v/>
          </cell>
          <cell r="AL45" t="str">
            <v/>
          </cell>
          <cell r="AM45"/>
          <cell r="AN45">
            <v>164.75</v>
          </cell>
          <cell r="AO45" t="str">
            <v/>
          </cell>
          <cell r="AP45" t="str">
            <v/>
          </cell>
          <cell r="AQ45" t="str">
            <v/>
          </cell>
          <cell r="AR45" t="str">
            <v/>
          </cell>
          <cell r="AS45" t="str">
            <v/>
          </cell>
          <cell r="AT45" t="str">
            <v/>
          </cell>
          <cell r="AU45"/>
          <cell r="AV45">
            <v>1199257.6200000001</v>
          </cell>
          <cell r="AW45" t="str">
            <v/>
          </cell>
          <cell r="AX45" t="str">
            <v/>
          </cell>
          <cell r="AY45" t="str">
            <v/>
          </cell>
          <cell r="AZ45" t="str">
            <v/>
          </cell>
          <cell r="BA45" t="str">
            <v/>
          </cell>
          <cell r="BB45" t="str">
            <v/>
          </cell>
          <cell r="BC45">
            <v>0</v>
          </cell>
          <cell r="BD45"/>
          <cell r="BE45">
            <v>491.60099999999989</v>
          </cell>
          <cell r="BF45" t="str">
            <v/>
          </cell>
          <cell r="BG45" t="str">
            <v/>
          </cell>
          <cell r="BH45" t="str">
            <v/>
          </cell>
          <cell r="BI45" t="str">
            <v/>
          </cell>
          <cell r="BJ45" t="str">
            <v/>
          </cell>
          <cell r="BK45" t="str">
            <v/>
          </cell>
          <cell r="BL45">
            <v>0</v>
          </cell>
          <cell r="BM45"/>
        </row>
        <row r="46">
          <cell r="B46">
            <v>39995</v>
          </cell>
          <cell r="C46"/>
          <cell r="D46" t="str">
            <v>Global</v>
          </cell>
          <cell r="E46" t="str">
            <v/>
          </cell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  <cell r="M46" t="str">
            <v/>
          </cell>
          <cell r="N46" t="str">
            <v/>
          </cell>
          <cell r="O46" t="str">
            <v/>
          </cell>
          <cell r="P46" t="str">
            <v/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/>
          <cell r="V46"/>
          <cell r="W46" t="str">
            <v/>
          </cell>
          <cell r="X46" t="str">
            <v/>
          </cell>
          <cell r="Y46" t="str">
            <v/>
          </cell>
          <cell r="Z46" t="str">
            <v/>
          </cell>
          <cell r="AA46"/>
          <cell r="AB46"/>
          <cell r="AC46"/>
          <cell r="AD46">
            <v>39995</v>
          </cell>
          <cell r="AE46" t="str">
            <v>Global</v>
          </cell>
          <cell r="AF46">
            <v>62532.580000000075</v>
          </cell>
          <cell r="AG46" t="str">
            <v/>
          </cell>
          <cell r="AH46" t="str">
            <v/>
          </cell>
          <cell r="AI46" t="str">
            <v/>
          </cell>
          <cell r="AJ46" t="str">
            <v/>
          </cell>
          <cell r="AK46" t="str">
            <v/>
          </cell>
          <cell r="AL46" t="str">
            <v/>
          </cell>
          <cell r="AM46"/>
          <cell r="AN46">
            <v>26</v>
          </cell>
          <cell r="AO46" t="str">
            <v/>
          </cell>
          <cell r="AP46" t="str">
            <v/>
          </cell>
          <cell r="AQ46" t="str">
            <v/>
          </cell>
          <cell r="AR46" t="str">
            <v/>
          </cell>
          <cell r="AS46" t="str">
            <v/>
          </cell>
          <cell r="AT46" t="str">
            <v/>
          </cell>
          <cell r="AU46"/>
          <cell r="AV46">
            <v>1261790.2000000002</v>
          </cell>
          <cell r="AW46" t="str">
            <v/>
          </cell>
          <cell r="AX46" t="str">
            <v/>
          </cell>
          <cell r="AY46" t="str">
            <v/>
          </cell>
          <cell r="AZ46" t="str">
            <v/>
          </cell>
          <cell r="BA46" t="str">
            <v/>
          </cell>
          <cell r="BB46" t="str">
            <v/>
          </cell>
          <cell r="BC46">
            <v>0</v>
          </cell>
          <cell r="BD46"/>
          <cell r="BE46">
            <v>517.60099999999989</v>
          </cell>
          <cell r="BF46" t="str">
            <v/>
          </cell>
          <cell r="BG46" t="str">
            <v/>
          </cell>
          <cell r="BH46" t="str">
            <v/>
          </cell>
          <cell r="BI46" t="str">
            <v/>
          </cell>
          <cell r="BJ46" t="str">
            <v/>
          </cell>
          <cell r="BK46" t="str">
            <v/>
          </cell>
          <cell r="BL46">
            <v>0</v>
          </cell>
          <cell r="BM46"/>
        </row>
        <row r="47">
          <cell r="B47">
            <v>40026</v>
          </cell>
          <cell r="C47"/>
          <cell r="D47" t="str">
            <v>Global</v>
          </cell>
          <cell r="E47" t="str">
            <v/>
          </cell>
          <cell r="F47" t="str">
            <v/>
          </cell>
          <cell r="G47" t="str">
            <v/>
          </cell>
          <cell r="H47" t="str">
            <v/>
          </cell>
          <cell r="I47" t="str">
            <v/>
          </cell>
          <cell r="J47" t="str">
            <v/>
          </cell>
          <cell r="K47" t="str">
            <v/>
          </cell>
          <cell r="L47" t="str">
            <v/>
          </cell>
          <cell r="M47" t="str">
            <v/>
          </cell>
          <cell r="N47" t="str">
            <v/>
          </cell>
          <cell r="O47" t="str">
            <v/>
          </cell>
          <cell r="P47" t="str">
            <v/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/>
          <cell r="V47"/>
          <cell r="W47" t="str">
            <v/>
          </cell>
          <cell r="X47" t="str">
            <v/>
          </cell>
          <cell r="Y47" t="str">
            <v/>
          </cell>
          <cell r="Z47" t="str">
            <v/>
          </cell>
          <cell r="AA47"/>
          <cell r="AB47"/>
          <cell r="AC47"/>
          <cell r="AD47">
            <v>40026</v>
          </cell>
          <cell r="AE47" t="str">
            <v>Global</v>
          </cell>
          <cell r="AF47">
            <v>0</v>
          </cell>
          <cell r="AG47" t="str">
            <v/>
          </cell>
          <cell r="AH47" t="str">
            <v/>
          </cell>
          <cell r="AI47" t="str">
            <v/>
          </cell>
          <cell r="AJ47" t="str">
            <v/>
          </cell>
          <cell r="AK47" t="str">
            <v/>
          </cell>
          <cell r="AL47" t="str">
            <v/>
          </cell>
          <cell r="AM47"/>
          <cell r="AN47">
            <v>0</v>
          </cell>
          <cell r="AO47" t="str">
            <v/>
          </cell>
          <cell r="AP47" t="str">
            <v/>
          </cell>
          <cell r="AQ47" t="str">
            <v/>
          </cell>
          <cell r="AR47" t="str">
            <v/>
          </cell>
          <cell r="AS47" t="str">
            <v/>
          </cell>
          <cell r="AT47" t="str">
            <v/>
          </cell>
          <cell r="AU47"/>
          <cell r="AV47">
            <v>1261790.2000000002</v>
          </cell>
          <cell r="AW47" t="str">
            <v/>
          </cell>
          <cell r="AX47" t="str">
            <v/>
          </cell>
          <cell r="AY47" t="str">
            <v/>
          </cell>
          <cell r="AZ47" t="str">
            <v/>
          </cell>
          <cell r="BA47" t="str">
            <v/>
          </cell>
          <cell r="BB47" t="str">
            <v/>
          </cell>
          <cell r="BC47">
            <v>0</v>
          </cell>
          <cell r="BD47"/>
          <cell r="BE47">
            <v>517.60099999999989</v>
          </cell>
          <cell r="BF47" t="str">
            <v/>
          </cell>
          <cell r="BG47" t="str">
            <v/>
          </cell>
          <cell r="BH47" t="str">
            <v/>
          </cell>
          <cell r="BI47" t="str">
            <v/>
          </cell>
          <cell r="BJ47" t="str">
            <v/>
          </cell>
          <cell r="BK47" t="str">
            <v/>
          </cell>
          <cell r="BL47">
            <v>0</v>
          </cell>
          <cell r="BM47"/>
        </row>
        <row r="48">
          <cell r="B48">
            <v>40057</v>
          </cell>
          <cell r="C48"/>
          <cell r="D48" t="str">
            <v>Global</v>
          </cell>
          <cell r="E48" t="str">
            <v/>
          </cell>
          <cell r="F48" t="str">
            <v/>
          </cell>
          <cell r="G48" t="str">
            <v/>
          </cell>
          <cell r="H48" t="str">
            <v/>
          </cell>
          <cell r="I48" t="str">
            <v/>
          </cell>
          <cell r="J48" t="str">
            <v/>
          </cell>
          <cell r="K48" t="str">
            <v/>
          </cell>
          <cell r="L48" t="str">
            <v/>
          </cell>
          <cell r="M48" t="str">
            <v/>
          </cell>
          <cell r="N48" t="str">
            <v/>
          </cell>
          <cell r="O48" t="str">
            <v/>
          </cell>
          <cell r="P48" t="str">
            <v/>
          </cell>
          <cell r="Q48" t="str">
            <v/>
          </cell>
          <cell r="R48" t="str">
            <v/>
          </cell>
          <cell r="S48" t="str">
            <v/>
          </cell>
          <cell r="T48" t="str">
            <v/>
          </cell>
          <cell r="U48"/>
          <cell r="V48"/>
          <cell r="W48" t="str">
            <v/>
          </cell>
          <cell r="X48" t="str">
            <v/>
          </cell>
          <cell r="Y48" t="str">
            <v/>
          </cell>
          <cell r="Z48" t="str">
            <v/>
          </cell>
          <cell r="AA48"/>
          <cell r="AB48"/>
          <cell r="AC48"/>
          <cell r="AD48">
            <v>40057</v>
          </cell>
          <cell r="AE48" t="str">
            <v>Global</v>
          </cell>
          <cell r="AF48">
            <v>0</v>
          </cell>
          <cell r="AG48" t="str">
            <v/>
          </cell>
          <cell r="AH48" t="str">
            <v/>
          </cell>
          <cell r="AI48" t="str">
            <v/>
          </cell>
          <cell r="AJ48" t="str">
            <v/>
          </cell>
          <cell r="AK48" t="str">
            <v/>
          </cell>
          <cell r="AL48" t="str">
            <v/>
          </cell>
          <cell r="AM48"/>
          <cell r="AN48">
            <v>0</v>
          </cell>
          <cell r="AO48" t="str">
            <v/>
          </cell>
          <cell r="AP48" t="str">
            <v/>
          </cell>
          <cell r="AQ48" t="str">
            <v/>
          </cell>
          <cell r="AR48" t="str">
            <v/>
          </cell>
          <cell r="AS48" t="str">
            <v/>
          </cell>
          <cell r="AT48" t="str">
            <v/>
          </cell>
          <cell r="AU48"/>
          <cell r="AV48">
            <v>1261790.2000000002</v>
          </cell>
          <cell r="AW48" t="str">
            <v/>
          </cell>
          <cell r="AX48" t="str">
            <v/>
          </cell>
          <cell r="AY48" t="str">
            <v/>
          </cell>
          <cell r="AZ48" t="str">
            <v/>
          </cell>
          <cell r="BA48" t="str">
            <v/>
          </cell>
          <cell r="BB48" t="str">
            <v/>
          </cell>
          <cell r="BC48">
            <v>0</v>
          </cell>
          <cell r="BD48"/>
          <cell r="BE48">
            <v>517.60099999999989</v>
          </cell>
          <cell r="BF48" t="str">
            <v/>
          </cell>
          <cell r="BG48" t="str">
            <v/>
          </cell>
          <cell r="BH48" t="str">
            <v/>
          </cell>
          <cell r="BI48" t="str">
            <v/>
          </cell>
          <cell r="BJ48" t="str">
            <v/>
          </cell>
          <cell r="BK48" t="str">
            <v/>
          </cell>
          <cell r="BL48">
            <v>0</v>
          </cell>
          <cell r="BM48"/>
        </row>
        <row r="49">
          <cell r="B49">
            <v>40087</v>
          </cell>
          <cell r="C49"/>
          <cell r="D49" t="str">
            <v>Global</v>
          </cell>
          <cell r="E49" t="str">
            <v/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  <cell r="L49" t="str">
            <v/>
          </cell>
          <cell r="M49" t="str">
            <v/>
          </cell>
          <cell r="N49" t="str">
            <v/>
          </cell>
          <cell r="O49" t="str">
            <v/>
          </cell>
          <cell r="P49" t="str">
            <v/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  <cell r="U49"/>
          <cell r="V49"/>
          <cell r="W49" t="str">
            <v/>
          </cell>
          <cell r="X49" t="str">
            <v/>
          </cell>
          <cell r="Y49" t="str">
            <v/>
          </cell>
          <cell r="Z49" t="str">
            <v/>
          </cell>
          <cell r="AA49"/>
          <cell r="AB49"/>
          <cell r="AC49"/>
          <cell r="AD49">
            <v>40087</v>
          </cell>
          <cell r="AE49" t="str">
            <v>Global</v>
          </cell>
          <cell r="AF49">
            <v>0</v>
          </cell>
          <cell r="AG49" t="str">
            <v/>
          </cell>
          <cell r="AH49" t="str">
            <v/>
          </cell>
          <cell r="AI49" t="str">
            <v/>
          </cell>
          <cell r="AJ49" t="str">
            <v/>
          </cell>
          <cell r="AK49" t="str">
            <v/>
          </cell>
          <cell r="AL49" t="str">
            <v/>
          </cell>
          <cell r="AM49"/>
          <cell r="AN49">
            <v>0</v>
          </cell>
          <cell r="AO49" t="str">
            <v/>
          </cell>
          <cell r="AP49" t="str">
            <v/>
          </cell>
          <cell r="AQ49" t="str">
            <v/>
          </cell>
          <cell r="AR49" t="str">
            <v/>
          </cell>
          <cell r="AS49" t="str">
            <v/>
          </cell>
          <cell r="AT49" t="str">
            <v/>
          </cell>
          <cell r="AU49"/>
          <cell r="AV49">
            <v>1261790.2000000002</v>
          </cell>
          <cell r="AW49" t="str">
            <v/>
          </cell>
          <cell r="AX49" t="str">
            <v/>
          </cell>
          <cell r="AY49" t="str">
            <v/>
          </cell>
          <cell r="AZ49" t="str">
            <v/>
          </cell>
          <cell r="BA49" t="str">
            <v/>
          </cell>
          <cell r="BB49" t="str">
            <v/>
          </cell>
          <cell r="BC49">
            <v>0</v>
          </cell>
          <cell r="BD49"/>
          <cell r="BE49">
            <v>517.60099999999989</v>
          </cell>
          <cell r="BF49" t="str">
            <v/>
          </cell>
          <cell r="BG49" t="str">
            <v/>
          </cell>
          <cell r="BH49" t="str">
            <v/>
          </cell>
          <cell r="BI49" t="str">
            <v/>
          </cell>
          <cell r="BJ49" t="str">
            <v/>
          </cell>
          <cell r="BK49" t="str">
            <v/>
          </cell>
          <cell r="BL49">
            <v>0</v>
          </cell>
          <cell r="BM49"/>
        </row>
      </sheetData>
      <sheetData sheetId="83"/>
      <sheetData sheetId="84">
        <row r="13">
          <cell r="C13"/>
          <cell r="D13"/>
          <cell r="E13" t="str">
            <v>Mensual</v>
          </cell>
          <cell r="F13"/>
          <cell r="G13"/>
          <cell r="H13"/>
          <cell r="I13"/>
          <cell r="J13"/>
          <cell r="K13"/>
          <cell r="L13"/>
          <cell r="M13"/>
          <cell r="N13"/>
          <cell r="O13"/>
          <cell r="P13"/>
          <cell r="Q13"/>
          <cell r="R13"/>
          <cell r="S13"/>
          <cell r="T13"/>
          <cell r="U13"/>
          <cell r="V13"/>
          <cell r="W13"/>
          <cell r="X13"/>
          <cell r="Y13" t="str">
            <v>Acumulado</v>
          </cell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/>
          <cell r="AS13"/>
          <cell r="AT13"/>
          <cell r="AU13"/>
          <cell r="AW13"/>
          <cell r="AX13"/>
          <cell r="AY13"/>
          <cell r="AZ13"/>
          <cell r="BA13"/>
          <cell r="BB13"/>
          <cell r="BC13"/>
          <cell r="BD13"/>
          <cell r="BE13"/>
          <cell r="BF13"/>
          <cell r="BG13"/>
          <cell r="BH13"/>
          <cell r="BI13"/>
          <cell r="BJ13"/>
          <cell r="BK13"/>
          <cell r="BL13"/>
          <cell r="BM13"/>
          <cell r="BN13"/>
        </row>
        <row r="14">
          <cell r="C14"/>
          <cell r="D14"/>
          <cell r="E14" t="str">
            <v>%</v>
          </cell>
          <cell r="F14" t="str">
            <v>Ventas reales &amp; proyectados en dolares</v>
          </cell>
          <cell r="G14"/>
          <cell r="H14"/>
          <cell r="I14"/>
          <cell r="J14"/>
          <cell r="K14"/>
          <cell r="L14"/>
          <cell r="M14"/>
          <cell r="N14"/>
          <cell r="O14" t="str">
            <v>%</v>
          </cell>
          <cell r="P14" t="str">
            <v>Cumplimiento de la Ventas reales &amp; proyectados en TM</v>
          </cell>
          <cell r="Q14"/>
          <cell r="R14"/>
          <cell r="S14"/>
          <cell r="T14"/>
          <cell r="U14"/>
          <cell r="V14"/>
          <cell r="W14"/>
          <cell r="X14"/>
          <cell r="Y14" t="str">
            <v>%</v>
          </cell>
          <cell r="Z14" t="str">
            <v>Acum.  Ventas reales &amp; proyectados en dolares</v>
          </cell>
          <cell r="AA14"/>
          <cell r="AB14"/>
          <cell r="AC14"/>
          <cell r="AD14"/>
          <cell r="AE14"/>
          <cell r="AF14"/>
          <cell r="AG14"/>
          <cell r="AH14"/>
          <cell r="AI14" t="str">
            <v>%</v>
          </cell>
          <cell r="AJ14" t="str">
            <v>Acum. Ventas reales &amp; proyectados en TM</v>
          </cell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 t="str">
            <v>Ventas reales &amp; proyectados en dolares</v>
          </cell>
          <cell r="AW14"/>
          <cell r="AX14"/>
          <cell r="AY14" t="str">
            <v>Var 1.</v>
          </cell>
          <cell r="AZ14"/>
          <cell r="BA14" t="str">
            <v>Var. 2</v>
          </cell>
          <cell r="BB14"/>
          <cell r="BC14"/>
          <cell r="BD14" t="str">
            <v>Ventas reales &amp; proyectados en  TM</v>
          </cell>
          <cell r="BE14"/>
          <cell r="BF14"/>
          <cell r="BG14" t="str">
            <v>Var 1.</v>
          </cell>
          <cell r="BH14"/>
          <cell r="BI14" t="str">
            <v>Var. 2</v>
          </cell>
          <cell r="BJ14"/>
          <cell r="BK14"/>
          <cell r="BL14" t="str">
            <v>Acum. Ventas reales &amp; proyectados en dolares</v>
          </cell>
          <cell r="BM14"/>
          <cell r="BN14"/>
          <cell r="BO14" t="str">
            <v>Var 1.</v>
          </cell>
          <cell r="BP14"/>
          <cell r="BQ14" t="str">
            <v>Var. 2</v>
          </cell>
          <cell r="BR14"/>
          <cell r="BS14" t="str">
            <v>Acumula</v>
          </cell>
          <cell r="BT14"/>
          <cell r="BU14" t="str">
            <v>Acum. Ventas reales &amp; proyectados en  TM</v>
          </cell>
          <cell r="BV14"/>
          <cell r="BW14"/>
          <cell r="BX14" t="str">
            <v>Var 1.</v>
          </cell>
          <cell r="BY14"/>
          <cell r="BZ14" t="str">
            <v>Var. 2</v>
          </cell>
          <cell r="CA14"/>
          <cell r="CB14" t="str">
            <v>Acumula</v>
          </cell>
          <cell r="CC14"/>
        </row>
        <row r="15">
          <cell r="C15" t="str">
            <v>Fecha</v>
          </cell>
          <cell r="D15" t="str">
            <v>TIPO2</v>
          </cell>
          <cell r="E15"/>
          <cell r="F15" t="str">
            <v>Performance</v>
          </cell>
          <cell r="G15"/>
          <cell r="H15"/>
          <cell r="I15"/>
          <cell r="J15"/>
          <cell r="K15" t="str">
            <v>Sup 2</v>
          </cell>
          <cell r="L15" t="str">
            <v>Sup 1</v>
          </cell>
          <cell r="M15" t="str">
            <v>Inf 1</v>
          </cell>
          <cell r="N15" t="str">
            <v>Inf 2</v>
          </cell>
          <cell r="O15"/>
          <cell r="P15" t="str">
            <v>Performance</v>
          </cell>
          <cell r="Q15"/>
          <cell r="R15"/>
          <cell r="S15"/>
          <cell r="T15"/>
          <cell r="U15" t="str">
            <v>Sup 2</v>
          </cell>
          <cell r="V15" t="str">
            <v>Sup 1</v>
          </cell>
          <cell r="W15" t="str">
            <v>Inf 1</v>
          </cell>
          <cell r="X15" t="str">
            <v>Inf 2</v>
          </cell>
          <cell r="Y15"/>
          <cell r="Z15" t="str">
            <v>Performance</v>
          </cell>
          <cell r="AA15"/>
          <cell r="AB15"/>
          <cell r="AC15"/>
          <cell r="AD15"/>
          <cell r="AE15" t="str">
            <v>Sup 2</v>
          </cell>
          <cell r="AF15" t="str">
            <v>Sup 1</v>
          </cell>
          <cell r="AG15" t="str">
            <v>Inf 1</v>
          </cell>
          <cell r="AH15" t="str">
            <v>Inf 2</v>
          </cell>
          <cell r="AI15"/>
          <cell r="AJ15" t="str">
            <v>Performance</v>
          </cell>
          <cell r="AK15"/>
          <cell r="AL15"/>
          <cell r="AM15"/>
          <cell r="AN15"/>
          <cell r="AO15" t="str">
            <v>Sup 2</v>
          </cell>
          <cell r="AP15" t="str">
            <v>Sup 1</v>
          </cell>
          <cell r="AQ15" t="str">
            <v>Inf 1</v>
          </cell>
          <cell r="AR15" t="str">
            <v>Inf 2</v>
          </cell>
          <cell r="AS15"/>
          <cell r="AT15" t="str">
            <v>Fecha</v>
          </cell>
          <cell r="AU15" t="str">
            <v>TIPO2</v>
          </cell>
          <cell r="AV15" t="str">
            <v>Anteriores</v>
          </cell>
          <cell r="AW15" t="str">
            <v>Real</v>
          </cell>
          <cell r="AX15" t="str">
            <v>Programado</v>
          </cell>
          <cell r="AY15" t="str">
            <v>Unidades</v>
          </cell>
          <cell r="AZ15" t="str">
            <v>%</v>
          </cell>
          <cell r="BA15" t="str">
            <v>Unidades</v>
          </cell>
          <cell r="BB15" t="str">
            <v>%</v>
          </cell>
          <cell r="BC15"/>
          <cell r="BD15" t="str">
            <v>Anteriores</v>
          </cell>
          <cell r="BE15" t="str">
            <v>Real</v>
          </cell>
          <cell r="BF15" t="str">
            <v>Programado</v>
          </cell>
          <cell r="BG15" t="str">
            <v>Unidades</v>
          </cell>
          <cell r="BH15" t="str">
            <v>%</v>
          </cell>
          <cell r="BI15" t="str">
            <v>Unidades</v>
          </cell>
          <cell r="BJ15" t="str">
            <v>%</v>
          </cell>
          <cell r="BK15"/>
          <cell r="BL15" t="str">
            <v>Anterior</v>
          </cell>
          <cell r="BM15" t="str">
            <v>Real</v>
          </cell>
          <cell r="BN15" t="str">
            <v>Programado</v>
          </cell>
          <cell r="BO15" t="str">
            <v>Unidades</v>
          </cell>
          <cell r="BP15" t="str">
            <v>%</v>
          </cell>
          <cell r="BQ15" t="str">
            <v>Unidades</v>
          </cell>
          <cell r="BR15" t="str">
            <v>%</v>
          </cell>
          <cell r="BS15" t="str">
            <v>PPTO</v>
          </cell>
          <cell r="BT15" t="str">
            <v>Avance</v>
          </cell>
          <cell r="BU15" t="str">
            <v>Anteriores</v>
          </cell>
          <cell r="BV15" t="str">
            <v>Real</v>
          </cell>
          <cell r="BW15" t="str">
            <v>Programado</v>
          </cell>
          <cell r="BX15" t="str">
            <v>Unidades</v>
          </cell>
          <cell r="BY15" t="str">
            <v>%</v>
          </cell>
          <cell r="BZ15" t="str">
            <v>Unidades</v>
          </cell>
          <cell r="CA15" t="str">
            <v>%</v>
          </cell>
          <cell r="CB15" t="str">
            <v>PPTO</v>
          </cell>
          <cell r="CC15" t="str">
            <v>Avance</v>
          </cell>
        </row>
        <row r="16">
          <cell r="C16">
            <v>39083</v>
          </cell>
          <cell r="D16" t="str">
            <v>TOTAL</v>
          </cell>
          <cell r="E16">
            <v>0</v>
          </cell>
          <cell r="F16" t="str">
            <v>c</v>
          </cell>
          <cell r="G16" t="str">
            <v>c</v>
          </cell>
          <cell r="H16" t="str">
            <v>c</v>
          </cell>
          <cell r="I16" t="str">
            <v>c</v>
          </cell>
          <cell r="J16" t="str">
            <v>g</v>
          </cell>
          <cell r="K16">
            <v>1.1000000000000001</v>
          </cell>
          <cell r="L16">
            <v>1.05</v>
          </cell>
          <cell r="M16">
            <v>0.95</v>
          </cell>
          <cell r="N16">
            <v>0.9</v>
          </cell>
          <cell r="O16">
            <v>0</v>
          </cell>
          <cell r="P16" t="str">
            <v>c</v>
          </cell>
          <cell r="Q16" t="str">
            <v>c</v>
          </cell>
          <cell r="R16" t="str">
            <v>c</v>
          </cell>
          <cell r="S16" t="str">
            <v>c</v>
          </cell>
          <cell r="T16" t="str">
            <v>g</v>
          </cell>
          <cell r="U16">
            <v>1.1000000000000001</v>
          </cell>
          <cell r="V16">
            <v>1.05</v>
          </cell>
          <cell r="W16">
            <v>0.95</v>
          </cell>
          <cell r="X16">
            <v>0.9</v>
          </cell>
          <cell r="Y16">
            <v>0</v>
          </cell>
          <cell r="Z16" t="str">
            <v>c</v>
          </cell>
          <cell r="AA16" t="str">
            <v>c</v>
          </cell>
          <cell r="AB16" t="str">
            <v>c</v>
          </cell>
          <cell r="AC16" t="str">
            <v>c</v>
          </cell>
          <cell r="AD16" t="str">
            <v>g</v>
          </cell>
          <cell r="AE16">
            <v>1.1000000000000001</v>
          </cell>
          <cell r="AF16">
            <v>1.05</v>
          </cell>
          <cell r="AG16">
            <v>0.95</v>
          </cell>
          <cell r="AH16">
            <v>0.9</v>
          </cell>
          <cell r="AI16">
            <v>0</v>
          </cell>
          <cell r="AJ16" t="str">
            <v>c</v>
          </cell>
          <cell r="AK16" t="str">
            <v>c</v>
          </cell>
          <cell r="AL16" t="str">
            <v>c</v>
          </cell>
          <cell r="AM16" t="str">
            <v>c</v>
          </cell>
          <cell r="AN16" t="str">
            <v>g</v>
          </cell>
          <cell r="AO16">
            <v>1.1000000000000001</v>
          </cell>
          <cell r="AP16">
            <v>1.05</v>
          </cell>
          <cell r="AQ16">
            <v>0.95</v>
          </cell>
          <cell r="AR16">
            <v>0.9</v>
          </cell>
          <cell r="AS16"/>
          <cell r="AT16">
            <v>39083</v>
          </cell>
          <cell r="AU16" t="str">
            <v>TOTAL</v>
          </cell>
          <cell r="AV16"/>
          <cell r="AW16">
            <v>0</v>
          </cell>
          <cell r="AX16">
            <v>0</v>
          </cell>
          <cell r="AY16">
            <v>0</v>
          </cell>
          <cell r="AZ16"/>
          <cell r="BA16">
            <v>0</v>
          </cell>
          <cell r="BB16" t="e">
            <v>#DIV/0!</v>
          </cell>
          <cell r="BC16"/>
          <cell r="BD16"/>
          <cell r="BE16">
            <v>0</v>
          </cell>
          <cell r="BF16">
            <v>0</v>
          </cell>
          <cell r="BG16">
            <v>0</v>
          </cell>
          <cell r="BH16"/>
          <cell r="BI16">
            <v>0</v>
          </cell>
          <cell r="BJ16" t="e">
            <v>#DIV/0!</v>
          </cell>
          <cell r="BK16"/>
          <cell r="BL16"/>
          <cell r="BM16">
            <v>0</v>
          </cell>
          <cell r="BN16">
            <v>0</v>
          </cell>
          <cell r="BO16">
            <v>0</v>
          </cell>
          <cell r="BP16"/>
          <cell r="BQ16">
            <v>0</v>
          </cell>
          <cell r="BR16" t="str">
            <v/>
          </cell>
          <cell r="BS16">
            <v>0</v>
          </cell>
          <cell r="BT16" t="e">
            <v>#DIV/0!</v>
          </cell>
          <cell r="BU16"/>
          <cell r="BV16">
            <v>0</v>
          </cell>
          <cell r="BW16">
            <v>0</v>
          </cell>
          <cell r="BX16">
            <v>0</v>
          </cell>
          <cell r="BY16"/>
          <cell r="BZ16">
            <v>0</v>
          </cell>
          <cell r="CA16" t="str">
            <v/>
          </cell>
          <cell r="CB16">
            <v>0</v>
          </cell>
          <cell r="CC16" t="str">
            <v/>
          </cell>
        </row>
        <row r="17">
          <cell r="C17">
            <v>39114</v>
          </cell>
          <cell r="D17" t="str">
            <v>TOTAL</v>
          </cell>
          <cell r="E17">
            <v>0</v>
          </cell>
          <cell r="F17" t="str">
            <v>c</v>
          </cell>
          <cell r="G17" t="str">
            <v>c</v>
          </cell>
          <cell r="H17" t="str">
            <v>c</v>
          </cell>
          <cell r="I17" t="str">
            <v>c</v>
          </cell>
          <cell r="J17" t="str">
            <v>g</v>
          </cell>
          <cell r="K17">
            <v>1.1000000000000001</v>
          </cell>
          <cell r="L17">
            <v>1.05</v>
          </cell>
          <cell r="M17">
            <v>0.95</v>
          </cell>
          <cell r="N17">
            <v>0.9</v>
          </cell>
          <cell r="O17">
            <v>0</v>
          </cell>
          <cell r="P17" t="str">
            <v>c</v>
          </cell>
          <cell r="Q17" t="str">
            <v>c</v>
          </cell>
          <cell r="R17" t="str">
            <v>c</v>
          </cell>
          <cell r="S17" t="str">
            <v>c</v>
          </cell>
          <cell r="T17" t="str">
            <v>g</v>
          </cell>
          <cell r="U17">
            <v>1.1000000000000001</v>
          </cell>
          <cell r="V17">
            <v>1.05</v>
          </cell>
          <cell r="W17">
            <v>0.95</v>
          </cell>
          <cell r="X17">
            <v>0.9</v>
          </cell>
          <cell r="Y17">
            <v>0</v>
          </cell>
          <cell r="Z17" t="str">
            <v>c</v>
          </cell>
          <cell r="AA17" t="str">
            <v>c</v>
          </cell>
          <cell r="AB17" t="str">
            <v>c</v>
          </cell>
          <cell r="AC17" t="str">
            <v>c</v>
          </cell>
          <cell r="AD17" t="str">
            <v>g</v>
          </cell>
          <cell r="AE17">
            <v>1.1000000000000001</v>
          </cell>
          <cell r="AF17">
            <v>1.05</v>
          </cell>
          <cell r="AG17">
            <v>0.95</v>
          </cell>
          <cell r="AH17">
            <v>0.9</v>
          </cell>
          <cell r="AI17">
            <v>0</v>
          </cell>
          <cell r="AJ17" t="str">
            <v>c</v>
          </cell>
          <cell r="AK17" t="str">
            <v>c</v>
          </cell>
          <cell r="AL17" t="str">
            <v>c</v>
          </cell>
          <cell r="AM17" t="str">
            <v>c</v>
          </cell>
          <cell r="AN17" t="str">
            <v>g</v>
          </cell>
          <cell r="AO17">
            <v>1.1000000000000001</v>
          </cell>
          <cell r="AP17">
            <v>1.05</v>
          </cell>
          <cell r="AQ17">
            <v>0.95</v>
          </cell>
          <cell r="AR17">
            <v>0.9</v>
          </cell>
          <cell r="AS17"/>
          <cell r="AT17">
            <v>39114</v>
          </cell>
          <cell r="AU17" t="str">
            <v>TOTAL</v>
          </cell>
          <cell r="AV17"/>
          <cell r="AW17">
            <v>0</v>
          </cell>
          <cell r="AX17">
            <v>0</v>
          </cell>
          <cell r="AY17">
            <v>0</v>
          </cell>
          <cell r="AZ17"/>
          <cell r="BA17">
            <v>0</v>
          </cell>
          <cell r="BB17" t="e">
            <v>#DIV/0!</v>
          </cell>
          <cell r="BC17"/>
          <cell r="BD17"/>
          <cell r="BE17">
            <v>0</v>
          </cell>
          <cell r="BF17">
            <v>0</v>
          </cell>
          <cell r="BG17">
            <v>0</v>
          </cell>
          <cell r="BH17"/>
          <cell r="BI17">
            <v>0</v>
          </cell>
          <cell r="BJ17" t="e">
            <v>#DIV/0!</v>
          </cell>
          <cell r="BK17"/>
          <cell r="BL17"/>
          <cell r="BM17">
            <v>0</v>
          </cell>
          <cell r="BN17">
            <v>0</v>
          </cell>
          <cell r="BO17">
            <v>0</v>
          </cell>
          <cell r="BP17"/>
          <cell r="BQ17">
            <v>0</v>
          </cell>
          <cell r="BR17" t="str">
            <v/>
          </cell>
          <cell r="BS17">
            <v>0</v>
          </cell>
          <cell r="BT17" t="e">
            <v>#DIV/0!</v>
          </cell>
          <cell r="BU17"/>
          <cell r="BV17">
            <v>0</v>
          </cell>
          <cell r="BW17">
            <v>0</v>
          </cell>
          <cell r="BX17">
            <v>0</v>
          </cell>
          <cell r="BY17"/>
          <cell r="BZ17">
            <v>0</v>
          </cell>
          <cell r="CA17" t="str">
            <v/>
          </cell>
          <cell r="CB17">
            <v>0</v>
          </cell>
          <cell r="CC17" t="str">
            <v/>
          </cell>
        </row>
        <row r="18">
          <cell r="C18">
            <v>39142</v>
          </cell>
          <cell r="D18" t="str">
            <v>TOTAL</v>
          </cell>
          <cell r="E18">
            <v>0</v>
          </cell>
          <cell r="F18" t="str">
            <v>c</v>
          </cell>
          <cell r="G18" t="str">
            <v>c</v>
          </cell>
          <cell r="H18" t="str">
            <v>c</v>
          </cell>
          <cell r="I18" t="str">
            <v>c</v>
          </cell>
          <cell r="J18" t="str">
            <v>g</v>
          </cell>
          <cell r="K18">
            <v>1.1000000000000001</v>
          </cell>
          <cell r="L18">
            <v>1.05</v>
          </cell>
          <cell r="M18">
            <v>0.95</v>
          </cell>
          <cell r="N18">
            <v>0.9</v>
          </cell>
          <cell r="O18">
            <v>0</v>
          </cell>
          <cell r="P18" t="str">
            <v>c</v>
          </cell>
          <cell r="Q18" t="str">
            <v>c</v>
          </cell>
          <cell r="R18" t="str">
            <v>c</v>
          </cell>
          <cell r="S18" t="str">
            <v>c</v>
          </cell>
          <cell r="T18" t="str">
            <v>g</v>
          </cell>
          <cell r="U18">
            <v>1.1000000000000001</v>
          </cell>
          <cell r="V18">
            <v>1.05</v>
          </cell>
          <cell r="W18">
            <v>0.95</v>
          </cell>
          <cell r="X18">
            <v>0.9</v>
          </cell>
          <cell r="Y18">
            <v>0</v>
          </cell>
          <cell r="Z18" t="str">
            <v>c</v>
          </cell>
          <cell r="AA18" t="str">
            <v>c</v>
          </cell>
          <cell r="AB18" t="str">
            <v>c</v>
          </cell>
          <cell r="AC18" t="str">
            <v>c</v>
          </cell>
          <cell r="AD18" t="str">
            <v>g</v>
          </cell>
          <cell r="AE18">
            <v>1.1000000000000001</v>
          </cell>
          <cell r="AF18">
            <v>1.05</v>
          </cell>
          <cell r="AG18">
            <v>0.95</v>
          </cell>
          <cell r="AH18">
            <v>0.9</v>
          </cell>
          <cell r="AI18">
            <v>0</v>
          </cell>
          <cell r="AJ18" t="str">
            <v>c</v>
          </cell>
          <cell r="AK18" t="str">
            <v>c</v>
          </cell>
          <cell r="AL18" t="str">
            <v>c</v>
          </cell>
          <cell r="AM18" t="str">
            <v>c</v>
          </cell>
          <cell r="AN18" t="str">
            <v>g</v>
          </cell>
          <cell r="AO18">
            <v>1.1000000000000001</v>
          </cell>
          <cell r="AP18">
            <v>1.05</v>
          </cell>
          <cell r="AQ18">
            <v>0.95</v>
          </cell>
          <cell r="AR18">
            <v>0.9</v>
          </cell>
          <cell r="AS18"/>
          <cell r="AT18">
            <v>39142</v>
          </cell>
          <cell r="AU18" t="str">
            <v>TOTAL</v>
          </cell>
          <cell r="AV18"/>
          <cell r="AW18">
            <v>0</v>
          </cell>
          <cell r="AX18">
            <v>0</v>
          </cell>
          <cell r="AY18">
            <v>0</v>
          </cell>
          <cell r="AZ18"/>
          <cell r="BA18">
            <v>0</v>
          </cell>
          <cell r="BB18" t="e">
            <v>#DIV/0!</v>
          </cell>
          <cell r="BC18"/>
          <cell r="BD18"/>
          <cell r="BE18">
            <v>0</v>
          </cell>
          <cell r="BF18">
            <v>0</v>
          </cell>
          <cell r="BG18">
            <v>0</v>
          </cell>
          <cell r="BH18"/>
          <cell r="BI18">
            <v>0</v>
          </cell>
          <cell r="BJ18" t="e">
            <v>#DIV/0!</v>
          </cell>
          <cell r="BK18"/>
          <cell r="BL18"/>
          <cell r="BM18">
            <v>0</v>
          </cell>
          <cell r="BN18">
            <v>0</v>
          </cell>
          <cell r="BO18">
            <v>0</v>
          </cell>
          <cell r="BP18"/>
          <cell r="BQ18">
            <v>0</v>
          </cell>
          <cell r="BR18" t="str">
            <v/>
          </cell>
          <cell r="BS18">
            <v>0</v>
          </cell>
          <cell r="BT18" t="e">
            <v>#DIV/0!</v>
          </cell>
          <cell r="BU18"/>
          <cell r="BV18">
            <v>0</v>
          </cell>
          <cell r="BW18">
            <v>0</v>
          </cell>
          <cell r="BX18">
            <v>0</v>
          </cell>
          <cell r="BY18"/>
          <cell r="BZ18">
            <v>0</v>
          </cell>
          <cell r="CA18" t="str">
            <v/>
          </cell>
          <cell r="CB18">
            <v>0</v>
          </cell>
          <cell r="CC18" t="str">
            <v/>
          </cell>
        </row>
        <row r="19">
          <cell r="C19">
            <v>39173</v>
          </cell>
          <cell r="D19" t="str">
            <v>TOTAL</v>
          </cell>
          <cell r="E19">
            <v>0</v>
          </cell>
          <cell r="F19" t="str">
            <v>c</v>
          </cell>
          <cell r="G19" t="str">
            <v>c</v>
          </cell>
          <cell r="H19" t="str">
            <v>c</v>
          </cell>
          <cell r="I19" t="str">
            <v>c</v>
          </cell>
          <cell r="J19" t="str">
            <v>g</v>
          </cell>
          <cell r="K19">
            <v>1.1000000000000001</v>
          </cell>
          <cell r="L19">
            <v>1.05</v>
          </cell>
          <cell r="M19">
            <v>0.95</v>
          </cell>
          <cell r="N19">
            <v>0.9</v>
          </cell>
          <cell r="O19">
            <v>0</v>
          </cell>
          <cell r="P19" t="str">
            <v>c</v>
          </cell>
          <cell r="Q19" t="str">
            <v>c</v>
          </cell>
          <cell r="R19" t="str">
            <v>c</v>
          </cell>
          <cell r="S19" t="str">
            <v>c</v>
          </cell>
          <cell r="T19" t="str">
            <v>g</v>
          </cell>
          <cell r="U19">
            <v>1.1000000000000001</v>
          </cell>
          <cell r="V19">
            <v>1.05</v>
          </cell>
          <cell r="W19">
            <v>0.95</v>
          </cell>
          <cell r="X19">
            <v>0.9</v>
          </cell>
          <cell r="Y19">
            <v>0</v>
          </cell>
          <cell r="Z19" t="str">
            <v>c</v>
          </cell>
          <cell r="AA19" t="str">
            <v>c</v>
          </cell>
          <cell r="AB19" t="str">
            <v>c</v>
          </cell>
          <cell r="AC19" t="str">
            <v>c</v>
          </cell>
          <cell r="AD19" t="str">
            <v>g</v>
          </cell>
          <cell r="AE19">
            <v>1.1000000000000001</v>
          </cell>
          <cell r="AF19">
            <v>1.05</v>
          </cell>
          <cell r="AG19">
            <v>0.95</v>
          </cell>
          <cell r="AH19">
            <v>0.9</v>
          </cell>
          <cell r="AI19">
            <v>0</v>
          </cell>
          <cell r="AJ19" t="str">
            <v>c</v>
          </cell>
          <cell r="AK19" t="str">
            <v>c</v>
          </cell>
          <cell r="AL19" t="str">
            <v>c</v>
          </cell>
          <cell r="AM19" t="str">
            <v>c</v>
          </cell>
          <cell r="AN19" t="str">
            <v>g</v>
          </cell>
          <cell r="AO19">
            <v>1.1000000000000001</v>
          </cell>
          <cell r="AP19">
            <v>1.05</v>
          </cell>
          <cell r="AQ19">
            <v>0.95</v>
          </cell>
          <cell r="AR19">
            <v>0.9</v>
          </cell>
          <cell r="AS19"/>
          <cell r="AT19">
            <v>39173</v>
          </cell>
          <cell r="AU19" t="str">
            <v>TOTAL</v>
          </cell>
          <cell r="AV19"/>
          <cell r="AW19">
            <v>0</v>
          </cell>
          <cell r="AX19">
            <v>0</v>
          </cell>
          <cell r="AY19">
            <v>0</v>
          </cell>
          <cell r="AZ19"/>
          <cell r="BA19">
            <v>0</v>
          </cell>
          <cell r="BB19" t="e">
            <v>#DIV/0!</v>
          </cell>
          <cell r="BC19"/>
          <cell r="BD19"/>
          <cell r="BE19">
            <v>0</v>
          </cell>
          <cell r="BF19">
            <v>0</v>
          </cell>
          <cell r="BG19">
            <v>0</v>
          </cell>
          <cell r="BH19"/>
          <cell r="BI19">
            <v>0</v>
          </cell>
          <cell r="BJ19" t="e">
            <v>#DIV/0!</v>
          </cell>
          <cell r="BK19"/>
          <cell r="BL19"/>
          <cell r="BM19">
            <v>0</v>
          </cell>
          <cell r="BN19">
            <v>0</v>
          </cell>
          <cell r="BO19">
            <v>0</v>
          </cell>
          <cell r="BP19"/>
          <cell r="BQ19">
            <v>0</v>
          </cell>
          <cell r="BR19" t="str">
            <v/>
          </cell>
          <cell r="BS19">
            <v>0</v>
          </cell>
          <cell r="BT19" t="e">
            <v>#DIV/0!</v>
          </cell>
          <cell r="BU19"/>
          <cell r="BV19">
            <v>0</v>
          </cell>
          <cell r="BW19">
            <v>0</v>
          </cell>
          <cell r="BX19">
            <v>0</v>
          </cell>
          <cell r="BY19"/>
          <cell r="BZ19">
            <v>0</v>
          </cell>
          <cell r="CA19" t="str">
            <v/>
          </cell>
          <cell r="CB19">
            <v>0</v>
          </cell>
          <cell r="CC19" t="str">
            <v/>
          </cell>
        </row>
        <row r="20">
          <cell r="C20">
            <v>39203</v>
          </cell>
          <cell r="D20" t="str">
            <v>TOTAL</v>
          </cell>
          <cell r="E20">
            <v>0</v>
          </cell>
          <cell r="F20" t="str">
            <v>c</v>
          </cell>
          <cell r="G20" t="str">
            <v>c</v>
          </cell>
          <cell r="H20" t="str">
            <v>c</v>
          </cell>
          <cell r="I20" t="str">
            <v>c</v>
          </cell>
          <cell r="J20" t="str">
            <v>g</v>
          </cell>
          <cell r="K20">
            <v>1.1000000000000001</v>
          </cell>
          <cell r="L20">
            <v>1.05</v>
          </cell>
          <cell r="M20">
            <v>0.95</v>
          </cell>
          <cell r="N20">
            <v>0.9</v>
          </cell>
          <cell r="O20">
            <v>0</v>
          </cell>
          <cell r="P20" t="str">
            <v>c</v>
          </cell>
          <cell r="Q20" t="str">
            <v>c</v>
          </cell>
          <cell r="R20" t="str">
            <v>c</v>
          </cell>
          <cell r="S20" t="str">
            <v>c</v>
          </cell>
          <cell r="T20" t="str">
            <v>g</v>
          </cell>
          <cell r="U20">
            <v>1.1000000000000001</v>
          </cell>
          <cell r="V20">
            <v>1.05</v>
          </cell>
          <cell r="W20">
            <v>0.95</v>
          </cell>
          <cell r="X20">
            <v>0.9</v>
          </cell>
          <cell r="Y20">
            <v>0</v>
          </cell>
          <cell r="Z20" t="str">
            <v>c</v>
          </cell>
          <cell r="AA20" t="str">
            <v>c</v>
          </cell>
          <cell r="AB20" t="str">
            <v>c</v>
          </cell>
          <cell r="AC20" t="str">
            <v>c</v>
          </cell>
          <cell r="AD20" t="str">
            <v>g</v>
          </cell>
          <cell r="AE20">
            <v>1.1000000000000001</v>
          </cell>
          <cell r="AF20">
            <v>1.05</v>
          </cell>
          <cell r="AG20">
            <v>0.95</v>
          </cell>
          <cell r="AH20">
            <v>0.9</v>
          </cell>
          <cell r="AI20">
            <v>0</v>
          </cell>
          <cell r="AJ20" t="str">
            <v>c</v>
          </cell>
          <cell r="AK20" t="str">
            <v>c</v>
          </cell>
          <cell r="AL20" t="str">
            <v>c</v>
          </cell>
          <cell r="AM20" t="str">
            <v>c</v>
          </cell>
          <cell r="AN20" t="str">
            <v>g</v>
          </cell>
          <cell r="AO20">
            <v>1.1000000000000001</v>
          </cell>
          <cell r="AP20">
            <v>1.05</v>
          </cell>
          <cell r="AQ20">
            <v>0.95</v>
          </cell>
          <cell r="AR20">
            <v>0.9</v>
          </cell>
          <cell r="AS20"/>
          <cell r="AT20">
            <v>39203</v>
          </cell>
          <cell r="AU20" t="str">
            <v>TOTAL</v>
          </cell>
          <cell r="AV20"/>
          <cell r="AW20">
            <v>0</v>
          </cell>
          <cell r="AX20">
            <v>0</v>
          </cell>
          <cell r="AY20">
            <v>0</v>
          </cell>
          <cell r="AZ20"/>
          <cell r="BA20">
            <v>0</v>
          </cell>
          <cell r="BB20" t="e">
            <v>#DIV/0!</v>
          </cell>
          <cell r="BC20"/>
          <cell r="BD20"/>
          <cell r="BE20">
            <v>0</v>
          </cell>
          <cell r="BF20">
            <v>0</v>
          </cell>
          <cell r="BG20">
            <v>0</v>
          </cell>
          <cell r="BH20"/>
          <cell r="BI20">
            <v>0</v>
          </cell>
          <cell r="BJ20" t="e">
            <v>#DIV/0!</v>
          </cell>
          <cell r="BK20"/>
          <cell r="BL20"/>
          <cell r="BM20">
            <v>0</v>
          </cell>
          <cell r="BN20">
            <v>0</v>
          </cell>
          <cell r="BO20">
            <v>0</v>
          </cell>
          <cell r="BP20"/>
          <cell r="BQ20">
            <v>0</v>
          </cell>
          <cell r="BR20" t="str">
            <v/>
          </cell>
          <cell r="BS20">
            <v>0</v>
          </cell>
          <cell r="BT20" t="e">
            <v>#DIV/0!</v>
          </cell>
          <cell r="BU20"/>
          <cell r="BV20">
            <v>0</v>
          </cell>
          <cell r="BW20">
            <v>0</v>
          </cell>
          <cell r="BX20">
            <v>0</v>
          </cell>
          <cell r="BY20"/>
          <cell r="BZ20">
            <v>0</v>
          </cell>
          <cell r="CA20" t="str">
            <v/>
          </cell>
          <cell r="CB20">
            <v>0</v>
          </cell>
          <cell r="CC20" t="str">
            <v/>
          </cell>
        </row>
        <row r="21">
          <cell r="C21">
            <v>39234</v>
          </cell>
          <cell r="D21" t="str">
            <v>TOTAL</v>
          </cell>
          <cell r="E21">
            <v>0</v>
          </cell>
          <cell r="F21" t="str">
            <v>c</v>
          </cell>
          <cell r="G21" t="str">
            <v>c</v>
          </cell>
          <cell r="H21" t="str">
            <v>c</v>
          </cell>
          <cell r="I21" t="str">
            <v>c</v>
          </cell>
          <cell r="J21" t="str">
            <v>g</v>
          </cell>
          <cell r="K21">
            <v>1.1000000000000001</v>
          </cell>
          <cell r="L21">
            <v>1.05</v>
          </cell>
          <cell r="M21">
            <v>0.95</v>
          </cell>
          <cell r="N21">
            <v>0.9</v>
          </cell>
          <cell r="O21">
            <v>0</v>
          </cell>
          <cell r="P21" t="str">
            <v>c</v>
          </cell>
          <cell r="Q21" t="str">
            <v>c</v>
          </cell>
          <cell r="R21" t="str">
            <v>c</v>
          </cell>
          <cell r="S21" t="str">
            <v>c</v>
          </cell>
          <cell r="T21" t="str">
            <v>g</v>
          </cell>
          <cell r="U21">
            <v>1.1000000000000001</v>
          </cell>
          <cell r="V21">
            <v>1.05</v>
          </cell>
          <cell r="W21">
            <v>0.95</v>
          </cell>
          <cell r="X21">
            <v>0.9</v>
          </cell>
          <cell r="Y21">
            <v>0</v>
          </cell>
          <cell r="Z21" t="str">
            <v>c</v>
          </cell>
          <cell r="AA21" t="str">
            <v>c</v>
          </cell>
          <cell r="AB21" t="str">
            <v>c</v>
          </cell>
          <cell r="AC21" t="str">
            <v>c</v>
          </cell>
          <cell r="AD21" t="str">
            <v>g</v>
          </cell>
          <cell r="AE21">
            <v>1.1000000000000001</v>
          </cell>
          <cell r="AF21">
            <v>1.05</v>
          </cell>
          <cell r="AG21">
            <v>0.95</v>
          </cell>
          <cell r="AH21">
            <v>0.9</v>
          </cell>
          <cell r="AI21">
            <v>0</v>
          </cell>
          <cell r="AJ21" t="str">
            <v>c</v>
          </cell>
          <cell r="AK21" t="str">
            <v>c</v>
          </cell>
          <cell r="AL21" t="str">
            <v>c</v>
          </cell>
          <cell r="AM21" t="str">
            <v>c</v>
          </cell>
          <cell r="AN21" t="str">
            <v>g</v>
          </cell>
          <cell r="AO21">
            <v>1.1000000000000001</v>
          </cell>
          <cell r="AP21">
            <v>1.05</v>
          </cell>
          <cell r="AQ21">
            <v>0.95</v>
          </cell>
          <cell r="AR21">
            <v>0.9</v>
          </cell>
          <cell r="AS21"/>
          <cell r="AT21">
            <v>39234</v>
          </cell>
          <cell r="AU21" t="str">
            <v>TOTAL</v>
          </cell>
          <cell r="AV21"/>
          <cell r="AW21">
            <v>0</v>
          </cell>
          <cell r="AX21">
            <v>0</v>
          </cell>
          <cell r="AY21">
            <v>0</v>
          </cell>
          <cell r="AZ21"/>
          <cell r="BA21">
            <v>0</v>
          </cell>
          <cell r="BB21" t="e">
            <v>#DIV/0!</v>
          </cell>
          <cell r="BC21"/>
          <cell r="BD21"/>
          <cell r="BE21">
            <v>0</v>
          </cell>
          <cell r="BF21">
            <v>0</v>
          </cell>
          <cell r="BG21">
            <v>0</v>
          </cell>
          <cell r="BH21"/>
          <cell r="BI21">
            <v>0</v>
          </cell>
          <cell r="BJ21" t="e">
            <v>#DIV/0!</v>
          </cell>
          <cell r="BK21"/>
          <cell r="BL21"/>
          <cell r="BM21">
            <v>0</v>
          </cell>
          <cell r="BN21">
            <v>0</v>
          </cell>
          <cell r="BO21">
            <v>0</v>
          </cell>
          <cell r="BP21"/>
          <cell r="BQ21">
            <v>0</v>
          </cell>
          <cell r="BR21" t="str">
            <v/>
          </cell>
          <cell r="BS21">
            <v>0</v>
          </cell>
          <cell r="BT21" t="e">
            <v>#DIV/0!</v>
          </cell>
          <cell r="BU21"/>
          <cell r="BV21">
            <v>0</v>
          </cell>
          <cell r="BW21">
            <v>0</v>
          </cell>
          <cell r="BX21">
            <v>0</v>
          </cell>
          <cell r="BY21"/>
          <cell r="BZ21">
            <v>0</v>
          </cell>
          <cell r="CA21" t="str">
            <v/>
          </cell>
          <cell r="CB21">
            <v>0</v>
          </cell>
          <cell r="CC21" t="str">
            <v/>
          </cell>
        </row>
        <row r="22">
          <cell r="C22">
            <v>39264</v>
          </cell>
          <cell r="D22" t="str">
            <v>TOTAL</v>
          </cell>
          <cell r="E22">
            <v>0</v>
          </cell>
          <cell r="F22" t="str">
            <v>c</v>
          </cell>
          <cell r="G22" t="str">
            <v>c</v>
          </cell>
          <cell r="H22" t="str">
            <v>c</v>
          </cell>
          <cell r="I22" t="str">
            <v>c</v>
          </cell>
          <cell r="J22" t="str">
            <v>g</v>
          </cell>
          <cell r="K22">
            <v>1.1000000000000001</v>
          </cell>
          <cell r="L22">
            <v>1.05</v>
          </cell>
          <cell r="M22">
            <v>0.95</v>
          </cell>
          <cell r="N22">
            <v>0.9</v>
          </cell>
          <cell r="O22">
            <v>0</v>
          </cell>
          <cell r="P22" t="str">
            <v>c</v>
          </cell>
          <cell r="Q22" t="str">
            <v>c</v>
          </cell>
          <cell r="R22" t="str">
            <v>c</v>
          </cell>
          <cell r="S22" t="str">
            <v>c</v>
          </cell>
          <cell r="T22" t="str">
            <v>g</v>
          </cell>
          <cell r="U22">
            <v>1.1000000000000001</v>
          </cell>
          <cell r="V22">
            <v>1.05</v>
          </cell>
          <cell r="W22">
            <v>0.95</v>
          </cell>
          <cell r="X22">
            <v>0.9</v>
          </cell>
          <cell r="Y22">
            <v>0</v>
          </cell>
          <cell r="Z22" t="str">
            <v>c</v>
          </cell>
          <cell r="AA22" t="str">
            <v>c</v>
          </cell>
          <cell r="AB22" t="str">
            <v>c</v>
          </cell>
          <cell r="AC22" t="str">
            <v>c</v>
          </cell>
          <cell r="AD22" t="str">
            <v>g</v>
          </cell>
          <cell r="AE22">
            <v>1.1000000000000001</v>
          </cell>
          <cell r="AF22">
            <v>1.05</v>
          </cell>
          <cell r="AG22">
            <v>0.95</v>
          </cell>
          <cell r="AH22">
            <v>0.9</v>
          </cell>
          <cell r="AI22">
            <v>0</v>
          </cell>
          <cell r="AJ22" t="str">
            <v>c</v>
          </cell>
          <cell r="AK22" t="str">
            <v>c</v>
          </cell>
          <cell r="AL22" t="str">
            <v>c</v>
          </cell>
          <cell r="AM22" t="str">
            <v>c</v>
          </cell>
          <cell r="AN22" t="str">
            <v>g</v>
          </cell>
          <cell r="AO22">
            <v>1.1000000000000001</v>
          </cell>
          <cell r="AP22">
            <v>1.05</v>
          </cell>
          <cell r="AQ22">
            <v>0.95</v>
          </cell>
          <cell r="AR22">
            <v>0.9</v>
          </cell>
          <cell r="AS22"/>
          <cell r="AT22">
            <v>39264</v>
          </cell>
          <cell r="AU22" t="str">
            <v>TOTAL</v>
          </cell>
          <cell r="AV22"/>
          <cell r="AW22">
            <v>0</v>
          </cell>
          <cell r="AX22">
            <v>0</v>
          </cell>
          <cell r="AY22">
            <v>0</v>
          </cell>
          <cell r="AZ22"/>
          <cell r="BA22">
            <v>0</v>
          </cell>
          <cell r="BB22" t="e">
            <v>#DIV/0!</v>
          </cell>
          <cell r="BC22"/>
          <cell r="BD22"/>
          <cell r="BE22">
            <v>0</v>
          </cell>
          <cell r="BF22">
            <v>0</v>
          </cell>
          <cell r="BG22">
            <v>0</v>
          </cell>
          <cell r="BH22"/>
          <cell r="BI22">
            <v>0</v>
          </cell>
          <cell r="BJ22" t="e">
            <v>#DIV/0!</v>
          </cell>
          <cell r="BK22"/>
          <cell r="BL22"/>
          <cell r="BM22">
            <v>0</v>
          </cell>
          <cell r="BN22">
            <v>0</v>
          </cell>
          <cell r="BO22">
            <v>0</v>
          </cell>
          <cell r="BP22"/>
          <cell r="BQ22">
            <v>0</v>
          </cell>
          <cell r="BR22" t="str">
            <v/>
          </cell>
          <cell r="BS22">
            <v>0</v>
          </cell>
          <cell r="BT22" t="e">
            <v>#DIV/0!</v>
          </cell>
          <cell r="BU22"/>
          <cell r="BV22">
            <v>0</v>
          </cell>
          <cell r="BW22">
            <v>0</v>
          </cell>
          <cell r="BX22">
            <v>0</v>
          </cell>
          <cell r="BY22"/>
          <cell r="BZ22">
            <v>0</v>
          </cell>
          <cell r="CA22" t="str">
            <v/>
          </cell>
          <cell r="CB22">
            <v>0</v>
          </cell>
          <cell r="CC22" t="str">
            <v/>
          </cell>
        </row>
        <row r="23">
          <cell r="C23">
            <v>39295</v>
          </cell>
          <cell r="D23" t="str">
            <v>TOTAL</v>
          </cell>
          <cell r="E23">
            <v>0</v>
          </cell>
          <cell r="F23" t="str">
            <v>c</v>
          </cell>
          <cell r="G23" t="str">
            <v>c</v>
          </cell>
          <cell r="H23" t="str">
            <v>c</v>
          </cell>
          <cell r="I23" t="str">
            <v>c</v>
          </cell>
          <cell r="J23" t="str">
            <v>g</v>
          </cell>
          <cell r="K23">
            <v>1.1000000000000001</v>
          </cell>
          <cell r="L23">
            <v>1.05</v>
          </cell>
          <cell r="M23">
            <v>0.95</v>
          </cell>
          <cell r="N23">
            <v>0.9</v>
          </cell>
          <cell r="O23">
            <v>0</v>
          </cell>
          <cell r="P23" t="str">
            <v>c</v>
          </cell>
          <cell r="Q23" t="str">
            <v>c</v>
          </cell>
          <cell r="R23" t="str">
            <v>c</v>
          </cell>
          <cell r="S23" t="str">
            <v>c</v>
          </cell>
          <cell r="T23" t="str">
            <v>g</v>
          </cell>
          <cell r="U23">
            <v>1.1000000000000001</v>
          </cell>
          <cell r="V23">
            <v>1.05</v>
          </cell>
          <cell r="W23">
            <v>0.95</v>
          </cell>
          <cell r="X23">
            <v>0.9</v>
          </cell>
          <cell r="Y23">
            <v>0</v>
          </cell>
          <cell r="Z23" t="str">
            <v>c</v>
          </cell>
          <cell r="AA23" t="str">
            <v>c</v>
          </cell>
          <cell r="AB23" t="str">
            <v>c</v>
          </cell>
          <cell r="AC23" t="str">
            <v>c</v>
          </cell>
          <cell r="AD23" t="str">
            <v>g</v>
          </cell>
          <cell r="AE23">
            <v>1.1000000000000001</v>
          </cell>
          <cell r="AF23">
            <v>1.05</v>
          </cell>
          <cell r="AG23">
            <v>0.95</v>
          </cell>
          <cell r="AH23">
            <v>0.9</v>
          </cell>
          <cell r="AI23">
            <v>0</v>
          </cell>
          <cell r="AJ23" t="str">
            <v>c</v>
          </cell>
          <cell r="AK23" t="str">
            <v>c</v>
          </cell>
          <cell r="AL23" t="str">
            <v>c</v>
          </cell>
          <cell r="AM23" t="str">
            <v>c</v>
          </cell>
          <cell r="AN23" t="str">
            <v>g</v>
          </cell>
          <cell r="AO23">
            <v>1.1000000000000001</v>
          </cell>
          <cell r="AP23">
            <v>1.05</v>
          </cell>
          <cell r="AQ23">
            <v>0.95</v>
          </cell>
          <cell r="AR23">
            <v>0.9</v>
          </cell>
          <cell r="AS23"/>
          <cell r="AT23">
            <v>39295</v>
          </cell>
          <cell r="AU23" t="str">
            <v>TOTAL</v>
          </cell>
          <cell r="AV23"/>
          <cell r="AW23">
            <v>0</v>
          </cell>
          <cell r="AX23">
            <v>0</v>
          </cell>
          <cell r="AY23">
            <v>0</v>
          </cell>
          <cell r="AZ23"/>
          <cell r="BA23">
            <v>0</v>
          </cell>
          <cell r="BB23" t="e">
            <v>#DIV/0!</v>
          </cell>
          <cell r="BC23"/>
          <cell r="BD23"/>
          <cell r="BE23">
            <v>0</v>
          </cell>
          <cell r="BF23">
            <v>0</v>
          </cell>
          <cell r="BG23">
            <v>0</v>
          </cell>
          <cell r="BH23"/>
          <cell r="BI23">
            <v>0</v>
          </cell>
          <cell r="BJ23" t="e">
            <v>#DIV/0!</v>
          </cell>
          <cell r="BK23"/>
          <cell r="BL23"/>
          <cell r="BM23">
            <v>0</v>
          </cell>
          <cell r="BN23">
            <v>0</v>
          </cell>
          <cell r="BO23">
            <v>0</v>
          </cell>
          <cell r="BP23"/>
          <cell r="BQ23">
            <v>0</v>
          </cell>
          <cell r="BR23" t="str">
            <v/>
          </cell>
          <cell r="BS23">
            <v>0</v>
          </cell>
          <cell r="BT23" t="e">
            <v>#DIV/0!</v>
          </cell>
          <cell r="BU23"/>
          <cell r="BV23">
            <v>0</v>
          </cell>
          <cell r="BW23">
            <v>0</v>
          </cell>
          <cell r="BX23">
            <v>0</v>
          </cell>
          <cell r="BY23"/>
          <cell r="BZ23">
            <v>0</v>
          </cell>
          <cell r="CA23" t="str">
            <v/>
          </cell>
          <cell r="CB23">
            <v>0</v>
          </cell>
          <cell r="CC23" t="str">
            <v/>
          </cell>
        </row>
        <row r="24">
          <cell r="C24">
            <v>39326</v>
          </cell>
          <cell r="D24" t="str">
            <v>TOTAL</v>
          </cell>
          <cell r="E24">
            <v>0</v>
          </cell>
          <cell r="F24" t="str">
            <v>c</v>
          </cell>
          <cell r="G24" t="str">
            <v>c</v>
          </cell>
          <cell r="H24" t="str">
            <v>c</v>
          </cell>
          <cell r="I24" t="str">
            <v>c</v>
          </cell>
          <cell r="J24" t="str">
            <v>g</v>
          </cell>
          <cell r="K24">
            <v>1.1000000000000001</v>
          </cell>
          <cell r="L24">
            <v>1.05</v>
          </cell>
          <cell r="M24">
            <v>0.95</v>
          </cell>
          <cell r="N24">
            <v>0.9</v>
          </cell>
          <cell r="O24">
            <v>0</v>
          </cell>
          <cell r="P24" t="str">
            <v>c</v>
          </cell>
          <cell r="Q24" t="str">
            <v>c</v>
          </cell>
          <cell r="R24" t="str">
            <v>c</v>
          </cell>
          <cell r="S24" t="str">
            <v>c</v>
          </cell>
          <cell r="T24" t="str">
            <v>g</v>
          </cell>
          <cell r="U24">
            <v>1.1000000000000001</v>
          </cell>
          <cell r="V24">
            <v>1.05</v>
          </cell>
          <cell r="W24">
            <v>0.95</v>
          </cell>
          <cell r="X24">
            <v>0.9</v>
          </cell>
          <cell r="Y24">
            <v>0</v>
          </cell>
          <cell r="Z24" t="str">
            <v>c</v>
          </cell>
          <cell r="AA24" t="str">
            <v>c</v>
          </cell>
          <cell r="AB24" t="str">
            <v>c</v>
          </cell>
          <cell r="AC24" t="str">
            <v>c</v>
          </cell>
          <cell r="AD24" t="str">
            <v>g</v>
          </cell>
          <cell r="AE24">
            <v>1.1000000000000001</v>
          </cell>
          <cell r="AF24">
            <v>1.05</v>
          </cell>
          <cell r="AG24">
            <v>0.95</v>
          </cell>
          <cell r="AH24">
            <v>0.9</v>
          </cell>
          <cell r="AI24">
            <v>0</v>
          </cell>
          <cell r="AJ24" t="str">
            <v>c</v>
          </cell>
          <cell r="AK24" t="str">
            <v>c</v>
          </cell>
          <cell r="AL24" t="str">
            <v>c</v>
          </cell>
          <cell r="AM24" t="str">
            <v>c</v>
          </cell>
          <cell r="AN24" t="str">
            <v>g</v>
          </cell>
          <cell r="AO24">
            <v>1.1000000000000001</v>
          </cell>
          <cell r="AP24">
            <v>1.05</v>
          </cell>
          <cell r="AQ24">
            <v>0.95</v>
          </cell>
          <cell r="AR24">
            <v>0.9</v>
          </cell>
          <cell r="AS24"/>
          <cell r="AT24">
            <v>39326</v>
          </cell>
          <cell r="AU24" t="str">
            <v>TOTAL</v>
          </cell>
          <cell r="AV24"/>
          <cell r="AW24">
            <v>0</v>
          </cell>
          <cell r="AX24">
            <v>0</v>
          </cell>
          <cell r="AY24">
            <v>0</v>
          </cell>
          <cell r="AZ24"/>
          <cell r="BA24">
            <v>0</v>
          </cell>
          <cell r="BB24" t="e">
            <v>#DIV/0!</v>
          </cell>
          <cell r="BC24"/>
          <cell r="BD24"/>
          <cell r="BE24">
            <v>0</v>
          </cell>
          <cell r="BF24">
            <v>0</v>
          </cell>
          <cell r="BG24">
            <v>0</v>
          </cell>
          <cell r="BH24"/>
          <cell r="BI24">
            <v>0</v>
          </cell>
          <cell r="BJ24" t="e">
            <v>#DIV/0!</v>
          </cell>
          <cell r="BK24"/>
          <cell r="BL24"/>
          <cell r="BM24">
            <v>0</v>
          </cell>
          <cell r="BN24">
            <v>0</v>
          </cell>
          <cell r="BO24">
            <v>0</v>
          </cell>
          <cell r="BP24"/>
          <cell r="BQ24">
            <v>0</v>
          </cell>
          <cell r="BR24" t="str">
            <v/>
          </cell>
          <cell r="BS24">
            <v>0</v>
          </cell>
          <cell r="BT24" t="e">
            <v>#DIV/0!</v>
          </cell>
          <cell r="BU24"/>
          <cell r="BV24">
            <v>0</v>
          </cell>
          <cell r="BW24">
            <v>0</v>
          </cell>
          <cell r="BX24">
            <v>0</v>
          </cell>
          <cell r="BY24"/>
          <cell r="BZ24">
            <v>0</v>
          </cell>
          <cell r="CA24" t="str">
            <v/>
          </cell>
          <cell r="CB24">
            <v>0</v>
          </cell>
          <cell r="CC24" t="str">
            <v/>
          </cell>
        </row>
        <row r="25">
          <cell r="C25">
            <v>39356</v>
          </cell>
          <cell r="D25" t="str">
            <v>TOTAL</v>
          </cell>
          <cell r="E25">
            <v>0</v>
          </cell>
          <cell r="F25" t="str">
            <v>c</v>
          </cell>
          <cell r="G25" t="str">
            <v>c</v>
          </cell>
          <cell r="H25" t="str">
            <v>c</v>
          </cell>
          <cell r="I25" t="str">
            <v>c</v>
          </cell>
          <cell r="J25" t="str">
            <v>g</v>
          </cell>
          <cell r="K25">
            <v>1.1000000000000001</v>
          </cell>
          <cell r="L25">
            <v>1.05</v>
          </cell>
          <cell r="M25">
            <v>0.95</v>
          </cell>
          <cell r="N25">
            <v>0.9</v>
          </cell>
          <cell r="O25">
            <v>0</v>
          </cell>
          <cell r="P25" t="str">
            <v>c</v>
          </cell>
          <cell r="Q25" t="str">
            <v>c</v>
          </cell>
          <cell r="R25" t="str">
            <v>c</v>
          </cell>
          <cell r="S25" t="str">
            <v>c</v>
          </cell>
          <cell r="T25" t="str">
            <v>g</v>
          </cell>
          <cell r="U25">
            <v>1.1000000000000001</v>
          </cell>
          <cell r="V25">
            <v>1.05</v>
          </cell>
          <cell r="W25">
            <v>0.95</v>
          </cell>
          <cell r="X25">
            <v>0.9</v>
          </cell>
          <cell r="Y25">
            <v>0</v>
          </cell>
          <cell r="Z25" t="str">
            <v>c</v>
          </cell>
          <cell r="AA25" t="str">
            <v>c</v>
          </cell>
          <cell r="AB25" t="str">
            <v>c</v>
          </cell>
          <cell r="AC25" t="str">
            <v>c</v>
          </cell>
          <cell r="AD25" t="str">
            <v>g</v>
          </cell>
          <cell r="AE25">
            <v>1.1000000000000001</v>
          </cell>
          <cell r="AF25">
            <v>1.05</v>
          </cell>
          <cell r="AG25">
            <v>0.95</v>
          </cell>
          <cell r="AH25">
            <v>0.9</v>
          </cell>
          <cell r="AI25">
            <v>0</v>
          </cell>
          <cell r="AJ25" t="str">
            <v>c</v>
          </cell>
          <cell r="AK25" t="str">
            <v>c</v>
          </cell>
          <cell r="AL25" t="str">
            <v>c</v>
          </cell>
          <cell r="AM25" t="str">
            <v>c</v>
          </cell>
          <cell r="AN25" t="str">
            <v>g</v>
          </cell>
          <cell r="AO25">
            <v>1.1000000000000001</v>
          </cell>
          <cell r="AP25">
            <v>1.05</v>
          </cell>
          <cell r="AQ25">
            <v>0.95</v>
          </cell>
          <cell r="AR25">
            <v>0.9</v>
          </cell>
          <cell r="AS25"/>
          <cell r="AT25">
            <v>39356</v>
          </cell>
          <cell r="AU25" t="str">
            <v>TOTAL</v>
          </cell>
          <cell r="AV25"/>
          <cell r="AW25">
            <v>0</v>
          </cell>
          <cell r="AX25">
            <v>0</v>
          </cell>
          <cell r="AY25">
            <v>0</v>
          </cell>
          <cell r="AZ25"/>
          <cell r="BA25">
            <v>0</v>
          </cell>
          <cell r="BB25" t="e">
            <v>#DIV/0!</v>
          </cell>
          <cell r="BC25"/>
          <cell r="BD25"/>
          <cell r="BE25">
            <v>0</v>
          </cell>
          <cell r="BF25">
            <v>0</v>
          </cell>
          <cell r="BG25">
            <v>0</v>
          </cell>
          <cell r="BH25"/>
          <cell r="BI25">
            <v>0</v>
          </cell>
          <cell r="BJ25" t="e">
            <v>#DIV/0!</v>
          </cell>
          <cell r="BK25"/>
          <cell r="BL25"/>
          <cell r="BM25">
            <v>0</v>
          </cell>
          <cell r="BN25">
            <v>0</v>
          </cell>
          <cell r="BO25">
            <v>0</v>
          </cell>
          <cell r="BP25"/>
          <cell r="BQ25">
            <v>0</v>
          </cell>
          <cell r="BR25" t="str">
            <v/>
          </cell>
          <cell r="BS25">
            <v>0</v>
          </cell>
          <cell r="BT25" t="e">
            <v>#DIV/0!</v>
          </cell>
          <cell r="BU25"/>
          <cell r="BV25">
            <v>0</v>
          </cell>
          <cell r="BW25">
            <v>0</v>
          </cell>
          <cell r="BX25">
            <v>0</v>
          </cell>
          <cell r="BY25"/>
          <cell r="BZ25">
            <v>0</v>
          </cell>
          <cell r="CA25" t="str">
            <v/>
          </cell>
          <cell r="CB25">
            <v>0</v>
          </cell>
          <cell r="CC25" t="str">
            <v/>
          </cell>
        </row>
        <row r="26">
          <cell r="C26">
            <v>39387</v>
          </cell>
          <cell r="D26" t="str">
            <v>TOTAL</v>
          </cell>
          <cell r="E26">
            <v>0</v>
          </cell>
          <cell r="F26" t="str">
            <v>c</v>
          </cell>
          <cell r="G26" t="str">
            <v>c</v>
          </cell>
          <cell r="H26" t="str">
            <v>c</v>
          </cell>
          <cell r="I26" t="str">
            <v>c</v>
          </cell>
          <cell r="J26" t="str">
            <v>g</v>
          </cell>
          <cell r="K26">
            <v>1.1000000000000001</v>
          </cell>
          <cell r="L26">
            <v>1.05</v>
          </cell>
          <cell r="M26">
            <v>0.95</v>
          </cell>
          <cell r="N26">
            <v>0.9</v>
          </cell>
          <cell r="O26">
            <v>0</v>
          </cell>
          <cell r="P26" t="str">
            <v>c</v>
          </cell>
          <cell r="Q26" t="str">
            <v>c</v>
          </cell>
          <cell r="R26" t="str">
            <v>c</v>
          </cell>
          <cell r="S26" t="str">
            <v>c</v>
          </cell>
          <cell r="T26" t="str">
            <v>g</v>
          </cell>
          <cell r="U26">
            <v>1.1000000000000001</v>
          </cell>
          <cell r="V26">
            <v>1.05</v>
          </cell>
          <cell r="W26">
            <v>0.95</v>
          </cell>
          <cell r="X26">
            <v>0.9</v>
          </cell>
          <cell r="Y26">
            <v>0</v>
          </cell>
          <cell r="Z26" t="str">
            <v>c</v>
          </cell>
          <cell r="AA26" t="str">
            <v>c</v>
          </cell>
          <cell r="AB26" t="str">
            <v>c</v>
          </cell>
          <cell r="AC26" t="str">
            <v>c</v>
          </cell>
          <cell r="AD26" t="str">
            <v>g</v>
          </cell>
          <cell r="AE26">
            <v>1.1000000000000001</v>
          </cell>
          <cell r="AF26">
            <v>1.05</v>
          </cell>
          <cell r="AG26">
            <v>0.95</v>
          </cell>
          <cell r="AH26">
            <v>0.9</v>
          </cell>
          <cell r="AI26">
            <v>0</v>
          </cell>
          <cell r="AJ26" t="str">
            <v>c</v>
          </cell>
          <cell r="AK26" t="str">
            <v>c</v>
          </cell>
          <cell r="AL26" t="str">
            <v>c</v>
          </cell>
          <cell r="AM26" t="str">
            <v>c</v>
          </cell>
          <cell r="AN26" t="str">
            <v>g</v>
          </cell>
          <cell r="AO26">
            <v>1.1000000000000001</v>
          </cell>
          <cell r="AP26">
            <v>1.05</v>
          </cell>
          <cell r="AQ26">
            <v>0.95</v>
          </cell>
          <cell r="AR26">
            <v>0.9</v>
          </cell>
          <cell r="AS26"/>
          <cell r="AT26">
            <v>39387</v>
          </cell>
          <cell r="AU26" t="str">
            <v>TOTAL</v>
          </cell>
          <cell r="AV26"/>
          <cell r="AW26">
            <v>0</v>
          </cell>
          <cell r="AX26">
            <v>0</v>
          </cell>
          <cell r="AY26">
            <v>0</v>
          </cell>
          <cell r="AZ26"/>
          <cell r="BA26">
            <v>0</v>
          </cell>
          <cell r="BB26" t="e">
            <v>#DIV/0!</v>
          </cell>
          <cell r="BC26"/>
          <cell r="BD26"/>
          <cell r="BE26">
            <v>0</v>
          </cell>
          <cell r="BF26">
            <v>0</v>
          </cell>
          <cell r="BG26">
            <v>0</v>
          </cell>
          <cell r="BH26"/>
          <cell r="BI26">
            <v>0</v>
          </cell>
          <cell r="BJ26" t="e">
            <v>#DIV/0!</v>
          </cell>
          <cell r="BK26"/>
          <cell r="BL26"/>
          <cell r="BM26">
            <v>0</v>
          </cell>
          <cell r="BN26">
            <v>0</v>
          </cell>
          <cell r="BO26">
            <v>0</v>
          </cell>
          <cell r="BP26"/>
          <cell r="BQ26">
            <v>0</v>
          </cell>
          <cell r="BR26" t="str">
            <v/>
          </cell>
          <cell r="BS26">
            <v>0</v>
          </cell>
          <cell r="BT26" t="e">
            <v>#DIV/0!</v>
          </cell>
          <cell r="BU26"/>
          <cell r="BV26">
            <v>0</v>
          </cell>
          <cell r="BW26">
            <v>0</v>
          </cell>
          <cell r="BX26">
            <v>0</v>
          </cell>
          <cell r="BY26"/>
          <cell r="BZ26">
            <v>0</v>
          </cell>
          <cell r="CA26" t="str">
            <v/>
          </cell>
          <cell r="CB26">
            <v>0</v>
          </cell>
          <cell r="CC26" t="str">
            <v/>
          </cell>
        </row>
        <row r="27">
          <cell r="C27">
            <v>39417</v>
          </cell>
          <cell r="D27" t="str">
            <v>TOTAL</v>
          </cell>
          <cell r="E27">
            <v>0</v>
          </cell>
          <cell r="F27" t="str">
            <v>c</v>
          </cell>
          <cell r="G27" t="str">
            <v>c</v>
          </cell>
          <cell r="H27" t="str">
            <v>c</v>
          </cell>
          <cell r="I27" t="str">
            <v>c</v>
          </cell>
          <cell r="J27" t="str">
            <v>g</v>
          </cell>
          <cell r="K27">
            <v>1.1000000000000001</v>
          </cell>
          <cell r="L27">
            <v>1.05</v>
          </cell>
          <cell r="M27">
            <v>0.95</v>
          </cell>
          <cell r="N27">
            <v>0.9</v>
          </cell>
          <cell r="O27">
            <v>0</v>
          </cell>
          <cell r="P27" t="str">
            <v>c</v>
          </cell>
          <cell r="Q27" t="str">
            <v>c</v>
          </cell>
          <cell r="R27" t="str">
            <v>c</v>
          </cell>
          <cell r="S27" t="str">
            <v>c</v>
          </cell>
          <cell r="T27" t="str">
            <v>g</v>
          </cell>
          <cell r="U27">
            <v>1.1000000000000001</v>
          </cell>
          <cell r="V27">
            <v>1.05</v>
          </cell>
          <cell r="W27">
            <v>0.95</v>
          </cell>
          <cell r="X27">
            <v>0.9</v>
          </cell>
          <cell r="Y27">
            <v>0</v>
          </cell>
          <cell r="Z27" t="str">
            <v>c</v>
          </cell>
          <cell r="AA27" t="str">
            <v>c</v>
          </cell>
          <cell r="AB27" t="str">
            <v>c</v>
          </cell>
          <cell r="AC27" t="str">
            <v>c</v>
          </cell>
          <cell r="AD27" t="str">
            <v>g</v>
          </cell>
          <cell r="AE27">
            <v>1.1000000000000001</v>
          </cell>
          <cell r="AF27">
            <v>1.05</v>
          </cell>
          <cell r="AG27">
            <v>0.95</v>
          </cell>
          <cell r="AH27">
            <v>0.9</v>
          </cell>
          <cell r="AI27">
            <v>0</v>
          </cell>
          <cell r="AJ27" t="str">
            <v>c</v>
          </cell>
          <cell r="AK27" t="str">
            <v>c</v>
          </cell>
          <cell r="AL27" t="str">
            <v>c</v>
          </cell>
          <cell r="AM27" t="str">
            <v>c</v>
          </cell>
          <cell r="AN27" t="str">
            <v>g</v>
          </cell>
          <cell r="AO27">
            <v>1.1000000000000001</v>
          </cell>
          <cell r="AP27">
            <v>1.05</v>
          </cell>
          <cell r="AQ27">
            <v>0.95</v>
          </cell>
          <cell r="AR27">
            <v>0.9</v>
          </cell>
          <cell r="AS27"/>
          <cell r="AT27">
            <v>39417</v>
          </cell>
          <cell r="AU27" t="str">
            <v>TOTAL</v>
          </cell>
          <cell r="AV27"/>
          <cell r="AW27">
            <v>0</v>
          </cell>
          <cell r="AX27">
            <v>0</v>
          </cell>
          <cell r="AY27">
            <v>0</v>
          </cell>
          <cell r="AZ27"/>
          <cell r="BA27">
            <v>0</v>
          </cell>
          <cell r="BB27" t="e">
            <v>#DIV/0!</v>
          </cell>
          <cell r="BC27"/>
          <cell r="BD27"/>
          <cell r="BE27">
            <v>0</v>
          </cell>
          <cell r="BF27">
            <v>0</v>
          </cell>
          <cell r="BG27">
            <v>0</v>
          </cell>
          <cell r="BH27"/>
          <cell r="BI27">
            <v>0</v>
          </cell>
          <cell r="BJ27" t="e">
            <v>#DIV/0!</v>
          </cell>
          <cell r="BK27"/>
          <cell r="BL27"/>
          <cell r="BM27">
            <v>0</v>
          </cell>
          <cell r="BN27">
            <v>0</v>
          </cell>
          <cell r="BO27">
            <v>0</v>
          </cell>
          <cell r="BP27"/>
          <cell r="BQ27">
            <v>0</v>
          </cell>
          <cell r="BR27" t="str">
            <v/>
          </cell>
          <cell r="BS27">
            <v>0</v>
          </cell>
          <cell r="BT27" t="e">
            <v>#DIV/0!</v>
          </cell>
          <cell r="BU27"/>
          <cell r="BV27">
            <v>0</v>
          </cell>
          <cell r="BW27">
            <v>0</v>
          </cell>
          <cell r="BX27">
            <v>0</v>
          </cell>
          <cell r="BY27"/>
          <cell r="BZ27">
            <v>0</v>
          </cell>
          <cell r="CA27" t="str">
            <v/>
          </cell>
          <cell r="CB27">
            <v>0</v>
          </cell>
          <cell r="CC27" t="str">
            <v/>
          </cell>
        </row>
        <row r="28">
          <cell r="C28">
            <v>39448</v>
          </cell>
          <cell r="D28" t="str">
            <v>TOTAL</v>
          </cell>
          <cell r="E28">
            <v>1.0016414014685637</v>
          </cell>
          <cell r="F28" t="str">
            <v>c</v>
          </cell>
          <cell r="G28" t="str">
            <v>c</v>
          </cell>
          <cell r="H28" t="str">
            <v>g</v>
          </cell>
          <cell r="I28" t="str">
            <v>c</v>
          </cell>
          <cell r="J28" t="str">
            <v>c</v>
          </cell>
          <cell r="K28">
            <v>1.1000000000000001</v>
          </cell>
          <cell r="L28">
            <v>1.05</v>
          </cell>
          <cell r="M28">
            <v>0.95</v>
          </cell>
          <cell r="N28">
            <v>0.9</v>
          </cell>
          <cell r="O28">
            <v>0.99999926620099777</v>
          </cell>
          <cell r="P28" t="str">
            <v>c</v>
          </cell>
          <cell r="Q28" t="str">
            <v>c</v>
          </cell>
          <cell r="R28" t="str">
            <v>g</v>
          </cell>
          <cell r="S28" t="str">
            <v>c</v>
          </cell>
          <cell r="T28" t="str">
            <v>c</v>
          </cell>
          <cell r="U28">
            <v>1.1000000000000001</v>
          </cell>
          <cell r="V28">
            <v>1.05</v>
          </cell>
          <cell r="W28">
            <v>0.95</v>
          </cell>
          <cell r="X28">
            <v>0.9</v>
          </cell>
          <cell r="Y28">
            <v>1.0016414014685637</v>
          </cell>
          <cell r="Z28" t="str">
            <v>c</v>
          </cell>
          <cell r="AA28" t="str">
            <v>c</v>
          </cell>
          <cell r="AB28" t="str">
            <v>g</v>
          </cell>
          <cell r="AC28" t="str">
            <v>c</v>
          </cell>
          <cell r="AD28" t="str">
            <v>c</v>
          </cell>
          <cell r="AE28">
            <v>1.1000000000000001</v>
          </cell>
          <cell r="AF28">
            <v>1.05</v>
          </cell>
          <cell r="AG28">
            <v>0.95</v>
          </cell>
          <cell r="AH28">
            <v>0.9</v>
          </cell>
          <cell r="AI28">
            <v>0.99999926620099777</v>
          </cell>
          <cell r="AJ28" t="str">
            <v>c</v>
          </cell>
          <cell r="AK28" t="str">
            <v>c</v>
          </cell>
          <cell r="AL28" t="str">
            <v>g</v>
          </cell>
          <cell r="AM28" t="str">
            <v>c</v>
          </cell>
          <cell r="AN28" t="str">
            <v>c</v>
          </cell>
          <cell r="AO28">
            <v>1.1000000000000001</v>
          </cell>
          <cell r="AP28">
            <v>1.05</v>
          </cell>
          <cell r="AQ28">
            <v>0.95</v>
          </cell>
          <cell r="AR28">
            <v>0.9</v>
          </cell>
          <cell r="AS28"/>
          <cell r="AT28">
            <v>39448</v>
          </cell>
          <cell r="AU28" t="str">
            <v>TOTAL</v>
          </cell>
          <cell r="AV28">
            <v>0</v>
          </cell>
          <cell r="AW28">
            <v>5297167.33</v>
          </cell>
          <cell r="AX28">
            <v>0</v>
          </cell>
          <cell r="AY28">
            <v>5297167.33</v>
          </cell>
          <cell r="AZ28" t="str">
            <v/>
          </cell>
          <cell r="BA28">
            <v>5297167.33</v>
          </cell>
          <cell r="BB28" t="e">
            <v>#DIV/0!</v>
          </cell>
          <cell r="BC28"/>
          <cell r="BD28">
            <v>0</v>
          </cell>
          <cell r="BE28">
            <v>4088310</v>
          </cell>
          <cell r="BF28">
            <v>0</v>
          </cell>
          <cell r="BG28">
            <v>4088310</v>
          </cell>
          <cell r="BH28" t="str">
            <v/>
          </cell>
          <cell r="BI28">
            <v>4088310</v>
          </cell>
          <cell r="BJ28">
            <v>-1</v>
          </cell>
          <cell r="BK28"/>
          <cell r="BL28">
            <v>0</v>
          </cell>
          <cell r="BM28">
            <v>5297167.33</v>
          </cell>
          <cell r="BN28">
            <v>0</v>
          </cell>
          <cell r="BO28">
            <v>5297167.33</v>
          </cell>
          <cell r="BP28" t="str">
            <v/>
          </cell>
          <cell r="BQ28">
            <v>5297167.33</v>
          </cell>
          <cell r="BR28" t="str">
            <v/>
          </cell>
          <cell r="BS28">
            <v>0</v>
          </cell>
          <cell r="BT28" t="e">
            <v>#DIV/0!</v>
          </cell>
          <cell r="BU28">
            <v>0</v>
          </cell>
          <cell r="BV28">
            <v>4088310</v>
          </cell>
          <cell r="BW28">
            <v>0</v>
          </cell>
          <cell r="BX28">
            <v>4088310</v>
          </cell>
          <cell r="BY28" t="str">
            <v/>
          </cell>
          <cell r="BZ28">
            <v>4088310</v>
          </cell>
          <cell r="CA28" t="str">
            <v/>
          </cell>
          <cell r="CB28">
            <v>0</v>
          </cell>
          <cell r="CC28" t="str">
            <v/>
          </cell>
        </row>
        <row r="29">
          <cell r="C29">
            <v>39479</v>
          </cell>
          <cell r="D29" t="str">
            <v>TOTAL</v>
          </cell>
          <cell r="E29">
            <v>0.99859657203970309</v>
          </cell>
          <cell r="F29" t="str">
            <v>c</v>
          </cell>
          <cell r="G29" t="str">
            <v>c</v>
          </cell>
          <cell r="H29" t="str">
            <v>g</v>
          </cell>
          <cell r="I29" t="str">
            <v>c</v>
          </cell>
          <cell r="J29" t="str">
            <v>c</v>
          </cell>
          <cell r="K29">
            <v>1.1000000000000001</v>
          </cell>
          <cell r="L29">
            <v>1.05</v>
          </cell>
          <cell r="M29">
            <v>0.95</v>
          </cell>
          <cell r="N29">
            <v>0.9</v>
          </cell>
          <cell r="O29">
            <v>0.99999944410751185</v>
          </cell>
          <cell r="P29" t="str">
            <v>c</v>
          </cell>
          <cell r="Q29" t="str">
            <v>c</v>
          </cell>
          <cell r="R29" t="str">
            <v>g</v>
          </cell>
          <cell r="S29" t="str">
            <v>c</v>
          </cell>
          <cell r="T29" t="str">
            <v>c</v>
          </cell>
          <cell r="U29">
            <v>1.1000000000000001</v>
          </cell>
          <cell r="V29">
            <v>1.05</v>
          </cell>
          <cell r="W29">
            <v>0.95</v>
          </cell>
          <cell r="X29">
            <v>0.9</v>
          </cell>
          <cell r="Y29">
            <v>1.0000086570835049</v>
          </cell>
          <cell r="Z29" t="str">
            <v>c</v>
          </cell>
          <cell r="AA29" t="str">
            <v>c</v>
          </cell>
          <cell r="AB29" t="str">
            <v>g</v>
          </cell>
          <cell r="AC29" t="str">
            <v>c</v>
          </cell>
          <cell r="AD29" t="str">
            <v>c</v>
          </cell>
          <cell r="AE29">
            <v>1.1000000000000001</v>
          </cell>
          <cell r="AF29">
            <v>1.05</v>
          </cell>
          <cell r="AG29">
            <v>0.95</v>
          </cell>
          <cell r="AH29">
            <v>0.9</v>
          </cell>
          <cell r="AI29">
            <v>0.99999936742491335</v>
          </cell>
          <cell r="AJ29" t="str">
            <v>c</v>
          </cell>
          <cell r="AK29" t="str">
            <v>c</v>
          </cell>
          <cell r="AL29" t="str">
            <v>g</v>
          </cell>
          <cell r="AM29" t="str">
            <v>c</v>
          </cell>
          <cell r="AN29" t="str">
            <v>c</v>
          </cell>
          <cell r="AO29">
            <v>1.1000000000000001</v>
          </cell>
          <cell r="AP29">
            <v>1.05</v>
          </cell>
          <cell r="AQ29">
            <v>0.95</v>
          </cell>
          <cell r="AR29">
            <v>0.9</v>
          </cell>
          <cell r="AS29"/>
          <cell r="AT29">
            <v>39479</v>
          </cell>
          <cell r="AU29" t="str">
            <v>TOTAL</v>
          </cell>
          <cell r="AV29">
            <v>0</v>
          </cell>
          <cell r="AW29">
            <v>6106309.9000000004</v>
          </cell>
          <cell r="AX29">
            <v>0</v>
          </cell>
          <cell r="AY29">
            <v>6106309.9000000004</v>
          </cell>
          <cell r="AZ29" t="str">
            <v/>
          </cell>
          <cell r="BA29">
            <v>6106309.9000000004</v>
          </cell>
          <cell r="BB29" t="e">
            <v>#DIV/0!</v>
          </cell>
          <cell r="BC29"/>
          <cell r="BD29">
            <v>0</v>
          </cell>
          <cell r="BE29">
            <v>5396724</v>
          </cell>
          <cell r="BF29">
            <v>0</v>
          </cell>
          <cell r="BG29">
            <v>5396724</v>
          </cell>
          <cell r="BH29" t="str">
            <v/>
          </cell>
          <cell r="BI29">
            <v>5396724</v>
          </cell>
          <cell r="BJ29">
            <v>-1</v>
          </cell>
          <cell r="BK29"/>
          <cell r="BL29">
            <v>0</v>
          </cell>
          <cell r="BM29">
            <v>11403477.23</v>
          </cell>
          <cell r="BN29">
            <v>0</v>
          </cell>
          <cell r="BO29">
            <v>11403477.23</v>
          </cell>
          <cell r="BP29" t="str">
            <v/>
          </cell>
          <cell r="BQ29">
            <v>11403477.23</v>
          </cell>
          <cell r="BR29" t="str">
            <v/>
          </cell>
          <cell r="BS29">
            <v>0</v>
          </cell>
          <cell r="BT29" t="e">
            <v>#DIV/0!</v>
          </cell>
          <cell r="BU29">
            <v>0</v>
          </cell>
          <cell r="BV29">
            <v>9485034</v>
          </cell>
          <cell r="BW29">
            <v>0</v>
          </cell>
          <cell r="BX29">
            <v>9485034</v>
          </cell>
          <cell r="BY29" t="str">
            <v/>
          </cell>
          <cell r="BZ29">
            <v>9485034</v>
          </cell>
          <cell r="CA29" t="str">
            <v/>
          </cell>
          <cell r="CB29">
            <v>0</v>
          </cell>
          <cell r="CC29" t="str">
            <v/>
          </cell>
        </row>
        <row r="30">
          <cell r="C30">
            <v>39508</v>
          </cell>
          <cell r="D30" t="str">
            <v>TOTAL</v>
          </cell>
          <cell r="E30">
            <v>0.99653763497641012</v>
          </cell>
          <cell r="F30" t="str">
            <v>c</v>
          </cell>
          <cell r="G30" t="str">
            <v>c</v>
          </cell>
          <cell r="H30" t="str">
            <v>g</v>
          </cell>
          <cell r="I30" t="str">
            <v>c</v>
          </cell>
          <cell r="J30" t="str">
            <v>c</v>
          </cell>
          <cell r="K30">
            <v>1.1000000000000001</v>
          </cell>
          <cell r="L30">
            <v>1.05</v>
          </cell>
          <cell r="M30">
            <v>0.95</v>
          </cell>
          <cell r="N30">
            <v>0.9</v>
          </cell>
          <cell r="O30">
            <v>0.99999946851510024</v>
          </cell>
          <cell r="P30" t="str">
            <v>c</v>
          </cell>
          <cell r="Q30" t="str">
            <v>c</v>
          </cell>
          <cell r="R30" t="str">
            <v>g</v>
          </cell>
          <cell r="S30" t="str">
            <v>c</v>
          </cell>
          <cell r="T30" t="str">
            <v>c</v>
          </cell>
          <cell r="U30">
            <v>1.1000000000000001</v>
          </cell>
          <cell r="V30">
            <v>1.05</v>
          </cell>
          <cell r="W30">
            <v>0.95</v>
          </cell>
          <cell r="X30">
            <v>0.9</v>
          </cell>
          <cell r="Y30">
            <v>0.9987507611787424</v>
          </cell>
          <cell r="Z30" t="str">
            <v>c</v>
          </cell>
          <cell r="AA30" t="str">
            <v>c</v>
          </cell>
          <cell r="AB30" t="str">
            <v>g</v>
          </cell>
          <cell r="AC30" t="str">
            <v>c</v>
          </cell>
          <cell r="AD30" t="str">
            <v>c</v>
          </cell>
          <cell r="AE30">
            <v>1.1000000000000001</v>
          </cell>
          <cell r="AF30">
            <v>1.05</v>
          </cell>
          <cell r="AG30">
            <v>0.95</v>
          </cell>
          <cell r="AH30">
            <v>0.9</v>
          </cell>
          <cell r="AI30">
            <v>0.99999940513971186</v>
          </cell>
          <cell r="AJ30" t="str">
            <v>c</v>
          </cell>
          <cell r="AK30" t="str">
            <v>c</v>
          </cell>
          <cell r="AL30" t="str">
            <v>g</v>
          </cell>
          <cell r="AM30" t="str">
            <v>c</v>
          </cell>
          <cell r="AN30" t="str">
            <v>c</v>
          </cell>
          <cell r="AO30">
            <v>1.1000000000000001</v>
          </cell>
          <cell r="AP30">
            <v>1.05</v>
          </cell>
          <cell r="AQ30">
            <v>0.95</v>
          </cell>
          <cell r="AR30">
            <v>0.9</v>
          </cell>
          <cell r="AS30"/>
          <cell r="AT30">
            <v>39508</v>
          </cell>
          <cell r="AU30" t="str">
            <v>TOTAL</v>
          </cell>
          <cell r="AV30">
            <v>0</v>
          </cell>
          <cell r="AW30">
            <v>6459007.1900000051</v>
          </cell>
          <cell r="AX30">
            <v>0</v>
          </cell>
          <cell r="AY30">
            <v>6459007.1900000051</v>
          </cell>
          <cell r="AZ30" t="str">
            <v/>
          </cell>
          <cell r="BA30">
            <v>6459007.1900000051</v>
          </cell>
          <cell r="BB30" t="e">
            <v>#DIV/0!</v>
          </cell>
          <cell r="BC30"/>
          <cell r="BD30">
            <v>0</v>
          </cell>
          <cell r="BE30">
            <v>5644560</v>
          </cell>
          <cell r="BF30">
            <v>0</v>
          </cell>
          <cell r="BG30">
            <v>5644560</v>
          </cell>
          <cell r="BH30" t="str">
            <v/>
          </cell>
          <cell r="BI30">
            <v>5644560</v>
          </cell>
          <cell r="BJ30">
            <v>-1</v>
          </cell>
          <cell r="BK30"/>
          <cell r="BL30">
            <v>0</v>
          </cell>
          <cell r="BM30">
            <v>17862484.420000006</v>
          </cell>
          <cell r="BN30">
            <v>0</v>
          </cell>
          <cell r="BO30">
            <v>17862484.420000006</v>
          </cell>
          <cell r="BP30" t="str">
            <v/>
          </cell>
          <cell r="BQ30">
            <v>17862484.420000006</v>
          </cell>
          <cell r="BR30" t="str">
            <v/>
          </cell>
          <cell r="BS30">
            <v>0</v>
          </cell>
          <cell r="BT30" t="e">
            <v>#DIV/0!</v>
          </cell>
          <cell r="BU30">
            <v>0</v>
          </cell>
          <cell r="BV30">
            <v>15129594</v>
          </cell>
          <cell r="BW30">
            <v>0</v>
          </cell>
          <cell r="BX30">
            <v>15129594</v>
          </cell>
          <cell r="BY30" t="str">
            <v/>
          </cell>
          <cell r="BZ30">
            <v>15129594</v>
          </cell>
          <cell r="CA30" t="str">
            <v/>
          </cell>
          <cell r="CB30">
            <v>0</v>
          </cell>
          <cell r="CC30" t="str">
            <v/>
          </cell>
        </row>
        <row r="31">
          <cell r="C31">
            <v>39539</v>
          </cell>
          <cell r="D31" t="str">
            <v>TOTAL</v>
          </cell>
          <cell r="E31">
            <v>0.9674171762102548</v>
          </cell>
          <cell r="F31" t="str">
            <v>c</v>
          </cell>
          <cell r="G31" t="str">
            <v>c</v>
          </cell>
          <cell r="H31" t="str">
            <v>g</v>
          </cell>
          <cell r="I31" t="str">
            <v>c</v>
          </cell>
          <cell r="J31" t="str">
            <v>c</v>
          </cell>
          <cell r="K31">
            <v>1.1000000000000001</v>
          </cell>
          <cell r="L31">
            <v>1.05</v>
          </cell>
          <cell r="M31">
            <v>0.95</v>
          </cell>
          <cell r="N31">
            <v>0.9</v>
          </cell>
          <cell r="O31">
            <v>0.93780613391145484</v>
          </cell>
          <cell r="P31" t="str">
            <v>c</v>
          </cell>
          <cell r="Q31" t="str">
            <v>c</v>
          </cell>
          <cell r="R31" t="str">
            <v>c</v>
          </cell>
          <cell r="S31" t="str">
            <v>g</v>
          </cell>
          <cell r="T31" t="str">
            <v>c</v>
          </cell>
          <cell r="U31">
            <v>1.1000000000000001</v>
          </cell>
          <cell r="V31">
            <v>1.05</v>
          </cell>
          <cell r="W31">
            <v>0.95</v>
          </cell>
          <cell r="X31">
            <v>0.9</v>
          </cell>
          <cell r="Y31">
            <v>0.99001098957284583</v>
          </cell>
          <cell r="Z31" t="str">
            <v>c</v>
          </cell>
          <cell r="AA31" t="str">
            <v>c</v>
          </cell>
          <cell r="AB31" t="str">
            <v>g</v>
          </cell>
          <cell r="AC31" t="str">
            <v>c</v>
          </cell>
          <cell r="AD31" t="str">
            <v>c</v>
          </cell>
          <cell r="AE31">
            <v>1.1000000000000001</v>
          </cell>
          <cell r="AF31">
            <v>1.05</v>
          </cell>
          <cell r="AG31">
            <v>0.95</v>
          </cell>
          <cell r="AH31">
            <v>0.9</v>
          </cell>
          <cell r="AI31">
            <v>0.9839524538074339</v>
          </cell>
          <cell r="AJ31" t="str">
            <v>c</v>
          </cell>
          <cell r="AK31" t="str">
            <v>c</v>
          </cell>
          <cell r="AL31" t="str">
            <v>g</v>
          </cell>
          <cell r="AM31" t="str">
            <v>c</v>
          </cell>
          <cell r="AN31" t="str">
            <v>c</v>
          </cell>
          <cell r="AO31">
            <v>1.1000000000000001</v>
          </cell>
          <cell r="AP31">
            <v>1.05</v>
          </cell>
          <cell r="AQ31">
            <v>0.95</v>
          </cell>
          <cell r="AR31">
            <v>0.9</v>
          </cell>
          <cell r="AS31"/>
          <cell r="AT31">
            <v>39539</v>
          </cell>
          <cell r="AU31" t="str">
            <v>TOTAL</v>
          </cell>
          <cell r="AV31">
            <v>0</v>
          </cell>
          <cell r="AW31">
            <v>6692818.9999999925</v>
          </cell>
          <cell r="AX31">
            <v>0</v>
          </cell>
          <cell r="AY31">
            <v>6692818.9999999925</v>
          </cell>
          <cell r="AZ31" t="str">
            <v/>
          </cell>
          <cell r="BA31">
            <v>6692818.9999999925</v>
          </cell>
          <cell r="BB31" t="e">
            <v>#DIV/0!</v>
          </cell>
          <cell r="BC31"/>
          <cell r="BD31">
            <v>0</v>
          </cell>
          <cell r="BE31">
            <v>4933965</v>
          </cell>
          <cell r="BF31">
            <v>0</v>
          </cell>
          <cell r="BG31">
            <v>4933965</v>
          </cell>
          <cell r="BH31" t="str">
            <v/>
          </cell>
          <cell r="BI31">
            <v>4933965</v>
          </cell>
          <cell r="BJ31">
            <v>-1</v>
          </cell>
          <cell r="BK31"/>
          <cell r="BL31">
            <v>0</v>
          </cell>
          <cell r="BM31">
            <v>24555303.419999998</v>
          </cell>
          <cell r="BN31">
            <v>0</v>
          </cell>
          <cell r="BO31">
            <v>24555303.419999998</v>
          </cell>
          <cell r="BP31" t="str">
            <v/>
          </cell>
          <cell r="BQ31">
            <v>24555303.419999998</v>
          </cell>
          <cell r="BR31" t="str">
            <v/>
          </cell>
          <cell r="BS31">
            <v>0</v>
          </cell>
          <cell r="BT31" t="e">
            <v>#DIV/0!</v>
          </cell>
          <cell r="BU31">
            <v>0</v>
          </cell>
          <cell r="BV31">
            <v>20063559</v>
          </cell>
          <cell r="BW31">
            <v>0</v>
          </cell>
          <cell r="BX31">
            <v>20063559</v>
          </cell>
          <cell r="BY31" t="str">
            <v/>
          </cell>
          <cell r="BZ31">
            <v>20063559</v>
          </cell>
          <cell r="CA31" t="str">
            <v/>
          </cell>
          <cell r="CB31">
            <v>0</v>
          </cell>
          <cell r="CC31" t="str">
            <v/>
          </cell>
        </row>
        <row r="32">
          <cell r="C32">
            <v>39569</v>
          </cell>
          <cell r="D32" t="str">
            <v>TOTAL</v>
          </cell>
          <cell r="E32">
            <v>0.93899457835764255</v>
          </cell>
          <cell r="F32" t="str">
            <v>c</v>
          </cell>
          <cell r="G32" t="str">
            <v>c</v>
          </cell>
          <cell r="H32" t="str">
            <v>c</v>
          </cell>
          <cell r="I32" t="str">
            <v>g</v>
          </cell>
          <cell r="J32" t="str">
            <v>c</v>
          </cell>
          <cell r="K32">
            <v>1.1000000000000001</v>
          </cell>
          <cell r="L32">
            <v>1.05</v>
          </cell>
          <cell r="M32">
            <v>0.95</v>
          </cell>
          <cell r="N32">
            <v>0.9</v>
          </cell>
          <cell r="O32">
            <v>0.91367971257955682</v>
          </cell>
          <cell r="P32" t="str">
            <v>c</v>
          </cell>
          <cell r="Q32" t="str">
            <v>c</v>
          </cell>
          <cell r="R32" t="str">
            <v>c</v>
          </cell>
          <cell r="S32" t="str">
            <v>g</v>
          </cell>
          <cell r="T32" t="str">
            <v>c</v>
          </cell>
          <cell r="U32">
            <v>1.1000000000000001</v>
          </cell>
          <cell r="V32">
            <v>1.05</v>
          </cell>
          <cell r="W32">
            <v>0.95</v>
          </cell>
          <cell r="X32">
            <v>0.9</v>
          </cell>
          <cell r="Y32">
            <v>0.97832912200461486</v>
          </cell>
          <cell r="Z32" t="str">
            <v>c</v>
          </cell>
          <cell r="AA32" t="str">
            <v>c</v>
          </cell>
          <cell r="AB32" t="str">
            <v>g</v>
          </cell>
          <cell r="AC32" t="str">
            <v>c</v>
          </cell>
          <cell r="AD32" t="str">
            <v>c</v>
          </cell>
          <cell r="AE32">
            <v>1.1000000000000001</v>
          </cell>
          <cell r="AF32">
            <v>1.05</v>
          </cell>
          <cell r="AG32">
            <v>0.95</v>
          </cell>
          <cell r="AH32">
            <v>0.9</v>
          </cell>
          <cell r="AI32">
            <v>0.96929469512607624</v>
          </cell>
          <cell r="AJ32" t="str">
            <v>c</v>
          </cell>
          <cell r="AK32" t="str">
            <v>c</v>
          </cell>
          <cell r="AL32" t="str">
            <v>g</v>
          </cell>
          <cell r="AM32" t="str">
            <v>c</v>
          </cell>
          <cell r="AN32" t="str">
            <v>c</v>
          </cell>
          <cell r="AO32">
            <v>1.1000000000000001</v>
          </cell>
          <cell r="AP32">
            <v>1.05</v>
          </cell>
          <cell r="AQ32">
            <v>0.95</v>
          </cell>
          <cell r="AR32">
            <v>0.9</v>
          </cell>
          <cell r="AS32"/>
          <cell r="AT32">
            <v>39569</v>
          </cell>
          <cell r="AU32" t="str">
            <v>TOTAL</v>
          </cell>
          <cell r="AV32">
            <v>0</v>
          </cell>
          <cell r="AW32">
            <v>6916821</v>
          </cell>
          <cell r="AX32">
            <v>0</v>
          </cell>
          <cell r="AY32">
            <v>6916821</v>
          </cell>
          <cell r="AZ32" t="str">
            <v/>
          </cell>
          <cell r="BA32">
            <v>6916821</v>
          </cell>
          <cell r="BB32" t="e">
            <v>#DIV/0!</v>
          </cell>
          <cell r="BC32"/>
          <cell r="BD32">
            <v>0</v>
          </cell>
          <cell r="BE32">
            <v>4910250</v>
          </cell>
          <cell r="BF32">
            <v>0</v>
          </cell>
          <cell r="BG32">
            <v>4910250</v>
          </cell>
          <cell r="BH32" t="str">
            <v/>
          </cell>
          <cell r="BI32">
            <v>4910250</v>
          </cell>
          <cell r="BJ32">
            <v>-1</v>
          </cell>
          <cell r="BK32"/>
          <cell r="BL32">
            <v>0</v>
          </cell>
          <cell r="BM32">
            <v>31472124.419999998</v>
          </cell>
          <cell r="BN32">
            <v>0</v>
          </cell>
          <cell r="BO32">
            <v>31472124.419999998</v>
          </cell>
          <cell r="BP32" t="str">
            <v/>
          </cell>
          <cell r="BQ32">
            <v>31472124.419999998</v>
          </cell>
          <cell r="BR32" t="str">
            <v/>
          </cell>
          <cell r="BS32">
            <v>0</v>
          </cell>
          <cell r="BT32" t="e">
            <v>#DIV/0!</v>
          </cell>
          <cell r="BU32">
            <v>0</v>
          </cell>
          <cell r="BV32">
            <v>24973809</v>
          </cell>
          <cell r="BW32">
            <v>0</v>
          </cell>
          <cell r="BX32">
            <v>24973809</v>
          </cell>
          <cell r="BY32" t="str">
            <v/>
          </cell>
          <cell r="BZ32">
            <v>24973809</v>
          </cell>
          <cell r="CA32" t="str">
            <v/>
          </cell>
          <cell r="CB32">
            <v>0</v>
          </cell>
          <cell r="CC32" t="str">
            <v/>
          </cell>
        </row>
        <row r="33">
          <cell r="C33">
            <v>39600</v>
          </cell>
          <cell r="D33" t="str">
            <v>TOTAL</v>
          </cell>
          <cell r="E33">
            <v>1.0816811679517668</v>
          </cell>
          <cell r="F33" t="str">
            <v>c</v>
          </cell>
          <cell r="G33" t="str">
            <v>g</v>
          </cell>
          <cell r="H33" t="str">
            <v>c</v>
          </cell>
          <cell r="I33" t="str">
            <v>c</v>
          </cell>
          <cell r="J33" t="str">
            <v>c</v>
          </cell>
          <cell r="K33">
            <v>1.1000000000000001</v>
          </cell>
          <cell r="L33">
            <v>1.05</v>
          </cell>
          <cell r="M33">
            <v>0.95</v>
          </cell>
          <cell r="N33">
            <v>0.9</v>
          </cell>
          <cell r="O33">
            <v>0.92401067327793596</v>
          </cell>
          <cell r="P33" t="str">
            <v>c</v>
          </cell>
          <cell r="Q33" t="str">
            <v>c</v>
          </cell>
          <cell r="R33" t="str">
            <v>c</v>
          </cell>
          <cell r="S33" t="str">
            <v>g</v>
          </cell>
          <cell r="T33" t="str">
            <v>c</v>
          </cell>
          <cell r="U33">
            <v>1.1000000000000001</v>
          </cell>
          <cell r="V33">
            <v>1.05</v>
          </cell>
          <cell r="W33">
            <v>0.95</v>
          </cell>
          <cell r="X33">
            <v>0.9</v>
          </cell>
          <cell r="Y33">
            <v>0.99668930200323202</v>
          </cell>
          <cell r="Z33" t="str">
            <v>c</v>
          </cell>
          <cell r="AA33" t="str">
            <v>c</v>
          </cell>
          <cell r="AB33" t="str">
            <v>g</v>
          </cell>
          <cell r="AC33" t="str">
            <v>c</v>
          </cell>
          <cell r="AD33" t="str">
            <v>c</v>
          </cell>
          <cell r="AE33">
            <v>1.1000000000000001</v>
          </cell>
          <cell r="AF33">
            <v>1.05</v>
          </cell>
          <cell r="AG33">
            <v>0.95</v>
          </cell>
          <cell r="AH33">
            <v>0.9</v>
          </cell>
          <cell r="AI33">
            <v>0.96130337118444042</v>
          </cell>
          <cell r="AJ33" t="str">
            <v>c</v>
          </cell>
          <cell r="AK33" t="str">
            <v>c</v>
          </cell>
          <cell r="AL33" t="str">
            <v>g</v>
          </cell>
          <cell r="AM33" t="str">
            <v>c</v>
          </cell>
          <cell r="AN33" t="str">
            <v>c</v>
          </cell>
          <cell r="AO33">
            <v>1.1000000000000001</v>
          </cell>
          <cell r="AP33">
            <v>1.05</v>
          </cell>
          <cell r="AQ33">
            <v>0.95</v>
          </cell>
          <cell r="AR33">
            <v>0.9</v>
          </cell>
          <cell r="AS33"/>
          <cell r="AT33">
            <v>39600</v>
          </cell>
          <cell r="AU33" t="str">
            <v>TOTAL</v>
          </cell>
          <cell r="AV33">
            <v>0</v>
          </cell>
          <cell r="AW33">
            <v>7516919.8122177832</v>
          </cell>
          <cell r="AX33">
            <v>0</v>
          </cell>
          <cell r="AY33">
            <v>7516919.8122177832</v>
          </cell>
          <cell r="AZ33" t="str">
            <v/>
          </cell>
          <cell r="BA33">
            <v>7516919.8122177832</v>
          </cell>
          <cell r="BB33" t="e">
            <v>#DIV/0!</v>
          </cell>
          <cell r="BC33"/>
          <cell r="BD33">
            <v>0</v>
          </cell>
          <cell r="BE33">
            <v>5101535</v>
          </cell>
          <cell r="BF33">
            <v>0</v>
          </cell>
          <cell r="BG33">
            <v>5101535</v>
          </cell>
          <cell r="BH33" t="str">
            <v/>
          </cell>
          <cell r="BI33">
            <v>5101535</v>
          </cell>
          <cell r="BJ33">
            <v>-1</v>
          </cell>
          <cell r="BK33"/>
          <cell r="BL33">
            <v>0</v>
          </cell>
          <cell r="BM33">
            <v>38989044.232217781</v>
          </cell>
          <cell r="BN33">
            <v>0</v>
          </cell>
          <cell r="BO33">
            <v>38989044.232217781</v>
          </cell>
          <cell r="BP33" t="str">
            <v/>
          </cell>
          <cell r="BQ33">
            <v>38989044.232217781</v>
          </cell>
          <cell r="BR33" t="str">
            <v/>
          </cell>
          <cell r="BS33">
            <v>0</v>
          </cell>
          <cell r="BT33" t="e">
            <v>#DIV/0!</v>
          </cell>
          <cell r="BU33">
            <v>0</v>
          </cell>
          <cell r="BV33">
            <v>30075344</v>
          </cell>
          <cell r="BW33">
            <v>0</v>
          </cell>
          <cell r="BX33">
            <v>30075344</v>
          </cell>
          <cell r="BY33" t="str">
            <v/>
          </cell>
          <cell r="BZ33">
            <v>30075344</v>
          </cell>
          <cell r="CA33" t="str">
            <v/>
          </cell>
          <cell r="CB33">
            <v>0</v>
          </cell>
          <cell r="CC33" t="str">
            <v/>
          </cell>
        </row>
        <row r="34">
          <cell r="C34">
            <v>39630</v>
          </cell>
          <cell r="D34" t="str">
            <v>TOTAL</v>
          </cell>
          <cell r="E34">
            <v>0.95856176008835781</v>
          </cell>
          <cell r="F34" t="str">
            <v>c</v>
          </cell>
          <cell r="G34" t="str">
            <v>c</v>
          </cell>
          <cell r="H34" t="str">
            <v>g</v>
          </cell>
          <cell r="I34" t="str">
            <v>c</v>
          </cell>
          <cell r="J34" t="str">
            <v>c</v>
          </cell>
          <cell r="K34">
            <v>1.1000000000000001</v>
          </cell>
          <cell r="L34">
            <v>1.05</v>
          </cell>
          <cell r="M34">
            <v>0.95</v>
          </cell>
          <cell r="N34">
            <v>0.9</v>
          </cell>
          <cell r="O34">
            <v>1.0440351940730477</v>
          </cell>
          <cell r="P34" t="str">
            <v>c</v>
          </cell>
          <cell r="Q34" t="str">
            <v>c</v>
          </cell>
          <cell r="R34" t="str">
            <v>g</v>
          </cell>
          <cell r="S34" t="str">
            <v>c</v>
          </cell>
          <cell r="T34" t="str">
            <v>c</v>
          </cell>
          <cell r="U34">
            <v>1.1000000000000001</v>
          </cell>
          <cell r="V34">
            <v>1.05</v>
          </cell>
          <cell r="W34">
            <v>0.95</v>
          </cell>
          <cell r="X34">
            <v>0.9</v>
          </cell>
          <cell r="Y34">
            <v>0.99015201923298513</v>
          </cell>
          <cell r="Z34" t="str">
            <v>c</v>
          </cell>
          <cell r="AA34" t="str">
            <v>c</v>
          </cell>
          <cell r="AB34" t="str">
            <v>g</v>
          </cell>
          <cell r="AC34" t="str">
            <v>c</v>
          </cell>
          <cell r="AD34" t="str">
            <v>c</v>
          </cell>
          <cell r="AE34">
            <v>1.1000000000000001</v>
          </cell>
          <cell r="AF34">
            <v>1.05</v>
          </cell>
          <cell r="AG34">
            <v>0.95</v>
          </cell>
          <cell r="AH34">
            <v>0.9</v>
          </cell>
          <cell r="AI34">
            <v>0.9741050353879217</v>
          </cell>
          <cell r="AJ34" t="str">
            <v>c</v>
          </cell>
          <cell r="AK34" t="str">
            <v>c</v>
          </cell>
          <cell r="AL34" t="str">
            <v>g</v>
          </cell>
          <cell r="AM34" t="str">
            <v>c</v>
          </cell>
          <cell r="AN34" t="str">
            <v>c</v>
          </cell>
          <cell r="AO34">
            <v>1.1000000000000001</v>
          </cell>
          <cell r="AP34">
            <v>1.05</v>
          </cell>
          <cell r="AQ34">
            <v>0.95</v>
          </cell>
          <cell r="AR34">
            <v>0.9</v>
          </cell>
          <cell r="AS34"/>
          <cell r="AT34">
            <v>39630</v>
          </cell>
          <cell r="AU34" t="str">
            <v>TOTAL</v>
          </cell>
          <cell r="AV34">
            <v>0</v>
          </cell>
          <cell r="AW34">
            <v>7759736.5042442158</v>
          </cell>
          <cell r="AX34">
            <v>0</v>
          </cell>
          <cell r="AY34">
            <v>7759736.5042442158</v>
          </cell>
          <cell r="AZ34" t="str">
            <v/>
          </cell>
          <cell r="BA34">
            <v>7759736.5042442158</v>
          </cell>
          <cell r="BB34" t="e">
            <v>#DIV/0!</v>
          </cell>
          <cell r="BC34"/>
          <cell r="BD34">
            <v>0</v>
          </cell>
          <cell r="BE34">
            <v>5979532</v>
          </cell>
          <cell r="BF34">
            <v>0</v>
          </cell>
          <cell r="BG34">
            <v>5979532</v>
          </cell>
          <cell r="BH34" t="str">
            <v/>
          </cell>
          <cell r="BI34">
            <v>5979532</v>
          </cell>
          <cell r="BJ34">
            <v>-1</v>
          </cell>
          <cell r="BK34"/>
          <cell r="BL34">
            <v>0</v>
          </cell>
          <cell r="BM34">
            <v>46748780.736461997</v>
          </cell>
          <cell r="BN34">
            <v>0</v>
          </cell>
          <cell r="BO34">
            <v>46748780.736461997</v>
          </cell>
          <cell r="BP34" t="str">
            <v/>
          </cell>
          <cell r="BQ34">
            <v>46748780.736461997</v>
          </cell>
          <cell r="BR34" t="str">
            <v/>
          </cell>
          <cell r="BS34">
            <v>0</v>
          </cell>
          <cell r="BT34" t="e">
            <v>#DIV/0!</v>
          </cell>
          <cell r="BU34">
            <v>0</v>
          </cell>
          <cell r="BV34">
            <v>36054876</v>
          </cell>
          <cell r="BW34">
            <v>0</v>
          </cell>
          <cell r="BX34">
            <v>36054876</v>
          </cell>
          <cell r="BY34" t="str">
            <v/>
          </cell>
          <cell r="BZ34">
            <v>36054876</v>
          </cell>
          <cell r="CA34" t="str">
            <v/>
          </cell>
          <cell r="CB34">
            <v>0</v>
          </cell>
          <cell r="CC34" t="str">
            <v/>
          </cell>
        </row>
        <row r="35">
          <cell r="C35">
            <v>39661</v>
          </cell>
          <cell r="D35" t="str">
            <v>TOTAL</v>
          </cell>
          <cell r="E35">
            <v>1.1584571112023712</v>
          </cell>
          <cell r="F35" t="str">
            <v>g</v>
          </cell>
          <cell r="G35" t="str">
            <v>c</v>
          </cell>
          <cell r="H35" t="str">
            <v>c</v>
          </cell>
          <cell r="I35" t="str">
            <v>c</v>
          </cell>
          <cell r="J35" t="str">
            <v>c</v>
          </cell>
          <cell r="K35">
            <v>1.1000000000000001</v>
          </cell>
          <cell r="L35">
            <v>1.05</v>
          </cell>
          <cell r="M35">
            <v>0.95</v>
          </cell>
          <cell r="N35">
            <v>0.9</v>
          </cell>
          <cell r="O35">
            <v>1.0686937474397673</v>
          </cell>
          <cell r="P35" t="str">
            <v>c</v>
          </cell>
          <cell r="Q35" t="str">
            <v>g</v>
          </cell>
          <cell r="R35" t="str">
            <v>c</v>
          </cell>
          <cell r="S35" t="str">
            <v>c</v>
          </cell>
          <cell r="T35" t="str">
            <v>c</v>
          </cell>
          <cell r="U35">
            <v>1.1000000000000001</v>
          </cell>
          <cell r="V35">
            <v>1.05</v>
          </cell>
          <cell r="W35">
            <v>0.95</v>
          </cell>
          <cell r="X35">
            <v>0.9</v>
          </cell>
          <cell r="Y35">
            <v>1.0120528622885292</v>
          </cell>
          <cell r="Z35" t="str">
            <v>c</v>
          </cell>
          <cell r="AA35" t="str">
            <v>c</v>
          </cell>
          <cell r="AB35" t="str">
            <v>g</v>
          </cell>
          <cell r="AC35" t="str">
            <v>c</v>
          </cell>
          <cell r="AD35" t="str">
            <v>c</v>
          </cell>
          <cell r="AE35">
            <v>1.1000000000000001</v>
          </cell>
          <cell r="AF35">
            <v>1.05</v>
          </cell>
          <cell r="AG35">
            <v>0.95</v>
          </cell>
          <cell r="AH35">
            <v>0.9</v>
          </cell>
          <cell r="AI35">
            <v>0.98619995792657167</v>
          </cell>
          <cell r="AJ35" t="str">
            <v>c</v>
          </cell>
          <cell r="AK35" t="str">
            <v>c</v>
          </cell>
          <cell r="AL35" t="str">
            <v>g</v>
          </cell>
          <cell r="AM35" t="str">
            <v>c</v>
          </cell>
          <cell r="AN35" t="str">
            <v>c</v>
          </cell>
          <cell r="AO35">
            <v>1.1000000000000001</v>
          </cell>
          <cell r="AP35">
            <v>1.05</v>
          </cell>
          <cell r="AQ35">
            <v>0.95</v>
          </cell>
          <cell r="AR35">
            <v>0.9</v>
          </cell>
          <cell r="AS35"/>
          <cell r="AT35">
            <v>39661</v>
          </cell>
          <cell r="AU35" t="str">
            <v>TOTAL</v>
          </cell>
          <cell r="AV35">
            <v>0</v>
          </cell>
          <cell r="AW35">
            <v>8181925.5400760323</v>
          </cell>
          <cell r="AX35">
            <v>0</v>
          </cell>
          <cell r="AY35">
            <v>8181925.5400760323</v>
          </cell>
          <cell r="AZ35" t="str">
            <v/>
          </cell>
          <cell r="BA35">
            <v>8181925.5400760323</v>
          </cell>
          <cell r="BB35" t="e">
            <v>#DIV/0!</v>
          </cell>
          <cell r="BC35"/>
          <cell r="BD35">
            <v>0</v>
          </cell>
          <cell r="BE35">
            <v>5799537</v>
          </cell>
          <cell r="BF35">
            <v>0</v>
          </cell>
          <cell r="BG35">
            <v>5799537</v>
          </cell>
          <cell r="BH35" t="str">
            <v/>
          </cell>
          <cell r="BI35">
            <v>5799537</v>
          </cell>
          <cell r="BJ35">
            <v>-1</v>
          </cell>
          <cell r="BK35"/>
          <cell r="BL35">
            <v>0</v>
          </cell>
          <cell r="BM35">
            <v>54930706.276538029</v>
          </cell>
          <cell r="BN35">
            <v>0</v>
          </cell>
          <cell r="BO35">
            <v>54930706.276538029</v>
          </cell>
          <cell r="BP35" t="str">
            <v/>
          </cell>
          <cell r="BQ35">
            <v>54930706.276538029</v>
          </cell>
          <cell r="BR35" t="str">
            <v/>
          </cell>
          <cell r="BS35">
            <v>0</v>
          </cell>
          <cell r="BT35" t="e">
            <v>#DIV/0!</v>
          </cell>
          <cell r="BU35">
            <v>0</v>
          </cell>
          <cell r="BV35">
            <v>41854413</v>
          </cell>
          <cell r="BW35">
            <v>0</v>
          </cell>
          <cell r="BX35">
            <v>41854413</v>
          </cell>
          <cell r="BY35" t="str">
            <v/>
          </cell>
          <cell r="BZ35">
            <v>41854413</v>
          </cell>
          <cell r="CA35" t="str">
            <v/>
          </cell>
          <cell r="CB35">
            <v>0</v>
          </cell>
          <cell r="CC35" t="str">
            <v/>
          </cell>
        </row>
        <row r="36">
          <cell r="C36">
            <v>39692</v>
          </cell>
          <cell r="D36" t="str">
            <v>TOTAL</v>
          </cell>
          <cell r="E36">
            <v>1.0491141275162224</v>
          </cell>
          <cell r="F36" t="str">
            <v>c</v>
          </cell>
          <cell r="G36" t="str">
            <v>c</v>
          </cell>
          <cell r="H36" t="str">
            <v>g</v>
          </cell>
          <cell r="I36" t="str">
            <v>c</v>
          </cell>
          <cell r="J36" t="str">
            <v>c</v>
          </cell>
          <cell r="K36">
            <v>1.1000000000000001</v>
          </cell>
          <cell r="L36">
            <v>1.05</v>
          </cell>
          <cell r="M36">
            <v>0.95</v>
          </cell>
          <cell r="N36">
            <v>0.9</v>
          </cell>
          <cell r="O36">
            <v>1.0789162159700298</v>
          </cell>
          <cell r="P36" t="str">
            <v>c</v>
          </cell>
          <cell r="Q36" t="str">
            <v>g</v>
          </cell>
          <cell r="R36" t="str">
            <v>c</v>
          </cell>
          <cell r="S36" t="str">
            <v>c</v>
          </cell>
          <cell r="T36" t="str">
            <v>c</v>
          </cell>
          <cell r="U36">
            <v>1.1000000000000001</v>
          </cell>
          <cell r="V36">
            <v>1.05</v>
          </cell>
          <cell r="W36">
            <v>0.95</v>
          </cell>
          <cell r="X36">
            <v>0.9</v>
          </cell>
          <cell r="Y36">
            <v>1.0167514153708257</v>
          </cell>
          <cell r="Z36" t="str">
            <v>c</v>
          </cell>
          <cell r="AA36" t="str">
            <v>c</v>
          </cell>
          <cell r="AB36" t="str">
            <v>g</v>
          </cell>
          <cell r="AC36" t="str">
            <v>c</v>
          </cell>
          <cell r="AD36" t="str">
            <v>c</v>
          </cell>
          <cell r="AE36">
            <v>1.1000000000000001</v>
          </cell>
          <cell r="AF36">
            <v>1.05</v>
          </cell>
          <cell r="AG36">
            <v>0.95</v>
          </cell>
          <cell r="AH36">
            <v>0.9</v>
          </cell>
          <cell r="AI36">
            <v>0.99685596931846487</v>
          </cell>
          <cell r="AJ36" t="str">
            <v>c</v>
          </cell>
          <cell r="AK36" t="str">
            <v>c</v>
          </cell>
          <cell r="AL36" t="str">
            <v>g</v>
          </cell>
          <cell r="AM36" t="str">
            <v>c</v>
          </cell>
          <cell r="AN36" t="str">
            <v>c</v>
          </cell>
          <cell r="AO36">
            <v>1.1000000000000001</v>
          </cell>
          <cell r="AP36">
            <v>1.05</v>
          </cell>
          <cell r="AQ36">
            <v>0.95</v>
          </cell>
          <cell r="AR36">
            <v>0.9</v>
          </cell>
          <cell r="AS36"/>
          <cell r="AT36">
            <v>39692</v>
          </cell>
          <cell r="AU36" t="str">
            <v>TOTAL</v>
          </cell>
          <cell r="AV36">
            <v>0</v>
          </cell>
          <cell r="AW36">
            <v>8267114.4154565409</v>
          </cell>
          <cell r="AX36">
            <v>0</v>
          </cell>
          <cell r="AY36">
            <v>8267114.4154565409</v>
          </cell>
          <cell r="AZ36" t="str">
            <v/>
          </cell>
          <cell r="BA36">
            <v>8267114.4154565409</v>
          </cell>
          <cell r="BB36" t="e">
            <v>#DIV/0!</v>
          </cell>
          <cell r="BC36"/>
          <cell r="BD36">
            <v>0</v>
          </cell>
          <cell r="BE36">
            <v>5946013</v>
          </cell>
          <cell r="BF36">
            <v>0</v>
          </cell>
          <cell r="BG36">
            <v>5946013</v>
          </cell>
          <cell r="BH36" t="str">
            <v/>
          </cell>
          <cell r="BI36">
            <v>5946013</v>
          </cell>
          <cell r="BJ36">
            <v>-1</v>
          </cell>
          <cell r="BK36"/>
          <cell r="BL36">
            <v>0</v>
          </cell>
          <cell r="BM36">
            <v>63197820.69199457</v>
          </cell>
          <cell r="BN36">
            <v>0</v>
          </cell>
          <cell r="BO36">
            <v>63197820.69199457</v>
          </cell>
          <cell r="BP36" t="str">
            <v/>
          </cell>
          <cell r="BQ36">
            <v>63197820.69199457</v>
          </cell>
          <cell r="BR36" t="str">
            <v/>
          </cell>
          <cell r="BS36">
            <v>0</v>
          </cell>
          <cell r="BT36" t="e">
            <v>#DIV/0!</v>
          </cell>
          <cell r="BU36">
            <v>0</v>
          </cell>
          <cell r="BV36">
            <v>47800426</v>
          </cell>
          <cell r="BW36">
            <v>0</v>
          </cell>
          <cell r="BX36">
            <v>47800426</v>
          </cell>
          <cell r="BY36" t="str">
            <v/>
          </cell>
          <cell r="BZ36">
            <v>47800426</v>
          </cell>
          <cell r="CA36" t="str">
            <v/>
          </cell>
          <cell r="CB36">
            <v>0</v>
          </cell>
          <cell r="CC36" t="str">
            <v/>
          </cell>
        </row>
        <row r="37">
          <cell r="C37">
            <v>39722</v>
          </cell>
          <cell r="D37" t="str">
            <v>TOTAL</v>
          </cell>
          <cell r="E37">
            <v>1.1421479144928413</v>
          </cell>
          <cell r="F37" t="str">
            <v>g</v>
          </cell>
          <cell r="G37" t="str">
            <v>c</v>
          </cell>
          <cell r="H37" t="str">
            <v>c</v>
          </cell>
          <cell r="I37" t="str">
            <v>c</v>
          </cell>
          <cell r="J37" t="str">
            <v>c</v>
          </cell>
          <cell r="K37">
            <v>1.1000000000000001</v>
          </cell>
          <cell r="L37">
            <v>1.05</v>
          </cell>
          <cell r="M37">
            <v>0.95</v>
          </cell>
          <cell r="N37">
            <v>0.9</v>
          </cell>
          <cell r="O37">
            <v>0.95216598872207281</v>
          </cell>
          <cell r="P37" t="str">
            <v>c</v>
          </cell>
          <cell r="Q37" t="str">
            <v>c</v>
          </cell>
          <cell r="R37" t="str">
            <v>g</v>
          </cell>
          <cell r="S37" t="str">
            <v>c</v>
          </cell>
          <cell r="T37" t="str">
            <v>c</v>
          </cell>
          <cell r="U37">
            <v>1.1000000000000001</v>
          </cell>
          <cell r="V37">
            <v>1.05</v>
          </cell>
          <cell r="W37">
            <v>0.95</v>
          </cell>
          <cell r="X37">
            <v>0.9</v>
          </cell>
          <cell r="Y37">
            <v>1.0297288062706169</v>
          </cell>
          <cell r="Z37" t="str">
            <v>c</v>
          </cell>
          <cell r="AA37" t="str">
            <v>c</v>
          </cell>
          <cell r="AB37" t="str">
            <v>g</v>
          </cell>
          <cell r="AC37" t="str">
            <v>c</v>
          </cell>
          <cell r="AD37" t="str">
            <v>c</v>
          </cell>
          <cell r="AE37">
            <v>1.1000000000000001</v>
          </cell>
          <cell r="AF37">
            <v>1.05</v>
          </cell>
          <cell r="AG37">
            <v>0.95</v>
          </cell>
          <cell r="AH37">
            <v>0.9</v>
          </cell>
          <cell r="AI37">
            <v>0.99227281883561447</v>
          </cell>
          <cell r="AJ37" t="str">
            <v>c</v>
          </cell>
          <cell r="AK37" t="str">
            <v>c</v>
          </cell>
          <cell r="AL37" t="str">
            <v>g</v>
          </cell>
          <cell r="AM37" t="str">
            <v>c</v>
          </cell>
          <cell r="AN37" t="str">
            <v>c</v>
          </cell>
          <cell r="AO37">
            <v>1.1000000000000001</v>
          </cell>
          <cell r="AP37">
            <v>1.05</v>
          </cell>
          <cell r="AQ37">
            <v>0.95</v>
          </cell>
          <cell r="AR37">
            <v>0.9</v>
          </cell>
          <cell r="AS37"/>
          <cell r="AT37">
            <v>39693</v>
          </cell>
          <cell r="AU37" t="str">
            <v>TOTAL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 t="str">
            <v/>
          </cell>
          <cell r="BA37">
            <v>0</v>
          </cell>
          <cell r="BB37" t="e">
            <v>#DIV/0!</v>
          </cell>
          <cell r="BC37"/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 t="str">
            <v/>
          </cell>
          <cell r="BI37">
            <v>0</v>
          </cell>
          <cell r="BJ37" t="e">
            <v>#DIV/0!</v>
          </cell>
          <cell r="BK37"/>
          <cell r="BL37">
            <v>0</v>
          </cell>
          <cell r="BM37">
            <v>63197820.69199457</v>
          </cell>
          <cell r="BN37">
            <v>0</v>
          </cell>
          <cell r="BO37">
            <v>63197820.69199457</v>
          </cell>
          <cell r="BP37" t="str">
            <v/>
          </cell>
          <cell r="BQ37">
            <v>63197820.69199457</v>
          </cell>
          <cell r="BR37" t="str">
            <v/>
          </cell>
          <cell r="BS37">
            <v>0</v>
          </cell>
          <cell r="BT37" t="e">
            <v>#DIV/0!</v>
          </cell>
          <cell r="BU37">
            <v>0</v>
          </cell>
          <cell r="BV37">
            <v>47800426</v>
          </cell>
          <cell r="BW37">
            <v>0</v>
          </cell>
          <cell r="BX37">
            <v>47800426</v>
          </cell>
          <cell r="BY37" t="str">
            <v/>
          </cell>
          <cell r="BZ37">
            <v>47800426</v>
          </cell>
          <cell r="CA37" t="str">
            <v/>
          </cell>
          <cell r="CB37">
            <v>0</v>
          </cell>
          <cell r="CC37" t="str">
            <v/>
          </cell>
        </row>
        <row r="38">
          <cell r="C38">
            <v>39753</v>
          </cell>
          <cell r="D38" t="str">
            <v>TOTAL</v>
          </cell>
          <cell r="E38">
            <v>0.76333616726519404</v>
          </cell>
          <cell r="F38" t="str">
            <v>c</v>
          </cell>
          <cell r="G38" t="str">
            <v>c</v>
          </cell>
          <cell r="H38" t="str">
            <v>c</v>
          </cell>
          <cell r="I38" t="str">
            <v>c</v>
          </cell>
          <cell r="J38" t="str">
            <v>g</v>
          </cell>
          <cell r="K38">
            <v>1.1000000000000001</v>
          </cell>
          <cell r="L38">
            <v>1.05</v>
          </cell>
          <cell r="M38">
            <v>0.95</v>
          </cell>
          <cell r="N38">
            <v>0.9</v>
          </cell>
          <cell r="O38">
            <v>0.67098342791138044</v>
          </cell>
          <cell r="P38" t="str">
            <v>c</v>
          </cell>
          <cell r="Q38" t="str">
            <v>c</v>
          </cell>
          <cell r="R38" t="str">
            <v>c</v>
          </cell>
          <cell r="S38" t="str">
            <v>c</v>
          </cell>
          <cell r="T38" t="str">
            <v>g</v>
          </cell>
          <cell r="U38">
            <v>1.1000000000000001</v>
          </cell>
          <cell r="V38">
            <v>1.05</v>
          </cell>
          <cell r="W38">
            <v>0.95</v>
          </cell>
          <cell r="X38">
            <v>0.9</v>
          </cell>
          <cell r="Y38">
            <v>1.0011376426321159</v>
          </cell>
          <cell r="Z38" t="str">
            <v>c</v>
          </cell>
          <cell r="AA38" t="str">
            <v>c</v>
          </cell>
          <cell r="AB38" t="str">
            <v>g</v>
          </cell>
          <cell r="AC38" t="str">
            <v>c</v>
          </cell>
          <cell r="AD38" t="str">
            <v>c</v>
          </cell>
          <cell r="AE38">
            <v>1.1000000000000001</v>
          </cell>
          <cell r="AF38">
            <v>1.05</v>
          </cell>
          <cell r="AG38">
            <v>0.95</v>
          </cell>
          <cell r="AH38">
            <v>0.9</v>
          </cell>
          <cell r="AI38">
            <v>0.96043700608054305</v>
          </cell>
          <cell r="AJ38" t="str">
            <v>c</v>
          </cell>
          <cell r="AK38" t="str">
            <v>c</v>
          </cell>
          <cell r="AL38" t="str">
            <v>g</v>
          </cell>
          <cell r="AM38" t="str">
            <v>c</v>
          </cell>
          <cell r="AN38" t="str">
            <v>c</v>
          </cell>
          <cell r="AO38">
            <v>1.1000000000000001</v>
          </cell>
          <cell r="AP38">
            <v>1.05</v>
          </cell>
          <cell r="AQ38">
            <v>0.95</v>
          </cell>
          <cell r="AR38">
            <v>0.9</v>
          </cell>
          <cell r="AS38"/>
          <cell r="AT38">
            <v>39753</v>
          </cell>
          <cell r="AU38" t="str">
            <v>TOTAL</v>
          </cell>
          <cell r="AV38">
            <v>0</v>
          </cell>
          <cell r="AW38">
            <v>6363055.6144761518</v>
          </cell>
          <cell r="AX38">
            <v>0</v>
          </cell>
          <cell r="AY38">
            <v>6363055.6144761518</v>
          </cell>
          <cell r="AZ38" t="str">
            <v/>
          </cell>
          <cell r="BA38">
            <v>6363055.6144761518</v>
          </cell>
          <cell r="BB38" t="e">
            <v>#DIV/0!</v>
          </cell>
          <cell r="BC38"/>
          <cell r="BD38">
            <v>0</v>
          </cell>
          <cell r="BE38">
            <v>3943120</v>
          </cell>
          <cell r="BF38">
            <v>0</v>
          </cell>
          <cell r="BG38">
            <v>3943120</v>
          </cell>
          <cell r="BH38" t="str">
            <v/>
          </cell>
          <cell r="BI38">
            <v>3943120</v>
          </cell>
          <cell r="BJ38">
            <v>-1</v>
          </cell>
          <cell r="BK38"/>
          <cell r="BL38">
            <v>0</v>
          </cell>
          <cell r="BM38">
            <v>69560876.306470722</v>
          </cell>
          <cell r="BN38">
            <v>0</v>
          </cell>
          <cell r="BO38">
            <v>69560876.306470722</v>
          </cell>
          <cell r="BP38" t="str">
            <v/>
          </cell>
          <cell r="BQ38">
            <v>69560876.306470722</v>
          </cell>
          <cell r="BR38" t="str">
            <v/>
          </cell>
          <cell r="BS38">
            <v>0</v>
          </cell>
          <cell r="BT38" t="e">
            <v>#DIV/0!</v>
          </cell>
          <cell r="BU38">
            <v>0</v>
          </cell>
          <cell r="BV38">
            <v>51743546</v>
          </cell>
          <cell r="BW38">
            <v>0</v>
          </cell>
          <cell r="BX38">
            <v>51743546</v>
          </cell>
          <cell r="BY38" t="str">
            <v/>
          </cell>
          <cell r="BZ38">
            <v>51743546</v>
          </cell>
          <cell r="CA38" t="str">
            <v/>
          </cell>
          <cell r="CB38">
            <v>0</v>
          </cell>
          <cell r="CC38" t="str">
            <v/>
          </cell>
        </row>
        <row r="39">
          <cell r="C39">
            <v>39783</v>
          </cell>
          <cell r="D39" t="str">
            <v>TOTAL</v>
          </cell>
          <cell r="E39">
            <v>0.91908649011827048</v>
          </cell>
          <cell r="F39" t="str">
            <v>c</v>
          </cell>
          <cell r="G39" t="str">
            <v>c</v>
          </cell>
          <cell r="H39" t="str">
            <v>c</v>
          </cell>
          <cell r="I39" t="str">
            <v>g</v>
          </cell>
          <cell r="J39" t="str">
            <v>c</v>
          </cell>
          <cell r="K39">
            <v>1.1000000000000001</v>
          </cell>
          <cell r="L39">
            <v>1.05</v>
          </cell>
          <cell r="M39">
            <v>0.95</v>
          </cell>
          <cell r="N39">
            <v>0.9</v>
          </cell>
          <cell r="O39">
            <v>0.76872966672979037</v>
          </cell>
          <cell r="P39" t="str">
            <v>c</v>
          </cell>
          <cell r="Q39" t="str">
            <v>c</v>
          </cell>
          <cell r="R39" t="str">
            <v>c</v>
          </cell>
          <cell r="S39" t="str">
            <v>c</v>
          </cell>
          <cell r="T39" t="str">
            <v>g</v>
          </cell>
          <cell r="U39">
            <v>1.1000000000000001</v>
          </cell>
          <cell r="V39">
            <v>1.05</v>
          </cell>
          <cell r="W39">
            <v>0.95</v>
          </cell>
          <cell r="X39">
            <v>0.9</v>
          </cell>
          <cell r="Y39">
            <v>0.99328107526855658</v>
          </cell>
          <cell r="Z39" t="str">
            <v>c</v>
          </cell>
          <cell r="AA39" t="str">
            <v>c</v>
          </cell>
          <cell r="AB39" t="str">
            <v>g</v>
          </cell>
          <cell r="AC39" t="str">
            <v>c</v>
          </cell>
          <cell r="AD39" t="str">
            <v>c</v>
          </cell>
          <cell r="AE39">
            <v>1.1000000000000001</v>
          </cell>
          <cell r="AF39">
            <v>1.05</v>
          </cell>
          <cell r="AG39">
            <v>0.95</v>
          </cell>
          <cell r="AH39">
            <v>0.9</v>
          </cell>
          <cell r="AI39">
            <v>0.94251826344653344</v>
          </cell>
          <cell r="AJ39" t="str">
            <v>c</v>
          </cell>
          <cell r="AK39" t="str">
            <v>c</v>
          </cell>
          <cell r="AL39" t="str">
            <v>c</v>
          </cell>
          <cell r="AM39" t="str">
            <v>g</v>
          </cell>
          <cell r="AN39" t="str">
            <v>c</v>
          </cell>
          <cell r="AO39">
            <v>1.1000000000000001</v>
          </cell>
          <cell r="AP39">
            <v>1.05</v>
          </cell>
          <cell r="AQ39">
            <v>0.95</v>
          </cell>
          <cell r="AR39">
            <v>0.9</v>
          </cell>
          <cell r="AS39"/>
          <cell r="AT39">
            <v>39783</v>
          </cell>
          <cell r="AU39" t="str">
            <v>TOTAL</v>
          </cell>
          <cell r="AV39">
            <v>0</v>
          </cell>
          <cell r="AW39">
            <v>7558876.9952981323</v>
          </cell>
          <cell r="AX39">
            <v>0</v>
          </cell>
          <cell r="AY39">
            <v>7558876.9952981323</v>
          </cell>
          <cell r="AZ39" t="str">
            <v/>
          </cell>
          <cell r="BA39">
            <v>7558876.9952981323</v>
          </cell>
          <cell r="BB39" t="e">
            <v>#DIV/0!</v>
          </cell>
          <cell r="BC39"/>
          <cell r="BD39">
            <v>0</v>
          </cell>
          <cell r="BE39">
            <v>4700765</v>
          </cell>
          <cell r="BF39">
            <v>0</v>
          </cell>
          <cell r="BG39">
            <v>4700765</v>
          </cell>
          <cell r="BH39" t="str">
            <v/>
          </cell>
          <cell r="BI39">
            <v>4700765</v>
          </cell>
          <cell r="BJ39">
            <v>-1</v>
          </cell>
          <cell r="BK39"/>
          <cell r="BL39">
            <v>0</v>
          </cell>
          <cell r="BM39">
            <v>77119753.301768854</v>
          </cell>
          <cell r="BN39">
            <v>0</v>
          </cell>
          <cell r="BO39">
            <v>77119753.301768854</v>
          </cell>
          <cell r="BP39" t="str">
            <v/>
          </cell>
          <cell r="BQ39">
            <v>77119753.301768854</v>
          </cell>
          <cell r="BR39" t="str">
            <v/>
          </cell>
          <cell r="BS39">
            <v>0</v>
          </cell>
          <cell r="BT39" t="e">
            <v>#DIV/0!</v>
          </cell>
          <cell r="BU39">
            <v>0</v>
          </cell>
          <cell r="BV39">
            <v>56444311</v>
          </cell>
          <cell r="BW39">
            <v>0</v>
          </cell>
          <cell r="BX39">
            <v>56444311</v>
          </cell>
          <cell r="BY39" t="str">
            <v/>
          </cell>
          <cell r="BZ39">
            <v>56444311</v>
          </cell>
          <cell r="CA39" t="str">
            <v/>
          </cell>
          <cell r="CB39">
            <v>0</v>
          </cell>
          <cell r="CC39" t="str">
            <v/>
          </cell>
        </row>
        <row r="40">
          <cell r="C40"/>
          <cell r="D40" t="str">
            <v>TOTAL</v>
          </cell>
          <cell r="E40" t="str">
            <v/>
          </cell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  <cell r="L40" t="str">
            <v/>
          </cell>
          <cell r="M40" t="str">
            <v/>
          </cell>
          <cell r="N40" t="str">
            <v/>
          </cell>
          <cell r="O40" t="str">
            <v/>
          </cell>
          <cell r="P40" t="str">
            <v/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 t="str">
            <v/>
          </cell>
          <cell r="AA40" t="str">
            <v/>
          </cell>
          <cell r="AB40" t="str">
            <v/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 t="str">
            <v/>
          </cell>
          <cell r="AJ40" t="str">
            <v/>
          </cell>
          <cell r="AK40" t="str">
            <v/>
          </cell>
          <cell r="AL40" t="str">
            <v/>
          </cell>
          <cell r="AM40" t="str">
            <v/>
          </cell>
          <cell r="AN40" t="str">
            <v/>
          </cell>
          <cell r="AO40" t="str">
            <v/>
          </cell>
          <cell r="AP40" t="str">
            <v/>
          </cell>
          <cell r="AQ40" t="str">
            <v/>
          </cell>
          <cell r="AR40" t="str">
            <v/>
          </cell>
          <cell r="AS40"/>
          <cell r="AT40">
            <v>39814</v>
          </cell>
          <cell r="AU40" t="str">
            <v>TOTAL</v>
          </cell>
          <cell r="AV40">
            <v>5297167.33</v>
          </cell>
          <cell r="AW40" t="str">
            <v/>
          </cell>
          <cell r="AX40" t="str">
            <v/>
          </cell>
          <cell r="AY40" t="str">
            <v/>
          </cell>
          <cell r="AZ40" t="str">
            <v/>
          </cell>
          <cell r="BA40" t="str">
            <v/>
          </cell>
          <cell r="BB40" t="str">
            <v/>
          </cell>
          <cell r="BC40"/>
          <cell r="BD40">
            <v>4088310</v>
          </cell>
          <cell r="BE40" t="str">
            <v/>
          </cell>
          <cell r="BF40" t="str">
            <v/>
          </cell>
          <cell r="BG40" t="str">
            <v/>
          </cell>
          <cell r="BH40" t="str">
            <v/>
          </cell>
          <cell r="BI40" t="str">
            <v/>
          </cell>
          <cell r="BJ40" t="str">
            <v/>
          </cell>
          <cell r="BK40"/>
          <cell r="BL40">
            <v>5297167.33</v>
          </cell>
          <cell r="BM40" t="str">
            <v/>
          </cell>
          <cell r="BN40" t="str">
            <v/>
          </cell>
          <cell r="BO40" t="str">
            <v/>
          </cell>
          <cell r="BP40" t="str">
            <v/>
          </cell>
          <cell r="BQ40" t="str">
            <v/>
          </cell>
          <cell r="BR40" t="str">
            <v/>
          </cell>
          <cell r="BS40">
            <v>0</v>
          </cell>
          <cell r="BT40" t="str">
            <v/>
          </cell>
          <cell r="BU40">
            <v>4088310</v>
          </cell>
          <cell r="BV40" t="str">
            <v/>
          </cell>
          <cell r="BW40" t="str">
            <v/>
          </cell>
          <cell r="BX40" t="str">
            <v/>
          </cell>
          <cell r="BY40" t="str">
            <v/>
          </cell>
          <cell r="BZ40" t="str">
            <v/>
          </cell>
          <cell r="CA40" t="str">
            <v/>
          </cell>
          <cell r="CB40">
            <v>0</v>
          </cell>
          <cell r="CC40" t="str">
            <v/>
          </cell>
        </row>
        <row r="41">
          <cell r="C41"/>
          <cell r="D41" t="str">
            <v>TOTAL</v>
          </cell>
          <cell r="E41" t="str">
            <v/>
          </cell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  <cell r="J41" t="str">
            <v/>
          </cell>
          <cell r="K41" t="str">
            <v/>
          </cell>
          <cell r="L41" t="str">
            <v/>
          </cell>
          <cell r="M41" t="str">
            <v/>
          </cell>
          <cell r="N41" t="str">
            <v/>
          </cell>
          <cell r="O41" t="str">
            <v/>
          </cell>
          <cell r="P41" t="str">
            <v/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 t="str">
            <v/>
          </cell>
          <cell r="V41" t="str">
            <v/>
          </cell>
          <cell r="W41" t="str">
            <v/>
          </cell>
          <cell r="X41" t="str">
            <v/>
          </cell>
          <cell r="Y41" t="str">
            <v/>
          </cell>
          <cell r="Z41" t="str">
            <v/>
          </cell>
          <cell r="AA41" t="str">
            <v/>
          </cell>
          <cell r="AB41" t="str">
            <v/>
          </cell>
          <cell r="AC41" t="str">
            <v/>
          </cell>
          <cell r="AD41" t="str">
            <v/>
          </cell>
          <cell r="AE41"/>
          <cell r="AF41"/>
          <cell r="AG41"/>
          <cell r="AH41"/>
          <cell r="AI41" t="str">
            <v/>
          </cell>
          <cell r="AJ41" t="str">
            <v/>
          </cell>
          <cell r="AK41" t="str">
            <v/>
          </cell>
          <cell r="AL41" t="str">
            <v/>
          </cell>
          <cell r="AM41" t="str">
            <v/>
          </cell>
          <cell r="AN41" t="str">
            <v/>
          </cell>
          <cell r="AO41"/>
          <cell r="AP41"/>
          <cell r="AQ41"/>
          <cell r="AR41"/>
          <cell r="AS41"/>
          <cell r="AT41">
            <v>39845</v>
          </cell>
          <cell r="AU41" t="str">
            <v>TOTAL</v>
          </cell>
          <cell r="AV41">
            <v>6106309.9000000004</v>
          </cell>
          <cell r="AW41" t="str">
            <v/>
          </cell>
          <cell r="AX41" t="str">
            <v/>
          </cell>
          <cell r="AY41" t="str">
            <v/>
          </cell>
          <cell r="AZ41" t="str">
            <v/>
          </cell>
          <cell r="BA41" t="str">
            <v/>
          </cell>
          <cell r="BB41" t="str">
            <v/>
          </cell>
          <cell r="BC41"/>
          <cell r="BD41">
            <v>5396724</v>
          </cell>
          <cell r="BE41" t="str">
            <v/>
          </cell>
          <cell r="BF41" t="str">
            <v/>
          </cell>
          <cell r="BG41" t="str">
            <v/>
          </cell>
          <cell r="BH41" t="str">
            <v/>
          </cell>
          <cell r="BI41" t="str">
            <v/>
          </cell>
          <cell r="BJ41" t="str">
            <v/>
          </cell>
          <cell r="BK41"/>
          <cell r="BL41">
            <v>11403477.23</v>
          </cell>
          <cell r="BM41" t="str">
            <v/>
          </cell>
          <cell r="BN41" t="str">
            <v/>
          </cell>
          <cell r="BO41" t="str">
            <v/>
          </cell>
          <cell r="BP41" t="str">
            <v/>
          </cell>
          <cell r="BQ41" t="str">
            <v/>
          </cell>
          <cell r="BR41" t="str">
            <v/>
          </cell>
          <cell r="BS41">
            <v>0</v>
          </cell>
          <cell r="BT41"/>
          <cell r="BU41">
            <v>9485034</v>
          </cell>
          <cell r="BV41" t="str">
            <v/>
          </cell>
          <cell r="BW41" t="str">
            <v/>
          </cell>
          <cell r="BX41" t="str">
            <v/>
          </cell>
          <cell r="BY41" t="str">
            <v/>
          </cell>
          <cell r="BZ41" t="str">
            <v/>
          </cell>
          <cell r="CA41" t="str">
            <v/>
          </cell>
          <cell r="CB41">
            <v>0</v>
          </cell>
          <cell r="CC41"/>
        </row>
        <row r="42">
          <cell r="C42"/>
          <cell r="D42" t="str">
            <v>TOTAL</v>
          </cell>
          <cell r="E42" t="str">
            <v/>
          </cell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  <cell r="J42" t="str">
            <v/>
          </cell>
          <cell r="K42" t="str">
            <v/>
          </cell>
          <cell r="L42" t="str">
            <v/>
          </cell>
          <cell r="M42" t="str">
            <v/>
          </cell>
          <cell r="N42" t="str">
            <v/>
          </cell>
          <cell r="O42" t="str">
            <v/>
          </cell>
          <cell r="P42" t="str">
            <v/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 t="str">
            <v/>
          </cell>
          <cell r="V42" t="str">
            <v/>
          </cell>
          <cell r="W42" t="str">
            <v/>
          </cell>
          <cell r="X42" t="str">
            <v/>
          </cell>
          <cell r="Y42" t="str">
            <v/>
          </cell>
          <cell r="Z42" t="str">
            <v/>
          </cell>
          <cell r="AA42" t="str">
            <v/>
          </cell>
          <cell r="AB42" t="str">
            <v/>
          </cell>
          <cell r="AC42" t="str">
            <v/>
          </cell>
          <cell r="AD42" t="str">
            <v/>
          </cell>
          <cell r="AE42"/>
          <cell r="AF42"/>
          <cell r="AG42"/>
          <cell r="AH42"/>
          <cell r="AI42" t="str">
            <v/>
          </cell>
          <cell r="AJ42" t="str">
            <v/>
          </cell>
          <cell r="AK42" t="str">
            <v/>
          </cell>
          <cell r="AL42" t="str">
            <v/>
          </cell>
          <cell r="AM42" t="str">
            <v/>
          </cell>
          <cell r="AN42" t="str">
            <v/>
          </cell>
          <cell r="AO42"/>
          <cell r="AP42"/>
          <cell r="AQ42"/>
          <cell r="AR42"/>
          <cell r="AS42"/>
          <cell r="AT42">
            <v>39873</v>
          </cell>
          <cell r="AU42" t="str">
            <v>TOTAL</v>
          </cell>
          <cell r="AV42">
            <v>6459007.1900000051</v>
          </cell>
          <cell r="AW42" t="str">
            <v/>
          </cell>
          <cell r="AX42" t="str">
            <v/>
          </cell>
          <cell r="AY42" t="str">
            <v/>
          </cell>
          <cell r="AZ42" t="str">
            <v/>
          </cell>
          <cell r="BA42" t="str">
            <v/>
          </cell>
          <cell r="BB42" t="str">
            <v/>
          </cell>
          <cell r="BC42"/>
          <cell r="BD42">
            <v>5644560</v>
          </cell>
          <cell r="BE42" t="str">
            <v/>
          </cell>
          <cell r="BF42" t="str">
            <v/>
          </cell>
          <cell r="BG42" t="str">
            <v/>
          </cell>
          <cell r="BH42" t="str">
            <v/>
          </cell>
          <cell r="BI42" t="str">
            <v/>
          </cell>
          <cell r="BJ42" t="str">
            <v/>
          </cell>
          <cell r="BK42"/>
          <cell r="BL42">
            <v>17862484.420000006</v>
          </cell>
          <cell r="BM42" t="str">
            <v/>
          </cell>
          <cell r="BN42" t="str">
            <v/>
          </cell>
          <cell r="BO42" t="str">
            <v/>
          </cell>
          <cell r="BP42" t="str">
            <v/>
          </cell>
          <cell r="BQ42" t="str">
            <v/>
          </cell>
          <cell r="BR42" t="str">
            <v/>
          </cell>
          <cell r="BS42">
            <v>0</v>
          </cell>
          <cell r="BT42"/>
          <cell r="BU42">
            <v>15129594</v>
          </cell>
          <cell r="BV42" t="str">
            <v/>
          </cell>
          <cell r="BW42" t="str">
            <v/>
          </cell>
          <cell r="BX42" t="str">
            <v/>
          </cell>
          <cell r="BY42" t="str">
            <v/>
          </cell>
          <cell r="BZ42" t="str">
            <v/>
          </cell>
          <cell r="CA42" t="str">
            <v/>
          </cell>
          <cell r="CB42">
            <v>0</v>
          </cell>
          <cell r="CC42"/>
        </row>
        <row r="43">
          <cell r="C43"/>
          <cell r="D43" t="str">
            <v>TOTAL</v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 t="str">
            <v/>
          </cell>
          <cell r="L43" t="str">
            <v/>
          </cell>
          <cell r="M43" t="str">
            <v/>
          </cell>
          <cell r="N43" t="str">
            <v/>
          </cell>
          <cell r="O43" t="str">
            <v/>
          </cell>
          <cell r="P43" t="str">
            <v/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 t="str">
            <v/>
          </cell>
          <cell r="V43" t="str">
            <v/>
          </cell>
          <cell r="W43" t="str">
            <v/>
          </cell>
          <cell r="X43" t="str">
            <v/>
          </cell>
          <cell r="Y43" t="str">
            <v/>
          </cell>
          <cell r="Z43" t="str">
            <v/>
          </cell>
          <cell r="AA43" t="str">
            <v/>
          </cell>
          <cell r="AB43" t="str">
            <v/>
          </cell>
          <cell r="AC43" t="str">
            <v/>
          </cell>
          <cell r="AD43" t="str">
            <v/>
          </cell>
          <cell r="AE43"/>
          <cell r="AF43"/>
          <cell r="AG43"/>
          <cell r="AH43"/>
          <cell r="AI43" t="str">
            <v/>
          </cell>
          <cell r="AJ43" t="str">
            <v/>
          </cell>
          <cell r="AK43" t="str">
            <v/>
          </cell>
          <cell r="AL43" t="str">
            <v/>
          </cell>
          <cell r="AM43" t="str">
            <v/>
          </cell>
          <cell r="AN43" t="str">
            <v/>
          </cell>
          <cell r="AO43"/>
          <cell r="AP43"/>
          <cell r="AQ43"/>
          <cell r="AR43"/>
          <cell r="AS43"/>
          <cell r="AT43">
            <v>39904</v>
          </cell>
          <cell r="AU43" t="str">
            <v>TOTAL</v>
          </cell>
          <cell r="AV43">
            <v>6692818.9999999925</v>
          </cell>
          <cell r="AW43" t="str">
            <v/>
          </cell>
          <cell r="AX43" t="str">
            <v/>
          </cell>
          <cell r="AY43" t="str">
            <v/>
          </cell>
          <cell r="AZ43" t="str">
            <v/>
          </cell>
          <cell r="BA43" t="str">
            <v/>
          </cell>
          <cell r="BB43" t="str">
            <v/>
          </cell>
          <cell r="BC43"/>
          <cell r="BD43">
            <v>4933965</v>
          </cell>
          <cell r="BE43" t="str">
            <v/>
          </cell>
          <cell r="BF43" t="str">
            <v/>
          </cell>
          <cell r="BG43" t="str">
            <v/>
          </cell>
          <cell r="BH43" t="str">
            <v/>
          </cell>
          <cell r="BI43" t="str">
            <v/>
          </cell>
          <cell r="BJ43" t="str">
            <v/>
          </cell>
          <cell r="BK43"/>
          <cell r="BL43">
            <v>24555303.419999998</v>
          </cell>
          <cell r="BM43" t="str">
            <v/>
          </cell>
          <cell r="BN43" t="str">
            <v/>
          </cell>
          <cell r="BO43" t="str">
            <v/>
          </cell>
          <cell r="BP43" t="str">
            <v/>
          </cell>
          <cell r="BQ43" t="str">
            <v/>
          </cell>
          <cell r="BR43" t="str">
            <v/>
          </cell>
          <cell r="BS43">
            <v>0</v>
          </cell>
          <cell r="BT43"/>
          <cell r="BU43">
            <v>20063559</v>
          </cell>
          <cell r="BV43" t="str">
            <v/>
          </cell>
          <cell r="BW43" t="str">
            <v/>
          </cell>
          <cell r="BX43" t="str">
            <v/>
          </cell>
          <cell r="BY43" t="str">
            <v/>
          </cell>
          <cell r="BZ43" t="str">
            <v/>
          </cell>
          <cell r="CA43" t="str">
            <v/>
          </cell>
          <cell r="CB43">
            <v>0</v>
          </cell>
          <cell r="CC43"/>
        </row>
        <row r="44">
          <cell r="C44"/>
          <cell r="D44" t="str">
            <v>TOTAL</v>
          </cell>
          <cell r="E44" t="str">
            <v/>
          </cell>
          <cell r="F44" t="str">
            <v/>
          </cell>
          <cell r="G44" t="str">
            <v/>
          </cell>
          <cell r="H44" t="str">
            <v/>
          </cell>
          <cell r="I44" t="str">
            <v/>
          </cell>
          <cell r="J44" t="str">
            <v/>
          </cell>
          <cell r="K44" t="str">
            <v/>
          </cell>
          <cell r="L44" t="str">
            <v/>
          </cell>
          <cell r="M44" t="str">
            <v/>
          </cell>
          <cell r="N44" t="str">
            <v/>
          </cell>
          <cell r="O44" t="str">
            <v/>
          </cell>
          <cell r="P44" t="str">
            <v/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  <cell r="AA44" t="str">
            <v/>
          </cell>
          <cell r="AB44" t="str">
            <v/>
          </cell>
          <cell r="AC44" t="str">
            <v/>
          </cell>
          <cell r="AD44" t="str">
            <v/>
          </cell>
          <cell r="AE44"/>
          <cell r="AF44"/>
          <cell r="AG44"/>
          <cell r="AH44"/>
          <cell r="AI44" t="str">
            <v/>
          </cell>
          <cell r="AJ44" t="str">
            <v/>
          </cell>
          <cell r="AK44" t="str">
            <v/>
          </cell>
          <cell r="AL44" t="str">
            <v/>
          </cell>
          <cell r="AM44" t="str">
            <v/>
          </cell>
          <cell r="AN44" t="str">
            <v/>
          </cell>
          <cell r="AO44"/>
          <cell r="AP44"/>
          <cell r="AQ44"/>
          <cell r="AR44"/>
          <cell r="AS44"/>
          <cell r="AT44">
            <v>39934</v>
          </cell>
          <cell r="AU44" t="str">
            <v>TOTAL</v>
          </cell>
          <cell r="AV44">
            <v>6916821</v>
          </cell>
          <cell r="AW44" t="str">
            <v/>
          </cell>
          <cell r="AX44" t="str">
            <v/>
          </cell>
          <cell r="AY44" t="str">
            <v/>
          </cell>
          <cell r="AZ44" t="str">
            <v/>
          </cell>
          <cell r="BA44" t="str">
            <v/>
          </cell>
          <cell r="BB44" t="str">
            <v/>
          </cell>
          <cell r="BC44"/>
          <cell r="BD44">
            <v>4910250</v>
          </cell>
          <cell r="BE44" t="str">
            <v/>
          </cell>
          <cell r="BF44" t="str">
            <v/>
          </cell>
          <cell r="BG44" t="str">
            <v/>
          </cell>
          <cell r="BH44" t="str">
            <v/>
          </cell>
          <cell r="BI44" t="str">
            <v/>
          </cell>
          <cell r="BJ44" t="str">
            <v/>
          </cell>
          <cell r="BK44"/>
          <cell r="BL44">
            <v>31472124.419999998</v>
          </cell>
          <cell r="BM44" t="str">
            <v/>
          </cell>
          <cell r="BN44" t="str">
            <v/>
          </cell>
          <cell r="BO44" t="str">
            <v/>
          </cell>
          <cell r="BP44" t="str">
            <v/>
          </cell>
          <cell r="BQ44" t="str">
            <v/>
          </cell>
          <cell r="BR44" t="str">
            <v/>
          </cell>
          <cell r="BS44">
            <v>0</v>
          </cell>
          <cell r="BT44"/>
          <cell r="BU44">
            <v>24973809</v>
          </cell>
          <cell r="BV44" t="str">
            <v/>
          </cell>
          <cell r="BW44" t="str">
            <v/>
          </cell>
          <cell r="BX44" t="str">
            <v/>
          </cell>
          <cell r="BY44" t="str">
            <v/>
          </cell>
          <cell r="BZ44" t="str">
            <v/>
          </cell>
          <cell r="CA44" t="str">
            <v/>
          </cell>
          <cell r="CB44">
            <v>0</v>
          </cell>
          <cell r="CC44"/>
        </row>
        <row r="45">
          <cell r="C45"/>
          <cell r="D45" t="str">
            <v>TOTAL</v>
          </cell>
          <cell r="E45" t="str">
            <v/>
          </cell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  <cell r="M45" t="str">
            <v/>
          </cell>
          <cell r="N45" t="str">
            <v/>
          </cell>
          <cell r="O45" t="str">
            <v/>
          </cell>
          <cell r="P45" t="str">
            <v/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 t="str">
            <v/>
          </cell>
          <cell r="V45" t="str">
            <v/>
          </cell>
          <cell r="W45" t="str">
            <v/>
          </cell>
          <cell r="X45" t="str">
            <v/>
          </cell>
          <cell r="Y45" t="str">
            <v/>
          </cell>
          <cell r="Z45" t="str">
            <v/>
          </cell>
          <cell r="AA45" t="str">
            <v/>
          </cell>
          <cell r="AB45" t="str">
            <v/>
          </cell>
          <cell r="AC45" t="str">
            <v/>
          </cell>
          <cell r="AD45" t="str">
            <v/>
          </cell>
          <cell r="AE45"/>
          <cell r="AF45"/>
          <cell r="AG45"/>
          <cell r="AH45"/>
          <cell r="AI45" t="str">
            <v/>
          </cell>
          <cell r="AJ45" t="str">
            <v/>
          </cell>
          <cell r="AK45" t="str">
            <v/>
          </cell>
          <cell r="AL45" t="str">
            <v/>
          </cell>
          <cell r="AM45" t="str">
            <v/>
          </cell>
          <cell r="AN45" t="str">
            <v/>
          </cell>
          <cell r="AO45"/>
          <cell r="AP45"/>
          <cell r="AQ45"/>
          <cell r="AR45"/>
          <cell r="AS45"/>
          <cell r="AT45">
            <v>39965</v>
          </cell>
          <cell r="AU45" t="str">
            <v>TOTAL</v>
          </cell>
          <cell r="AV45">
            <v>7516919.8122177832</v>
          </cell>
          <cell r="AW45" t="str">
            <v/>
          </cell>
          <cell r="AX45" t="str">
            <v/>
          </cell>
          <cell r="AY45" t="str">
            <v/>
          </cell>
          <cell r="AZ45" t="str">
            <v/>
          </cell>
          <cell r="BA45" t="str">
            <v/>
          </cell>
          <cell r="BB45" t="str">
            <v/>
          </cell>
          <cell r="BC45"/>
          <cell r="BD45">
            <v>5101535</v>
          </cell>
          <cell r="BE45" t="str">
            <v/>
          </cell>
          <cell r="BF45" t="str">
            <v/>
          </cell>
          <cell r="BG45" t="str">
            <v/>
          </cell>
          <cell r="BH45" t="str">
            <v/>
          </cell>
          <cell r="BI45" t="str">
            <v/>
          </cell>
          <cell r="BJ45" t="str">
            <v/>
          </cell>
          <cell r="BK45"/>
          <cell r="BL45">
            <v>38989044.232217781</v>
          </cell>
          <cell r="BM45" t="str">
            <v/>
          </cell>
          <cell r="BN45" t="str">
            <v/>
          </cell>
          <cell r="BO45" t="str">
            <v/>
          </cell>
          <cell r="BP45" t="str">
            <v/>
          </cell>
          <cell r="BQ45" t="str">
            <v/>
          </cell>
          <cell r="BR45" t="str">
            <v/>
          </cell>
          <cell r="BS45">
            <v>0</v>
          </cell>
          <cell r="BT45"/>
          <cell r="BU45">
            <v>30075344</v>
          </cell>
          <cell r="BV45" t="str">
            <v/>
          </cell>
          <cell r="BW45" t="str">
            <v/>
          </cell>
          <cell r="BX45" t="str">
            <v/>
          </cell>
          <cell r="BY45" t="str">
            <v/>
          </cell>
          <cell r="BZ45" t="str">
            <v/>
          </cell>
          <cell r="CA45" t="str">
            <v/>
          </cell>
          <cell r="CB45">
            <v>0</v>
          </cell>
          <cell r="CC45"/>
        </row>
        <row r="46">
          <cell r="C46"/>
          <cell r="D46" t="str">
            <v>TOTAL</v>
          </cell>
          <cell r="E46" t="str">
            <v/>
          </cell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  <cell r="M46" t="str">
            <v/>
          </cell>
          <cell r="N46" t="str">
            <v/>
          </cell>
          <cell r="O46" t="str">
            <v/>
          </cell>
          <cell r="P46" t="str">
            <v/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 t="str">
            <v/>
          </cell>
          <cell r="V46" t="str">
            <v/>
          </cell>
          <cell r="W46" t="str">
            <v/>
          </cell>
          <cell r="X46" t="str">
            <v/>
          </cell>
          <cell r="Y46" t="str">
            <v/>
          </cell>
          <cell r="Z46" t="str">
            <v/>
          </cell>
          <cell r="AA46" t="str">
            <v/>
          </cell>
          <cell r="AB46" t="str">
            <v/>
          </cell>
          <cell r="AC46" t="str">
            <v/>
          </cell>
          <cell r="AD46" t="str">
            <v/>
          </cell>
          <cell r="AE46"/>
          <cell r="AF46"/>
          <cell r="AG46"/>
          <cell r="AH46"/>
          <cell r="AI46" t="str">
            <v/>
          </cell>
          <cell r="AJ46" t="str">
            <v/>
          </cell>
          <cell r="AK46" t="str">
            <v/>
          </cell>
          <cell r="AL46" t="str">
            <v/>
          </cell>
          <cell r="AM46" t="str">
            <v/>
          </cell>
          <cell r="AN46" t="str">
            <v/>
          </cell>
          <cell r="AO46"/>
          <cell r="AP46"/>
          <cell r="AQ46"/>
          <cell r="AR46"/>
          <cell r="AS46"/>
          <cell r="AT46">
            <v>39995</v>
          </cell>
          <cell r="AU46" t="str">
            <v>TOTAL</v>
          </cell>
          <cell r="AV46">
            <v>7759736.5042442158</v>
          </cell>
          <cell r="AW46" t="str">
            <v/>
          </cell>
          <cell r="AX46" t="str">
            <v/>
          </cell>
          <cell r="AY46" t="str">
            <v/>
          </cell>
          <cell r="AZ46" t="str">
            <v/>
          </cell>
          <cell r="BA46" t="str">
            <v/>
          </cell>
          <cell r="BB46" t="str">
            <v/>
          </cell>
          <cell r="BC46"/>
          <cell r="BD46">
            <v>5979532</v>
          </cell>
          <cell r="BE46" t="str">
            <v/>
          </cell>
          <cell r="BF46" t="str">
            <v/>
          </cell>
          <cell r="BG46" t="str">
            <v/>
          </cell>
          <cell r="BH46" t="str">
            <v/>
          </cell>
          <cell r="BI46" t="str">
            <v/>
          </cell>
          <cell r="BJ46" t="str">
            <v/>
          </cell>
          <cell r="BK46"/>
          <cell r="BL46">
            <v>46748780.736461997</v>
          </cell>
          <cell r="BM46" t="str">
            <v/>
          </cell>
          <cell r="BN46" t="str">
            <v/>
          </cell>
          <cell r="BO46" t="str">
            <v/>
          </cell>
          <cell r="BP46" t="str">
            <v/>
          </cell>
          <cell r="BQ46" t="str">
            <v/>
          </cell>
          <cell r="BR46" t="str">
            <v/>
          </cell>
          <cell r="BS46">
            <v>0</v>
          </cell>
          <cell r="BT46"/>
          <cell r="BU46">
            <v>36054876</v>
          </cell>
          <cell r="BV46" t="str">
            <v/>
          </cell>
          <cell r="BW46" t="str">
            <v/>
          </cell>
          <cell r="BX46" t="str">
            <v/>
          </cell>
          <cell r="BY46" t="str">
            <v/>
          </cell>
          <cell r="BZ46" t="str">
            <v/>
          </cell>
          <cell r="CA46" t="str">
            <v/>
          </cell>
          <cell r="CB46">
            <v>0</v>
          </cell>
          <cell r="CC46"/>
        </row>
        <row r="47">
          <cell r="C47"/>
          <cell r="D47" t="str">
            <v>TOTAL</v>
          </cell>
          <cell r="E47" t="str">
            <v/>
          </cell>
          <cell r="F47" t="str">
            <v/>
          </cell>
          <cell r="G47" t="str">
            <v/>
          </cell>
          <cell r="H47" t="str">
            <v/>
          </cell>
          <cell r="I47" t="str">
            <v/>
          </cell>
          <cell r="J47" t="str">
            <v/>
          </cell>
          <cell r="K47" t="str">
            <v/>
          </cell>
          <cell r="L47" t="str">
            <v/>
          </cell>
          <cell r="M47" t="str">
            <v/>
          </cell>
          <cell r="N47" t="str">
            <v/>
          </cell>
          <cell r="O47" t="str">
            <v/>
          </cell>
          <cell r="P47" t="str">
            <v/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 t="str">
            <v/>
          </cell>
          <cell r="V47" t="str">
            <v/>
          </cell>
          <cell r="W47" t="str">
            <v/>
          </cell>
          <cell r="X47" t="str">
            <v/>
          </cell>
          <cell r="Y47" t="str">
            <v/>
          </cell>
          <cell r="Z47" t="str">
            <v/>
          </cell>
          <cell r="AA47" t="str">
            <v/>
          </cell>
          <cell r="AB47" t="str">
            <v/>
          </cell>
          <cell r="AC47" t="str">
            <v/>
          </cell>
          <cell r="AD47" t="str">
            <v/>
          </cell>
          <cell r="AE47"/>
          <cell r="AF47"/>
          <cell r="AG47"/>
          <cell r="AH47"/>
          <cell r="AI47" t="str">
            <v/>
          </cell>
          <cell r="AJ47" t="str">
            <v/>
          </cell>
          <cell r="AK47" t="str">
            <v/>
          </cell>
          <cell r="AL47" t="str">
            <v/>
          </cell>
          <cell r="AM47" t="str">
            <v/>
          </cell>
          <cell r="AN47" t="str">
            <v/>
          </cell>
          <cell r="AO47"/>
          <cell r="AP47"/>
          <cell r="AQ47"/>
          <cell r="AR47"/>
          <cell r="AS47"/>
          <cell r="AT47">
            <v>40026</v>
          </cell>
          <cell r="AU47" t="str">
            <v>TOTAL</v>
          </cell>
          <cell r="AV47">
            <v>8181925.5400760323</v>
          </cell>
          <cell r="AW47" t="str">
            <v/>
          </cell>
          <cell r="AX47" t="str">
            <v/>
          </cell>
          <cell r="AY47" t="str">
            <v/>
          </cell>
          <cell r="AZ47" t="str">
            <v/>
          </cell>
          <cell r="BA47" t="str">
            <v/>
          </cell>
          <cell r="BB47" t="str">
            <v/>
          </cell>
          <cell r="BC47"/>
          <cell r="BD47">
            <v>5799537</v>
          </cell>
          <cell r="BE47" t="str">
            <v/>
          </cell>
          <cell r="BF47" t="str">
            <v/>
          </cell>
          <cell r="BG47" t="str">
            <v/>
          </cell>
          <cell r="BH47" t="str">
            <v/>
          </cell>
          <cell r="BI47" t="str">
            <v/>
          </cell>
          <cell r="BJ47" t="str">
            <v/>
          </cell>
          <cell r="BK47"/>
          <cell r="BL47">
            <v>54930706.276538029</v>
          </cell>
          <cell r="BM47" t="str">
            <v/>
          </cell>
          <cell r="BN47" t="str">
            <v/>
          </cell>
          <cell r="BO47" t="str">
            <v/>
          </cell>
          <cell r="BP47" t="str">
            <v/>
          </cell>
          <cell r="BQ47" t="str">
            <v/>
          </cell>
          <cell r="BR47" t="str">
            <v/>
          </cell>
          <cell r="BS47">
            <v>0</v>
          </cell>
          <cell r="BT47"/>
          <cell r="BU47">
            <v>41854413</v>
          </cell>
          <cell r="BV47" t="str">
            <v/>
          </cell>
          <cell r="BW47" t="str">
            <v/>
          </cell>
          <cell r="BX47" t="str">
            <v/>
          </cell>
          <cell r="BY47" t="str">
            <v/>
          </cell>
          <cell r="BZ47" t="str">
            <v/>
          </cell>
          <cell r="CA47" t="str">
            <v/>
          </cell>
          <cell r="CB47">
            <v>0</v>
          </cell>
          <cell r="CC47"/>
        </row>
        <row r="48">
          <cell r="C48"/>
          <cell r="D48" t="str">
            <v>TOTAL</v>
          </cell>
          <cell r="E48" t="str">
            <v/>
          </cell>
          <cell r="F48" t="str">
            <v/>
          </cell>
          <cell r="G48" t="str">
            <v/>
          </cell>
          <cell r="H48" t="str">
            <v/>
          </cell>
          <cell r="I48" t="str">
            <v/>
          </cell>
          <cell r="J48" t="str">
            <v/>
          </cell>
          <cell r="K48" t="str">
            <v/>
          </cell>
          <cell r="L48" t="str">
            <v/>
          </cell>
          <cell r="M48" t="str">
            <v/>
          </cell>
          <cell r="N48" t="str">
            <v/>
          </cell>
          <cell r="O48" t="str">
            <v/>
          </cell>
          <cell r="P48" t="str">
            <v/>
          </cell>
          <cell r="Q48" t="str">
            <v/>
          </cell>
          <cell r="R48" t="str">
            <v/>
          </cell>
          <cell r="S48" t="str">
            <v/>
          </cell>
          <cell r="T48" t="str">
            <v/>
          </cell>
          <cell r="U48" t="str">
            <v/>
          </cell>
          <cell r="V48" t="str">
            <v/>
          </cell>
          <cell r="W48" t="str">
            <v/>
          </cell>
          <cell r="X48" t="str">
            <v/>
          </cell>
          <cell r="Y48" t="str">
            <v/>
          </cell>
          <cell r="Z48" t="str">
            <v/>
          </cell>
          <cell r="AA48" t="str">
            <v/>
          </cell>
          <cell r="AB48" t="str">
            <v/>
          </cell>
          <cell r="AC48" t="str">
            <v/>
          </cell>
          <cell r="AD48" t="str">
            <v/>
          </cell>
          <cell r="AE48"/>
          <cell r="AF48"/>
          <cell r="AG48"/>
          <cell r="AH48"/>
          <cell r="AI48" t="str">
            <v/>
          </cell>
          <cell r="AJ48" t="str">
            <v/>
          </cell>
          <cell r="AK48" t="str">
            <v/>
          </cell>
          <cell r="AL48" t="str">
            <v/>
          </cell>
          <cell r="AM48" t="str">
            <v/>
          </cell>
          <cell r="AN48" t="str">
            <v/>
          </cell>
          <cell r="AO48"/>
          <cell r="AP48"/>
          <cell r="AQ48"/>
          <cell r="AR48"/>
          <cell r="AS48"/>
          <cell r="AT48">
            <v>40057</v>
          </cell>
          <cell r="AU48" t="str">
            <v>TOTAL</v>
          </cell>
          <cell r="AV48">
            <v>8267114.4154565409</v>
          </cell>
          <cell r="AW48" t="str">
            <v/>
          </cell>
          <cell r="AX48" t="str">
            <v/>
          </cell>
          <cell r="AY48" t="str">
            <v/>
          </cell>
          <cell r="AZ48" t="str">
            <v/>
          </cell>
          <cell r="BA48" t="str">
            <v/>
          </cell>
          <cell r="BB48" t="str">
            <v/>
          </cell>
          <cell r="BC48"/>
          <cell r="BD48">
            <v>5946013</v>
          </cell>
          <cell r="BE48" t="str">
            <v/>
          </cell>
          <cell r="BF48" t="str">
            <v/>
          </cell>
          <cell r="BG48" t="str">
            <v/>
          </cell>
          <cell r="BH48" t="str">
            <v/>
          </cell>
          <cell r="BI48" t="str">
            <v/>
          </cell>
          <cell r="BJ48" t="str">
            <v/>
          </cell>
          <cell r="BK48"/>
          <cell r="BL48">
            <v>63197820.69199457</v>
          </cell>
          <cell r="BM48" t="str">
            <v/>
          </cell>
          <cell r="BN48" t="str">
            <v/>
          </cell>
          <cell r="BO48" t="str">
            <v/>
          </cell>
          <cell r="BP48" t="str">
            <v/>
          </cell>
          <cell r="BQ48" t="str">
            <v/>
          </cell>
          <cell r="BR48" t="str">
            <v/>
          </cell>
          <cell r="BS48">
            <v>0</v>
          </cell>
          <cell r="BT48"/>
          <cell r="BU48">
            <v>47800426</v>
          </cell>
          <cell r="BV48" t="str">
            <v/>
          </cell>
          <cell r="BW48" t="str">
            <v/>
          </cell>
          <cell r="BX48" t="str">
            <v/>
          </cell>
          <cell r="BY48" t="str">
            <v/>
          </cell>
          <cell r="BZ48" t="str">
            <v/>
          </cell>
          <cell r="CA48" t="str">
            <v/>
          </cell>
          <cell r="CB48">
            <v>0</v>
          </cell>
          <cell r="CC48"/>
        </row>
        <row r="49">
          <cell r="C49"/>
          <cell r="D49" t="str">
            <v>TOTAL</v>
          </cell>
          <cell r="E49" t="str">
            <v/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  <cell r="L49" t="str">
            <v/>
          </cell>
          <cell r="M49" t="str">
            <v/>
          </cell>
          <cell r="N49" t="str">
            <v/>
          </cell>
          <cell r="O49" t="str">
            <v/>
          </cell>
          <cell r="P49" t="str">
            <v/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  <cell r="U49" t="str">
            <v/>
          </cell>
          <cell r="V49" t="str">
            <v/>
          </cell>
          <cell r="W49" t="str">
            <v/>
          </cell>
          <cell r="X49" t="str">
            <v/>
          </cell>
          <cell r="Y49" t="str">
            <v/>
          </cell>
          <cell r="Z49" t="str">
            <v/>
          </cell>
          <cell r="AA49" t="str">
            <v/>
          </cell>
          <cell r="AB49" t="str">
            <v/>
          </cell>
          <cell r="AC49" t="str">
            <v/>
          </cell>
          <cell r="AD49" t="str">
            <v/>
          </cell>
          <cell r="AE49"/>
          <cell r="AF49"/>
          <cell r="AG49"/>
          <cell r="AH49"/>
          <cell r="AI49" t="str">
            <v/>
          </cell>
          <cell r="AJ49" t="str">
            <v/>
          </cell>
          <cell r="AK49" t="str">
            <v/>
          </cell>
          <cell r="AL49" t="str">
            <v/>
          </cell>
          <cell r="AM49" t="str">
            <v/>
          </cell>
          <cell r="AN49" t="str">
            <v/>
          </cell>
          <cell r="AO49"/>
          <cell r="AP49"/>
          <cell r="AQ49"/>
          <cell r="AR49"/>
          <cell r="AS49"/>
          <cell r="AT49">
            <v>40087</v>
          </cell>
          <cell r="AU49" t="str">
            <v>TOTAL</v>
          </cell>
          <cell r="AV49">
            <v>0</v>
          </cell>
          <cell r="AW49" t="str">
            <v/>
          </cell>
          <cell r="AX49" t="str">
            <v/>
          </cell>
          <cell r="AY49" t="str">
            <v/>
          </cell>
          <cell r="AZ49" t="str">
            <v/>
          </cell>
          <cell r="BA49" t="str">
            <v/>
          </cell>
          <cell r="BB49" t="str">
            <v/>
          </cell>
          <cell r="BC49"/>
          <cell r="BD49">
            <v>0</v>
          </cell>
          <cell r="BE49" t="str">
            <v/>
          </cell>
          <cell r="BF49" t="str">
            <v/>
          </cell>
          <cell r="BG49" t="str">
            <v/>
          </cell>
          <cell r="BH49" t="str">
            <v/>
          </cell>
          <cell r="BI49" t="str">
            <v/>
          </cell>
          <cell r="BJ49" t="str">
            <v/>
          </cell>
          <cell r="BK49"/>
          <cell r="BL49">
            <v>63197820.69199457</v>
          </cell>
          <cell r="BM49" t="str">
            <v/>
          </cell>
          <cell r="BN49" t="str">
            <v/>
          </cell>
          <cell r="BO49" t="str">
            <v/>
          </cell>
          <cell r="BP49" t="str">
            <v/>
          </cell>
          <cell r="BQ49" t="str">
            <v/>
          </cell>
          <cell r="BR49" t="str">
            <v/>
          </cell>
          <cell r="BS49">
            <v>0</v>
          </cell>
          <cell r="BT49"/>
          <cell r="BU49">
            <v>47800426</v>
          </cell>
          <cell r="BV49" t="str">
            <v/>
          </cell>
          <cell r="BW49" t="str">
            <v/>
          </cell>
          <cell r="BX49" t="str">
            <v/>
          </cell>
          <cell r="BY49" t="str">
            <v/>
          </cell>
          <cell r="BZ49" t="str">
            <v/>
          </cell>
          <cell r="CA49" t="str">
            <v/>
          </cell>
          <cell r="CB49">
            <v>0</v>
          </cell>
          <cell r="CC49"/>
        </row>
      </sheetData>
      <sheetData sheetId="85"/>
      <sheetData sheetId="86">
        <row r="13">
          <cell r="R13"/>
          <cell r="S13"/>
          <cell r="U13"/>
          <cell r="V13"/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</row>
        <row r="14">
          <cell r="R14"/>
          <cell r="S14"/>
          <cell r="T14" t="str">
            <v>Avance Cumplimiento de produccion a ventas / Distribucion</v>
          </cell>
          <cell r="U14"/>
          <cell r="V14"/>
          <cell r="W14" t="str">
            <v>Var 1.</v>
          </cell>
          <cell r="X14"/>
          <cell r="Y14" t="str">
            <v>Var. 2</v>
          </cell>
          <cell r="Z14"/>
          <cell r="AA14"/>
          <cell r="AB14" t="str">
            <v>Cumplimiento Proyectado  TM</v>
          </cell>
          <cell r="AC14"/>
          <cell r="AD14"/>
          <cell r="AE14" t="str">
            <v>Var 1.</v>
          </cell>
          <cell r="AF14"/>
          <cell r="AG14" t="str">
            <v>Var. 2</v>
          </cell>
          <cell r="AH14"/>
          <cell r="AI14"/>
          <cell r="AJ14" t="str">
            <v>Acum. Cumplimiento de produccion a ventas / Distribucion</v>
          </cell>
          <cell r="AK14"/>
          <cell r="AL14"/>
          <cell r="AM14" t="str">
            <v>Var 1.</v>
          </cell>
          <cell r="AN14"/>
          <cell r="AO14" t="str">
            <v>Var. 2</v>
          </cell>
          <cell r="AP14"/>
          <cell r="AQ14" t="str">
            <v>Acumula</v>
          </cell>
          <cell r="AR14"/>
        </row>
        <row r="15">
          <cell r="R15" t="str">
            <v>Fecha</v>
          </cell>
          <cell r="S15" t="str">
            <v>TIPO</v>
          </cell>
          <cell r="T15" t="str">
            <v>Anteriores</v>
          </cell>
          <cell r="U15" t="str">
            <v>Real</v>
          </cell>
          <cell r="V15" t="str">
            <v>Programado</v>
          </cell>
          <cell r="W15" t="str">
            <v>Unidades</v>
          </cell>
          <cell r="X15" t="str">
            <v>%</v>
          </cell>
          <cell r="Y15" t="str">
            <v>Unidades</v>
          </cell>
          <cell r="Z15" t="str">
            <v>%</v>
          </cell>
          <cell r="AA15"/>
          <cell r="AB15" t="str">
            <v>Anteriores</v>
          </cell>
          <cell r="AC15" t="str">
            <v>Real</v>
          </cell>
          <cell r="AD15" t="str">
            <v>Inicial</v>
          </cell>
          <cell r="AE15" t="str">
            <v>Unidades</v>
          </cell>
          <cell r="AF15" t="str">
            <v>%</v>
          </cell>
          <cell r="AG15" t="str">
            <v>Unidades</v>
          </cell>
          <cell r="AH15" t="str">
            <v>%</v>
          </cell>
          <cell r="AI15"/>
          <cell r="AJ15" t="str">
            <v>Anterior</v>
          </cell>
          <cell r="AK15" t="str">
            <v>Real</v>
          </cell>
          <cell r="AL15" t="str">
            <v>Programado</v>
          </cell>
          <cell r="AM15" t="str">
            <v>Unidades</v>
          </cell>
          <cell r="AN15" t="str">
            <v>%</v>
          </cell>
          <cell r="AO15" t="str">
            <v>Unidades</v>
          </cell>
          <cell r="AP15" t="str">
            <v>%</v>
          </cell>
          <cell r="AQ15" t="str">
            <v>PPTO</v>
          </cell>
          <cell r="AR15" t="str">
            <v>Avance</v>
          </cell>
        </row>
        <row r="16">
          <cell r="B16">
            <v>39083</v>
          </cell>
          <cell r="C16"/>
          <cell r="D16" t="str">
            <v>GLOBAL</v>
          </cell>
          <cell r="E16" t="str">
            <v/>
          </cell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 t="str">
            <v/>
          </cell>
          <cell r="K16" t="str">
            <v/>
          </cell>
          <cell r="L16" t="str">
            <v/>
          </cell>
          <cell r="M16" t="str">
            <v/>
          </cell>
          <cell r="N16" t="str">
            <v/>
          </cell>
          <cell r="O16" t="str">
            <v/>
          </cell>
          <cell r="P16">
            <v>0</v>
          </cell>
          <cell r="R16">
            <v>39083</v>
          </cell>
          <cell r="S16" t="str">
            <v>GLOBAL</v>
          </cell>
          <cell r="T16"/>
          <cell r="U16" t="str">
            <v/>
          </cell>
          <cell r="V16" t="str">
            <v/>
          </cell>
          <cell r="W16" t="str">
            <v/>
          </cell>
          <cell r="X16"/>
          <cell r="Y16" t="str">
            <v/>
          </cell>
          <cell r="Z16" t="str">
            <v/>
          </cell>
          <cell r="AA16"/>
          <cell r="AB16"/>
          <cell r="AC16" t="str">
            <v/>
          </cell>
          <cell r="AD16" t="str">
            <v/>
          </cell>
          <cell r="AE16" t="str">
            <v/>
          </cell>
          <cell r="AF16" t="str">
            <v/>
          </cell>
          <cell r="AG16" t="str">
            <v/>
          </cell>
          <cell r="AH16" t="str">
            <v/>
          </cell>
          <cell r="AI16"/>
          <cell r="AJ16"/>
          <cell r="AK16" t="str">
            <v/>
          </cell>
          <cell r="AL16" t="str">
            <v/>
          </cell>
          <cell r="AM16" t="str">
            <v/>
          </cell>
          <cell r="AN16"/>
          <cell r="AO16" t="str">
            <v/>
          </cell>
          <cell r="AP16" t="str">
            <v/>
          </cell>
          <cell r="AQ16">
            <v>0</v>
          </cell>
          <cell r="AR16" t="str">
            <v/>
          </cell>
        </row>
        <row r="17">
          <cell r="B17">
            <v>39114</v>
          </cell>
          <cell r="C17"/>
          <cell r="D17" t="str">
            <v>GLOBAL</v>
          </cell>
          <cell r="E17" t="str">
            <v/>
          </cell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  <cell r="J17" t="str">
            <v/>
          </cell>
          <cell r="K17" t="str">
            <v/>
          </cell>
          <cell r="L17" t="str">
            <v/>
          </cell>
          <cell r="M17" t="str">
            <v/>
          </cell>
          <cell r="N17" t="str">
            <v/>
          </cell>
          <cell r="O17" t="str">
            <v/>
          </cell>
          <cell r="P17" t="str">
            <v/>
          </cell>
          <cell r="R17">
            <v>39114</v>
          </cell>
          <cell r="S17" t="str">
            <v>GLOBAL</v>
          </cell>
          <cell r="T17"/>
          <cell r="U17" t="str">
            <v/>
          </cell>
          <cell r="V17" t="str">
            <v/>
          </cell>
          <cell r="W17" t="str">
            <v/>
          </cell>
          <cell r="X17"/>
          <cell r="Y17" t="str">
            <v/>
          </cell>
          <cell r="Z17" t="str">
            <v/>
          </cell>
          <cell r="AA17"/>
          <cell r="AB17"/>
          <cell r="AC17" t="str">
            <v/>
          </cell>
          <cell r="AD17" t="str">
            <v/>
          </cell>
          <cell r="AE17" t="str">
            <v/>
          </cell>
          <cell r="AF17" t="str">
            <v/>
          </cell>
          <cell r="AG17" t="str">
            <v/>
          </cell>
          <cell r="AH17" t="str">
            <v/>
          </cell>
          <cell r="AI17"/>
          <cell r="AJ17"/>
          <cell r="AK17" t="str">
            <v/>
          </cell>
          <cell r="AL17" t="str">
            <v/>
          </cell>
          <cell r="AM17" t="str">
            <v/>
          </cell>
          <cell r="AN17"/>
          <cell r="AO17" t="str">
            <v/>
          </cell>
          <cell r="AP17" t="str">
            <v/>
          </cell>
          <cell r="AQ17">
            <v>0</v>
          </cell>
          <cell r="AR17" t="str">
            <v/>
          </cell>
        </row>
        <row r="18">
          <cell r="B18">
            <v>39142</v>
          </cell>
          <cell r="C18"/>
          <cell r="D18" t="str">
            <v>GLOBAL</v>
          </cell>
          <cell r="E18" t="str">
            <v/>
          </cell>
          <cell r="F18" t="str">
            <v/>
          </cell>
          <cell r="G18" t="str">
            <v/>
          </cell>
          <cell r="H18" t="str">
            <v/>
          </cell>
          <cell r="I18" t="str">
            <v/>
          </cell>
          <cell r="J18" t="str">
            <v/>
          </cell>
          <cell r="K18" t="str">
            <v/>
          </cell>
          <cell r="L18" t="str">
            <v/>
          </cell>
          <cell r="M18" t="str">
            <v/>
          </cell>
          <cell r="N18" t="str">
            <v/>
          </cell>
          <cell r="O18" t="str">
            <v/>
          </cell>
          <cell r="P18" t="str">
            <v/>
          </cell>
          <cell r="R18">
            <v>39142</v>
          </cell>
          <cell r="S18" t="str">
            <v>GLOBAL</v>
          </cell>
          <cell r="T18"/>
          <cell r="U18" t="str">
            <v/>
          </cell>
          <cell r="V18" t="str">
            <v/>
          </cell>
          <cell r="W18" t="str">
            <v/>
          </cell>
          <cell r="X18"/>
          <cell r="Y18" t="str">
            <v/>
          </cell>
          <cell r="Z18" t="str">
            <v/>
          </cell>
          <cell r="AA18"/>
          <cell r="AB18"/>
          <cell r="AC18" t="str">
            <v/>
          </cell>
          <cell r="AD18" t="str">
            <v/>
          </cell>
          <cell r="AE18" t="str">
            <v/>
          </cell>
          <cell r="AF18" t="str">
            <v/>
          </cell>
          <cell r="AG18" t="str">
            <v/>
          </cell>
          <cell r="AH18" t="str">
            <v/>
          </cell>
          <cell r="AI18"/>
          <cell r="AJ18"/>
          <cell r="AK18" t="str">
            <v/>
          </cell>
          <cell r="AL18" t="str">
            <v/>
          </cell>
          <cell r="AM18" t="str">
            <v/>
          </cell>
          <cell r="AN18"/>
          <cell r="AO18" t="str">
            <v/>
          </cell>
          <cell r="AP18" t="str">
            <v/>
          </cell>
          <cell r="AQ18">
            <v>0</v>
          </cell>
          <cell r="AR18" t="str">
            <v/>
          </cell>
        </row>
        <row r="19">
          <cell r="B19">
            <v>39173</v>
          </cell>
          <cell r="C19"/>
          <cell r="D19" t="str">
            <v>GLOBAL</v>
          </cell>
          <cell r="E19" t="str">
            <v/>
          </cell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  <cell r="J19" t="str">
            <v/>
          </cell>
          <cell r="K19" t="str">
            <v/>
          </cell>
          <cell r="L19" t="str">
            <v/>
          </cell>
          <cell r="M19" t="str">
            <v/>
          </cell>
          <cell r="N19" t="str">
            <v/>
          </cell>
          <cell r="O19" t="str">
            <v/>
          </cell>
          <cell r="P19" t="str">
            <v/>
          </cell>
          <cell r="R19">
            <v>39173</v>
          </cell>
          <cell r="S19" t="str">
            <v>GLOBAL</v>
          </cell>
          <cell r="T19"/>
          <cell r="U19" t="str">
            <v/>
          </cell>
          <cell r="V19" t="str">
            <v/>
          </cell>
          <cell r="W19" t="str">
            <v/>
          </cell>
          <cell r="X19"/>
          <cell r="Y19" t="str">
            <v/>
          </cell>
          <cell r="Z19" t="str">
            <v/>
          </cell>
          <cell r="AA19"/>
          <cell r="AB19"/>
          <cell r="AC19" t="str">
            <v/>
          </cell>
          <cell r="AD19" t="str">
            <v/>
          </cell>
          <cell r="AE19" t="str">
            <v/>
          </cell>
          <cell r="AF19" t="str">
            <v/>
          </cell>
          <cell r="AG19" t="str">
            <v/>
          </cell>
          <cell r="AH19" t="str">
            <v/>
          </cell>
          <cell r="AI19"/>
          <cell r="AJ19"/>
          <cell r="AK19" t="str">
            <v/>
          </cell>
          <cell r="AL19" t="str">
            <v/>
          </cell>
          <cell r="AM19" t="str">
            <v/>
          </cell>
          <cell r="AN19"/>
          <cell r="AO19" t="str">
            <v/>
          </cell>
          <cell r="AP19" t="str">
            <v/>
          </cell>
          <cell r="AQ19">
            <v>0</v>
          </cell>
          <cell r="AR19" t="str">
            <v/>
          </cell>
        </row>
        <row r="20">
          <cell r="B20">
            <v>39203</v>
          </cell>
          <cell r="C20"/>
          <cell r="D20" t="str">
            <v>GLOBAL</v>
          </cell>
          <cell r="E20" t="str">
            <v/>
          </cell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  <cell r="J20" t="str">
            <v/>
          </cell>
          <cell r="K20" t="str">
            <v/>
          </cell>
          <cell r="L20" t="str">
            <v/>
          </cell>
          <cell r="M20" t="str">
            <v/>
          </cell>
          <cell r="N20" t="str">
            <v/>
          </cell>
          <cell r="O20" t="str">
            <v/>
          </cell>
          <cell r="P20" t="str">
            <v/>
          </cell>
          <cell r="R20">
            <v>39203</v>
          </cell>
          <cell r="S20" t="str">
            <v>GLOBAL</v>
          </cell>
          <cell r="T20"/>
          <cell r="U20" t="str">
            <v/>
          </cell>
          <cell r="V20" t="str">
            <v/>
          </cell>
          <cell r="W20" t="str">
            <v/>
          </cell>
          <cell r="X20"/>
          <cell r="Y20" t="str">
            <v/>
          </cell>
          <cell r="Z20" t="str">
            <v/>
          </cell>
          <cell r="AA20"/>
          <cell r="AB20"/>
          <cell r="AC20" t="str">
            <v/>
          </cell>
          <cell r="AD20" t="str">
            <v/>
          </cell>
          <cell r="AE20" t="str">
            <v/>
          </cell>
          <cell r="AF20" t="str">
            <v/>
          </cell>
          <cell r="AG20" t="str">
            <v/>
          </cell>
          <cell r="AH20" t="str">
            <v/>
          </cell>
          <cell r="AI20"/>
          <cell r="AJ20"/>
          <cell r="AK20" t="str">
            <v/>
          </cell>
          <cell r="AL20" t="str">
            <v/>
          </cell>
          <cell r="AM20" t="str">
            <v/>
          </cell>
          <cell r="AN20"/>
          <cell r="AO20" t="str">
            <v/>
          </cell>
          <cell r="AP20" t="str">
            <v/>
          </cell>
          <cell r="AQ20">
            <v>0</v>
          </cell>
          <cell r="AR20" t="str">
            <v/>
          </cell>
        </row>
        <row r="21">
          <cell r="B21">
            <v>39234</v>
          </cell>
          <cell r="C21"/>
          <cell r="D21" t="str">
            <v>GLOBAL</v>
          </cell>
          <cell r="E21" t="str">
            <v/>
          </cell>
          <cell r="F21" t="str">
            <v/>
          </cell>
          <cell r="G21" t="str">
            <v/>
          </cell>
          <cell r="H21" t="str">
            <v/>
          </cell>
          <cell r="I21" t="str">
            <v/>
          </cell>
          <cell r="J21" t="str">
            <v/>
          </cell>
          <cell r="K21" t="str">
            <v/>
          </cell>
          <cell r="L21" t="str">
            <v/>
          </cell>
          <cell r="M21" t="str">
            <v/>
          </cell>
          <cell r="N21" t="str">
            <v/>
          </cell>
          <cell r="O21" t="str">
            <v/>
          </cell>
          <cell r="P21" t="str">
            <v/>
          </cell>
          <cell r="R21">
            <v>39234</v>
          </cell>
          <cell r="S21" t="str">
            <v>GLOBAL</v>
          </cell>
          <cell r="T21"/>
          <cell r="U21" t="str">
            <v/>
          </cell>
          <cell r="V21" t="str">
            <v/>
          </cell>
          <cell r="W21" t="str">
            <v/>
          </cell>
          <cell r="X21"/>
          <cell r="Y21" t="str">
            <v/>
          </cell>
          <cell r="Z21" t="str">
            <v/>
          </cell>
          <cell r="AA21"/>
          <cell r="AB21"/>
          <cell r="AC21" t="str">
            <v/>
          </cell>
          <cell r="AD21" t="str">
            <v/>
          </cell>
          <cell r="AE21" t="str">
            <v/>
          </cell>
          <cell r="AF21" t="str">
            <v/>
          </cell>
          <cell r="AG21" t="str">
            <v/>
          </cell>
          <cell r="AH21" t="str">
            <v/>
          </cell>
          <cell r="AI21"/>
          <cell r="AJ21"/>
          <cell r="AK21" t="str">
            <v/>
          </cell>
          <cell r="AL21" t="str">
            <v/>
          </cell>
          <cell r="AM21" t="str">
            <v/>
          </cell>
          <cell r="AN21"/>
          <cell r="AO21" t="str">
            <v/>
          </cell>
          <cell r="AP21" t="str">
            <v/>
          </cell>
          <cell r="AQ21">
            <v>0</v>
          </cell>
          <cell r="AR21" t="str">
            <v/>
          </cell>
        </row>
        <row r="22">
          <cell r="B22">
            <v>39264</v>
          </cell>
          <cell r="C22"/>
          <cell r="D22" t="str">
            <v>GLOBAL</v>
          </cell>
          <cell r="E22" t="str">
            <v/>
          </cell>
          <cell r="F22" t="str">
            <v/>
          </cell>
          <cell r="G22" t="str">
            <v/>
          </cell>
          <cell r="H22" t="str">
            <v/>
          </cell>
          <cell r="I22" t="str">
            <v/>
          </cell>
          <cell r="J22" t="str">
            <v/>
          </cell>
          <cell r="K22" t="str">
            <v/>
          </cell>
          <cell r="L22" t="str">
            <v/>
          </cell>
          <cell r="M22" t="str">
            <v/>
          </cell>
          <cell r="N22" t="str">
            <v/>
          </cell>
          <cell r="O22" t="str">
            <v/>
          </cell>
          <cell r="P22" t="str">
            <v/>
          </cell>
          <cell r="R22">
            <v>39264</v>
          </cell>
          <cell r="S22" t="str">
            <v>GLOBAL</v>
          </cell>
          <cell r="T22"/>
          <cell r="U22" t="str">
            <v/>
          </cell>
          <cell r="V22" t="str">
            <v/>
          </cell>
          <cell r="W22" t="str">
            <v/>
          </cell>
          <cell r="X22"/>
          <cell r="Y22" t="str">
            <v/>
          </cell>
          <cell r="Z22" t="str">
            <v/>
          </cell>
          <cell r="AA22"/>
          <cell r="AB22"/>
          <cell r="AC22" t="str">
            <v/>
          </cell>
          <cell r="AD22" t="str">
            <v/>
          </cell>
          <cell r="AE22" t="str">
            <v/>
          </cell>
          <cell r="AF22" t="str">
            <v/>
          </cell>
          <cell r="AG22" t="str">
            <v/>
          </cell>
          <cell r="AH22" t="str">
            <v/>
          </cell>
          <cell r="AI22"/>
          <cell r="AJ22"/>
          <cell r="AK22" t="str">
            <v/>
          </cell>
          <cell r="AL22" t="str">
            <v/>
          </cell>
          <cell r="AM22" t="str">
            <v/>
          </cell>
          <cell r="AN22"/>
          <cell r="AO22" t="str">
            <v/>
          </cell>
          <cell r="AP22" t="str">
            <v/>
          </cell>
          <cell r="AQ22">
            <v>0</v>
          </cell>
          <cell r="AR22" t="str">
            <v/>
          </cell>
        </row>
        <row r="23">
          <cell r="B23">
            <v>39295</v>
          </cell>
          <cell r="C23"/>
          <cell r="D23" t="str">
            <v>GLOBAL</v>
          </cell>
          <cell r="E23" t="str">
            <v/>
          </cell>
          <cell r="F23" t="str">
            <v/>
          </cell>
          <cell r="G23" t="str">
            <v/>
          </cell>
          <cell r="H23" t="str">
            <v/>
          </cell>
          <cell r="I23" t="str">
            <v/>
          </cell>
          <cell r="J23" t="str">
            <v/>
          </cell>
          <cell r="K23" t="str">
            <v/>
          </cell>
          <cell r="L23" t="str">
            <v/>
          </cell>
          <cell r="M23" t="str">
            <v/>
          </cell>
          <cell r="N23" t="str">
            <v/>
          </cell>
          <cell r="O23" t="str">
            <v/>
          </cell>
          <cell r="P23" t="str">
            <v/>
          </cell>
          <cell r="R23">
            <v>39295</v>
          </cell>
          <cell r="S23" t="str">
            <v>GLOBAL</v>
          </cell>
          <cell r="T23"/>
          <cell r="U23" t="str">
            <v/>
          </cell>
          <cell r="V23" t="str">
            <v/>
          </cell>
          <cell r="W23" t="str">
            <v/>
          </cell>
          <cell r="X23"/>
          <cell r="Y23" t="str">
            <v/>
          </cell>
          <cell r="Z23" t="str">
            <v/>
          </cell>
          <cell r="AA23"/>
          <cell r="AB23"/>
          <cell r="AC23" t="str">
            <v/>
          </cell>
          <cell r="AD23" t="str">
            <v/>
          </cell>
          <cell r="AE23" t="str">
            <v/>
          </cell>
          <cell r="AF23" t="str">
            <v/>
          </cell>
          <cell r="AG23" t="str">
            <v/>
          </cell>
          <cell r="AH23" t="str">
            <v/>
          </cell>
          <cell r="AI23"/>
          <cell r="AJ23"/>
          <cell r="AK23" t="str">
            <v/>
          </cell>
          <cell r="AL23" t="str">
            <v/>
          </cell>
          <cell r="AM23" t="str">
            <v/>
          </cell>
          <cell r="AN23"/>
          <cell r="AO23" t="str">
            <v/>
          </cell>
          <cell r="AP23" t="str">
            <v/>
          </cell>
          <cell r="AQ23">
            <v>0</v>
          </cell>
          <cell r="AR23" t="str">
            <v/>
          </cell>
        </row>
        <row r="24">
          <cell r="B24">
            <v>39326</v>
          </cell>
          <cell r="C24"/>
          <cell r="D24" t="str">
            <v>GLOBAL</v>
          </cell>
          <cell r="E24" t="str">
            <v/>
          </cell>
          <cell r="F24" t="str">
            <v/>
          </cell>
          <cell r="G24" t="str">
            <v/>
          </cell>
          <cell r="H24" t="str">
            <v/>
          </cell>
          <cell r="I24" t="str">
            <v/>
          </cell>
          <cell r="J24" t="str">
            <v/>
          </cell>
          <cell r="K24" t="str">
            <v/>
          </cell>
          <cell r="L24" t="str">
            <v/>
          </cell>
          <cell r="M24" t="str">
            <v/>
          </cell>
          <cell r="N24" t="str">
            <v/>
          </cell>
          <cell r="O24" t="str">
            <v/>
          </cell>
          <cell r="P24" t="str">
            <v/>
          </cell>
          <cell r="R24">
            <v>39326</v>
          </cell>
          <cell r="S24" t="str">
            <v>GLOBAL</v>
          </cell>
          <cell r="T24"/>
          <cell r="U24" t="str">
            <v/>
          </cell>
          <cell r="V24" t="str">
            <v/>
          </cell>
          <cell r="W24" t="str">
            <v/>
          </cell>
          <cell r="X24"/>
          <cell r="Y24" t="str">
            <v/>
          </cell>
          <cell r="Z24" t="str">
            <v/>
          </cell>
          <cell r="AA24"/>
          <cell r="AB24"/>
          <cell r="AC24" t="str">
            <v/>
          </cell>
          <cell r="AD24" t="str">
            <v/>
          </cell>
          <cell r="AE24" t="str">
            <v/>
          </cell>
          <cell r="AF24" t="str">
            <v/>
          </cell>
          <cell r="AG24" t="str">
            <v/>
          </cell>
          <cell r="AH24" t="str">
            <v/>
          </cell>
          <cell r="AI24"/>
          <cell r="AJ24"/>
          <cell r="AK24" t="str">
            <v/>
          </cell>
          <cell r="AL24" t="str">
            <v/>
          </cell>
          <cell r="AM24" t="str">
            <v/>
          </cell>
          <cell r="AN24"/>
          <cell r="AO24" t="str">
            <v/>
          </cell>
          <cell r="AP24" t="str">
            <v/>
          </cell>
          <cell r="AQ24">
            <v>0</v>
          </cell>
          <cell r="AR24" t="str">
            <v/>
          </cell>
        </row>
        <row r="25">
          <cell r="B25">
            <v>39356</v>
          </cell>
          <cell r="C25"/>
          <cell r="D25" t="str">
            <v>GLOBAL</v>
          </cell>
          <cell r="E25" t="str">
            <v/>
          </cell>
          <cell r="F25" t="str">
            <v/>
          </cell>
          <cell r="G25" t="str">
            <v/>
          </cell>
          <cell r="H25" t="str">
            <v/>
          </cell>
          <cell r="I25" t="str">
            <v/>
          </cell>
          <cell r="J25" t="str">
            <v/>
          </cell>
          <cell r="K25" t="str">
            <v/>
          </cell>
          <cell r="L25" t="str">
            <v/>
          </cell>
          <cell r="M25" t="str">
            <v/>
          </cell>
          <cell r="N25" t="str">
            <v/>
          </cell>
          <cell r="O25" t="str">
            <v/>
          </cell>
          <cell r="P25" t="str">
            <v/>
          </cell>
          <cell r="R25">
            <v>39356</v>
          </cell>
          <cell r="S25" t="str">
            <v>GLOBAL</v>
          </cell>
          <cell r="T25"/>
          <cell r="U25" t="str">
            <v/>
          </cell>
          <cell r="V25" t="str">
            <v/>
          </cell>
          <cell r="W25" t="str">
            <v/>
          </cell>
          <cell r="X25"/>
          <cell r="Y25" t="str">
            <v/>
          </cell>
          <cell r="Z25" t="str">
            <v/>
          </cell>
          <cell r="AA25"/>
          <cell r="AB25"/>
          <cell r="AC25" t="str">
            <v/>
          </cell>
          <cell r="AD25" t="str">
            <v/>
          </cell>
          <cell r="AE25" t="str">
            <v/>
          </cell>
          <cell r="AF25" t="str">
            <v/>
          </cell>
          <cell r="AG25" t="str">
            <v/>
          </cell>
          <cell r="AH25" t="str">
            <v/>
          </cell>
          <cell r="AI25"/>
          <cell r="AJ25"/>
          <cell r="AK25" t="str">
            <v/>
          </cell>
          <cell r="AL25" t="str">
            <v/>
          </cell>
          <cell r="AM25" t="str">
            <v/>
          </cell>
          <cell r="AN25"/>
          <cell r="AO25" t="str">
            <v/>
          </cell>
          <cell r="AP25" t="str">
            <v/>
          </cell>
          <cell r="AQ25">
            <v>0</v>
          </cell>
          <cell r="AR25" t="str">
            <v/>
          </cell>
        </row>
        <row r="26">
          <cell r="B26">
            <v>39387</v>
          </cell>
          <cell r="C26"/>
          <cell r="D26" t="str">
            <v>GLOBAL</v>
          </cell>
          <cell r="E26" t="str">
            <v/>
          </cell>
          <cell r="F26" t="str">
            <v/>
          </cell>
          <cell r="G26" t="str">
            <v/>
          </cell>
          <cell r="H26" t="str">
            <v/>
          </cell>
          <cell r="I26" t="str">
            <v/>
          </cell>
          <cell r="J26" t="str">
            <v/>
          </cell>
          <cell r="K26" t="str">
            <v/>
          </cell>
          <cell r="L26" t="str">
            <v/>
          </cell>
          <cell r="M26" t="str">
            <v/>
          </cell>
          <cell r="N26" t="str">
            <v/>
          </cell>
          <cell r="O26" t="str">
            <v/>
          </cell>
          <cell r="P26" t="str">
            <v/>
          </cell>
          <cell r="R26">
            <v>39387</v>
          </cell>
          <cell r="S26" t="str">
            <v>GLOBAL</v>
          </cell>
          <cell r="T26"/>
          <cell r="U26" t="str">
            <v/>
          </cell>
          <cell r="V26" t="str">
            <v/>
          </cell>
          <cell r="W26" t="str">
            <v/>
          </cell>
          <cell r="X26"/>
          <cell r="Y26" t="str">
            <v/>
          </cell>
          <cell r="Z26" t="str">
            <v/>
          </cell>
          <cell r="AA26"/>
          <cell r="AB26"/>
          <cell r="AC26" t="str">
            <v/>
          </cell>
          <cell r="AD26" t="str">
            <v/>
          </cell>
          <cell r="AE26" t="str">
            <v/>
          </cell>
          <cell r="AF26" t="str">
            <v/>
          </cell>
          <cell r="AG26" t="str">
            <v/>
          </cell>
          <cell r="AH26" t="str">
            <v/>
          </cell>
          <cell r="AI26"/>
          <cell r="AJ26"/>
          <cell r="AK26" t="str">
            <v/>
          </cell>
          <cell r="AL26" t="str">
            <v/>
          </cell>
          <cell r="AM26" t="str">
            <v/>
          </cell>
          <cell r="AN26"/>
          <cell r="AO26" t="str">
            <v/>
          </cell>
          <cell r="AP26" t="str">
            <v/>
          </cell>
          <cell r="AQ26">
            <v>0</v>
          </cell>
          <cell r="AR26" t="str">
            <v/>
          </cell>
        </row>
        <row r="27">
          <cell r="B27">
            <v>39417</v>
          </cell>
          <cell r="C27"/>
          <cell r="D27" t="str">
            <v>GLOBAL</v>
          </cell>
          <cell r="E27" t="str">
            <v/>
          </cell>
          <cell r="F27" t="str">
            <v/>
          </cell>
          <cell r="G27" t="str">
            <v/>
          </cell>
          <cell r="H27" t="str">
            <v/>
          </cell>
          <cell r="I27" t="str">
            <v/>
          </cell>
          <cell r="J27" t="str">
            <v/>
          </cell>
          <cell r="K27" t="str">
            <v/>
          </cell>
          <cell r="L27" t="str">
            <v/>
          </cell>
          <cell r="M27" t="str">
            <v/>
          </cell>
          <cell r="N27" t="str">
            <v/>
          </cell>
          <cell r="O27" t="str">
            <v/>
          </cell>
          <cell r="P27" t="str">
            <v/>
          </cell>
          <cell r="R27">
            <v>39417</v>
          </cell>
          <cell r="S27" t="str">
            <v>GLOBAL</v>
          </cell>
          <cell r="T27"/>
          <cell r="U27" t="str">
            <v/>
          </cell>
          <cell r="V27" t="str">
            <v/>
          </cell>
          <cell r="W27" t="str">
            <v/>
          </cell>
          <cell r="X27"/>
          <cell r="Y27" t="str">
            <v/>
          </cell>
          <cell r="Z27" t="str">
            <v/>
          </cell>
          <cell r="AA27"/>
          <cell r="AB27"/>
          <cell r="AC27" t="str">
            <v/>
          </cell>
          <cell r="AD27" t="str">
            <v/>
          </cell>
          <cell r="AE27" t="str">
            <v/>
          </cell>
          <cell r="AF27" t="str">
            <v/>
          </cell>
          <cell r="AG27" t="str">
            <v/>
          </cell>
          <cell r="AH27" t="str">
            <v/>
          </cell>
          <cell r="AI27"/>
          <cell r="AJ27"/>
          <cell r="AK27" t="str">
            <v/>
          </cell>
          <cell r="AL27" t="str">
            <v/>
          </cell>
          <cell r="AM27" t="str">
            <v/>
          </cell>
          <cell r="AN27"/>
          <cell r="AO27" t="str">
            <v/>
          </cell>
          <cell r="AP27" t="str">
            <v/>
          </cell>
          <cell r="AQ27">
            <v>0</v>
          </cell>
          <cell r="AR27" t="str">
            <v/>
          </cell>
        </row>
        <row r="28">
          <cell r="B28">
            <v>39448</v>
          </cell>
          <cell r="C28"/>
          <cell r="D28" t="str">
            <v>GLOBAL</v>
          </cell>
          <cell r="E28" t="str">
            <v/>
          </cell>
          <cell r="F28" t="str">
            <v/>
          </cell>
          <cell r="G28" t="str">
            <v/>
          </cell>
          <cell r="H28" t="str">
            <v/>
          </cell>
          <cell r="I28" t="str">
            <v/>
          </cell>
          <cell r="J28" t="str">
            <v/>
          </cell>
          <cell r="K28" t="str">
            <v/>
          </cell>
          <cell r="L28" t="str">
            <v/>
          </cell>
          <cell r="M28" t="str">
            <v/>
          </cell>
          <cell r="N28" t="str">
            <v/>
          </cell>
          <cell r="O28" t="str">
            <v/>
          </cell>
          <cell r="P28" t="str">
            <v/>
          </cell>
          <cell r="R28">
            <v>39448</v>
          </cell>
          <cell r="S28" t="str">
            <v>GLOBAL</v>
          </cell>
          <cell r="T28" t="str">
            <v/>
          </cell>
          <cell r="U28" t="str">
            <v/>
          </cell>
          <cell r="V28" t="str">
            <v/>
          </cell>
          <cell r="W28" t="str">
            <v/>
          </cell>
          <cell r="X28" t="str">
            <v/>
          </cell>
          <cell r="Y28" t="str">
            <v/>
          </cell>
          <cell r="Z28" t="str">
            <v/>
          </cell>
          <cell r="AA28"/>
          <cell r="AB28" t="str">
            <v/>
          </cell>
          <cell r="AC28" t="str">
            <v/>
          </cell>
          <cell r="AD28" t="str">
            <v/>
          </cell>
          <cell r="AE28" t="str">
            <v/>
          </cell>
          <cell r="AF28" t="str">
            <v/>
          </cell>
          <cell r="AG28" t="str">
            <v/>
          </cell>
          <cell r="AH28" t="str">
            <v/>
          </cell>
          <cell r="AI28"/>
          <cell r="AJ28" t="str">
            <v/>
          </cell>
          <cell r="AK28" t="str">
            <v/>
          </cell>
          <cell r="AL28" t="str">
            <v/>
          </cell>
          <cell r="AM28" t="str">
            <v/>
          </cell>
          <cell r="AN28" t="str">
            <v/>
          </cell>
          <cell r="AO28" t="str">
            <v/>
          </cell>
          <cell r="AP28" t="str">
            <v/>
          </cell>
          <cell r="AQ28">
            <v>0</v>
          </cell>
          <cell r="AR28" t="str">
            <v/>
          </cell>
        </row>
        <row r="29">
          <cell r="B29">
            <v>39479</v>
          </cell>
          <cell r="C29"/>
          <cell r="D29" t="str">
            <v>GLOBAL</v>
          </cell>
          <cell r="E29" t="str">
            <v/>
          </cell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  <cell r="J29" t="str">
            <v/>
          </cell>
          <cell r="K29" t="str">
            <v/>
          </cell>
          <cell r="L29" t="str">
            <v/>
          </cell>
          <cell r="M29" t="str">
            <v/>
          </cell>
          <cell r="N29" t="str">
            <v/>
          </cell>
          <cell r="O29" t="str">
            <v/>
          </cell>
          <cell r="P29" t="str">
            <v/>
          </cell>
          <cell r="R29">
            <v>39479</v>
          </cell>
          <cell r="S29" t="str">
            <v>GLOBAL</v>
          </cell>
          <cell r="T29" t="str">
            <v/>
          </cell>
          <cell r="U29" t="str">
            <v/>
          </cell>
          <cell r="V29" t="str">
            <v/>
          </cell>
          <cell r="W29" t="str">
            <v/>
          </cell>
          <cell r="X29" t="str">
            <v/>
          </cell>
          <cell r="Y29" t="str">
            <v/>
          </cell>
          <cell r="Z29" t="str">
            <v/>
          </cell>
          <cell r="AA29"/>
          <cell r="AB29" t="str">
            <v/>
          </cell>
          <cell r="AC29" t="str">
            <v/>
          </cell>
          <cell r="AD29" t="str">
            <v/>
          </cell>
          <cell r="AE29" t="str">
            <v/>
          </cell>
          <cell r="AF29" t="str">
            <v/>
          </cell>
          <cell r="AG29" t="str">
            <v/>
          </cell>
          <cell r="AH29" t="str">
            <v/>
          </cell>
          <cell r="AI29"/>
          <cell r="AJ29" t="str">
            <v/>
          </cell>
          <cell r="AK29" t="str">
            <v/>
          </cell>
          <cell r="AL29" t="str">
            <v/>
          </cell>
          <cell r="AM29" t="str">
            <v/>
          </cell>
          <cell r="AN29" t="str">
            <v/>
          </cell>
          <cell r="AO29" t="str">
            <v/>
          </cell>
          <cell r="AP29" t="str">
            <v/>
          </cell>
          <cell r="AQ29">
            <v>0</v>
          </cell>
          <cell r="AR29" t="str">
            <v/>
          </cell>
        </row>
        <row r="30">
          <cell r="B30">
            <v>39508</v>
          </cell>
          <cell r="C30"/>
          <cell r="D30" t="str">
            <v>GLOBAL</v>
          </cell>
          <cell r="E30" t="str">
            <v/>
          </cell>
          <cell r="F30" t="str">
            <v/>
          </cell>
          <cell r="G30" t="str">
            <v/>
          </cell>
          <cell r="H30" t="str">
            <v/>
          </cell>
          <cell r="I30" t="str">
            <v/>
          </cell>
          <cell r="J30" t="str">
            <v/>
          </cell>
          <cell r="K30" t="str">
            <v/>
          </cell>
          <cell r="L30" t="str">
            <v/>
          </cell>
          <cell r="M30" t="str">
            <v/>
          </cell>
          <cell r="N30" t="str">
            <v/>
          </cell>
          <cell r="O30" t="str">
            <v/>
          </cell>
          <cell r="P30" t="str">
            <v/>
          </cell>
          <cell r="R30">
            <v>39508</v>
          </cell>
          <cell r="S30" t="str">
            <v>GLOBAL</v>
          </cell>
          <cell r="T30" t="str">
            <v/>
          </cell>
          <cell r="U30" t="str">
            <v/>
          </cell>
          <cell r="V30" t="str">
            <v/>
          </cell>
          <cell r="W30" t="str">
            <v/>
          </cell>
          <cell r="X30" t="str">
            <v/>
          </cell>
          <cell r="Y30" t="str">
            <v/>
          </cell>
          <cell r="Z30" t="str">
            <v/>
          </cell>
          <cell r="AA30"/>
          <cell r="AB30" t="str">
            <v/>
          </cell>
          <cell r="AC30" t="str">
            <v/>
          </cell>
          <cell r="AD30" t="str">
            <v/>
          </cell>
          <cell r="AE30" t="str">
            <v/>
          </cell>
          <cell r="AF30" t="str">
            <v/>
          </cell>
          <cell r="AG30" t="str">
            <v/>
          </cell>
          <cell r="AH30" t="str">
            <v/>
          </cell>
          <cell r="AI30"/>
          <cell r="AJ30" t="str">
            <v/>
          </cell>
          <cell r="AK30" t="str">
            <v/>
          </cell>
          <cell r="AL30" t="str">
            <v/>
          </cell>
          <cell r="AM30" t="str">
            <v/>
          </cell>
          <cell r="AN30" t="str">
            <v/>
          </cell>
          <cell r="AO30" t="str">
            <v/>
          </cell>
          <cell r="AP30" t="str">
            <v/>
          </cell>
          <cell r="AQ30">
            <v>0</v>
          </cell>
          <cell r="AR30" t="str">
            <v/>
          </cell>
        </row>
        <row r="31">
          <cell r="B31">
            <v>39539</v>
          </cell>
          <cell r="C31"/>
          <cell r="D31" t="str">
            <v>GLOBAL</v>
          </cell>
          <cell r="E31" t="str">
            <v/>
          </cell>
          <cell r="F31" t="str">
            <v/>
          </cell>
          <cell r="G31" t="str">
            <v/>
          </cell>
          <cell r="H31" t="str">
            <v/>
          </cell>
          <cell r="I31" t="str">
            <v/>
          </cell>
          <cell r="J31" t="str">
            <v/>
          </cell>
          <cell r="K31" t="str">
            <v/>
          </cell>
          <cell r="L31" t="str">
            <v/>
          </cell>
          <cell r="M31" t="str">
            <v/>
          </cell>
          <cell r="N31" t="str">
            <v/>
          </cell>
          <cell r="O31" t="str">
            <v/>
          </cell>
          <cell r="P31" t="str">
            <v/>
          </cell>
          <cell r="R31">
            <v>39539</v>
          </cell>
          <cell r="S31" t="str">
            <v>GLOBAL</v>
          </cell>
          <cell r="T31" t="str">
            <v/>
          </cell>
          <cell r="U31" t="str">
            <v/>
          </cell>
          <cell r="V31" t="str">
            <v/>
          </cell>
          <cell r="W31" t="str">
            <v/>
          </cell>
          <cell r="X31" t="str">
            <v/>
          </cell>
          <cell r="Y31" t="str">
            <v/>
          </cell>
          <cell r="Z31" t="str">
            <v/>
          </cell>
          <cell r="AA31"/>
          <cell r="AB31" t="str">
            <v/>
          </cell>
          <cell r="AC31" t="str">
            <v/>
          </cell>
          <cell r="AD31" t="str">
            <v/>
          </cell>
          <cell r="AE31" t="str">
            <v/>
          </cell>
          <cell r="AF31" t="str">
            <v/>
          </cell>
          <cell r="AG31" t="str">
            <v/>
          </cell>
          <cell r="AH31" t="str">
            <v/>
          </cell>
          <cell r="AI31"/>
          <cell r="AJ31" t="str">
            <v/>
          </cell>
          <cell r="AK31" t="str">
            <v/>
          </cell>
          <cell r="AL31" t="str">
            <v/>
          </cell>
          <cell r="AM31" t="str">
            <v/>
          </cell>
          <cell r="AN31" t="str">
            <v/>
          </cell>
          <cell r="AO31" t="str">
            <v/>
          </cell>
          <cell r="AP31" t="str">
            <v/>
          </cell>
          <cell r="AQ31">
            <v>0</v>
          </cell>
          <cell r="AR31" t="str">
            <v/>
          </cell>
        </row>
        <row r="32">
          <cell r="B32">
            <v>39569</v>
          </cell>
          <cell r="C32"/>
          <cell r="D32" t="str">
            <v>GLOBAL</v>
          </cell>
          <cell r="E32" t="str">
            <v/>
          </cell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  <cell r="L32" t="str">
            <v/>
          </cell>
          <cell r="M32" t="str">
            <v/>
          </cell>
          <cell r="N32" t="str">
            <v/>
          </cell>
          <cell r="O32" t="str">
            <v/>
          </cell>
          <cell r="P32" t="str">
            <v/>
          </cell>
          <cell r="R32">
            <v>39569</v>
          </cell>
          <cell r="S32" t="str">
            <v>GLOBAL</v>
          </cell>
          <cell r="T32" t="str">
            <v/>
          </cell>
          <cell r="U32" t="str">
            <v/>
          </cell>
          <cell r="V32" t="str">
            <v/>
          </cell>
          <cell r="W32" t="str">
            <v/>
          </cell>
          <cell r="X32" t="str">
            <v/>
          </cell>
          <cell r="Y32" t="str">
            <v/>
          </cell>
          <cell r="Z32" t="str">
            <v/>
          </cell>
          <cell r="AA32"/>
          <cell r="AB32" t="str">
            <v/>
          </cell>
          <cell r="AC32" t="str">
            <v/>
          </cell>
          <cell r="AD32" t="str">
            <v/>
          </cell>
          <cell r="AE32" t="str">
            <v/>
          </cell>
          <cell r="AF32" t="str">
            <v/>
          </cell>
          <cell r="AG32" t="str">
            <v/>
          </cell>
          <cell r="AH32" t="str">
            <v/>
          </cell>
          <cell r="AI32"/>
          <cell r="AJ32" t="str">
            <v/>
          </cell>
          <cell r="AK32" t="str">
            <v/>
          </cell>
          <cell r="AL32" t="str">
            <v/>
          </cell>
          <cell r="AM32" t="str">
            <v/>
          </cell>
          <cell r="AN32" t="str">
            <v/>
          </cell>
          <cell r="AO32" t="str">
            <v/>
          </cell>
          <cell r="AP32" t="str">
            <v/>
          </cell>
          <cell r="AQ32">
            <v>0</v>
          </cell>
          <cell r="AR32" t="str">
            <v/>
          </cell>
        </row>
        <row r="33">
          <cell r="B33">
            <v>39600</v>
          </cell>
          <cell r="C33"/>
          <cell r="D33" t="str">
            <v>GLOBAL</v>
          </cell>
          <cell r="E33" t="str">
            <v/>
          </cell>
          <cell r="F33" t="str">
            <v/>
          </cell>
          <cell r="G33" t="str">
            <v/>
          </cell>
          <cell r="H33" t="str">
            <v/>
          </cell>
          <cell r="I33" t="str">
            <v/>
          </cell>
          <cell r="J33" t="str">
            <v/>
          </cell>
          <cell r="K33" t="str">
            <v/>
          </cell>
          <cell r="L33" t="str">
            <v/>
          </cell>
          <cell r="M33" t="str">
            <v/>
          </cell>
          <cell r="N33" t="str">
            <v/>
          </cell>
          <cell r="O33" t="str">
            <v/>
          </cell>
          <cell r="P33" t="str">
            <v/>
          </cell>
          <cell r="R33">
            <v>39600</v>
          </cell>
          <cell r="S33" t="str">
            <v>GLOBAL</v>
          </cell>
          <cell r="T33" t="str">
            <v/>
          </cell>
          <cell r="U33" t="str">
            <v/>
          </cell>
          <cell r="V33" t="str">
            <v/>
          </cell>
          <cell r="W33" t="str">
            <v/>
          </cell>
          <cell r="X33" t="str">
            <v/>
          </cell>
          <cell r="Y33" t="str">
            <v/>
          </cell>
          <cell r="Z33" t="str">
            <v/>
          </cell>
          <cell r="AA33"/>
          <cell r="AB33" t="str">
            <v/>
          </cell>
          <cell r="AC33" t="str">
            <v/>
          </cell>
          <cell r="AD33" t="str">
            <v/>
          </cell>
          <cell r="AE33" t="str">
            <v/>
          </cell>
          <cell r="AF33" t="str">
            <v/>
          </cell>
          <cell r="AG33" t="str">
            <v/>
          </cell>
          <cell r="AH33" t="str">
            <v/>
          </cell>
          <cell r="AI33"/>
          <cell r="AJ33" t="str">
            <v/>
          </cell>
          <cell r="AK33" t="str">
            <v/>
          </cell>
          <cell r="AL33" t="str">
            <v/>
          </cell>
          <cell r="AM33" t="str">
            <v/>
          </cell>
          <cell r="AN33" t="str">
            <v/>
          </cell>
          <cell r="AO33" t="str">
            <v/>
          </cell>
          <cell r="AP33" t="str">
            <v/>
          </cell>
          <cell r="AQ33">
            <v>0</v>
          </cell>
          <cell r="AR33" t="str">
            <v/>
          </cell>
        </row>
        <row r="34">
          <cell r="B34">
            <v>39630</v>
          </cell>
          <cell r="C34"/>
          <cell r="D34" t="str">
            <v>GLOBAL</v>
          </cell>
          <cell r="E34" t="str">
            <v/>
          </cell>
          <cell r="F34" t="str">
            <v/>
          </cell>
          <cell r="G34" t="str">
            <v/>
          </cell>
          <cell r="H34" t="str">
            <v/>
          </cell>
          <cell r="I34" t="str">
            <v/>
          </cell>
          <cell r="J34" t="str">
            <v/>
          </cell>
          <cell r="K34" t="str">
            <v/>
          </cell>
          <cell r="L34" t="str">
            <v/>
          </cell>
          <cell r="M34" t="str">
            <v/>
          </cell>
          <cell r="N34" t="str">
            <v/>
          </cell>
          <cell r="O34" t="str">
            <v/>
          </cell>
          <cell r="P34" t="str">
            <v/>
          </cell>
          <cell r="R34">
            <v>39630</v>
          </cell>
          <cell r="S34" t="str">
            <v>GLOBAL</v>
          </cell>
          <cell r="T34" t="str">
            <v/>
          </cell>
          <cell r="U34" t="str">
            <v/>
          </cell>
          <cell r="V34" t="str">
            <v/>
          </cell>
          <cell r="W34" t="str">
            <v/>
          </cell>
          <cell r="X34" t="str">
            <v/>
          </cell>
          <cell r="Y34" t="str">
            <v/>
          </cell>
          <cell r="Z34" t="str">
            <v/>
          </cell>
          <cell r="AA34"/>
          <cell r="AB34" t="str">
            <v/>
          </cell>
          <cell r="AC34" t="str">
            <v/>
          </cell>
          <cell r="AD34" t="str">
            <v/>
          </cell>
          <cell r="AE34" t="str">
            <v/>
          </cell>
          <cell r="AF34" t="str">
            <v/>
          </cell>
          <cell r="AG34" t="str">
            <v/>
          </cell>
          <cell r="AH34" t="str">
            <v/>
          </cell>
          <cell r="AI34"/>
          <cell r="AJ34" t="str">
            <v/>
          </cell>
          <cell r="AK34" t="str">
            <v/>
          </cell>
          <cell r="AL34" t="str">
            <v/>
          </cell>
          <cell r="AM34" t="str">
            <v/>
          </cell>
          <cell r="AN34" t="str">
            <v/>
          </cell>
          <cell r="AO34" t="str">
            <v/>
          </cell>
          <cell r="AP34" t="str">
            <v/>
          </cell>
          <cell r="AQ34">
            <v>0</v>
          </cell>
          <cell r="AR34" t="str">
            <v/>
          </cell>
        </row>
        <row r="35">
          <cell r="B35">
            <v>39661</v>
          </cell>
          <cell r="C35"/>
          <cell r="D35" t="str">
            <v>GLOBAL</v>
          </cell>
          <cell r="E35" t="str">
            <v/>
          </cell>
          <cell r="F35" t="str">
            <v/>
          </cell>
          <cell r="G35" t="str">
            <v/>
          </cell>
          <cell r="H35" t="str">
            <v/>
          </cell>
          <cell r="I35" t="str">
            <v/>
          </cell>
          <cell r="J35" t="str">
            <v/>
          </cell>
          <cell r="K35" t="str">
            <v/>
          </cell>
          <cell r="L35" t="str">
            <v/>
          </cell>
          <cell r="M35" t="str">
            <v/>
          </cell>
          <cell r="N35" t="str">
            <v/>
          </cell>
          <cell r="O35" t="str">
            <v/>
          </cell>
          <cell r="P35" t="str">
            <v/>
          </cell>
          <cell r="R35">
            <v>39661</v>
          </cell>
          <cell r="S35" t="str">
            <v>GLOBAL</v>
          </cell>
          <cell r="T35" t="str">
            <v/>
          </cell>
          <cell r="U35" t="str">
            <v/>
          </cell>
          <cell r="V35" t="str">
            <v/>
          </cell>
          <cell r="W35" t="str">
            <v/>
          </cell>
          <cell r="X35" t="str">
            <v/>
          </cell>
          <cell r="Y35" t="str">
            <v/>
          </cell>
          <cell r="Z35" t="str">
            <v/>
          </cell>
          <cell r="AA35"/>
          <cell r="AB35" t="str">
            <v/>
          </cell>
          <cell r="AC35" t="str">
            <v/>
          </cell>
          <cell r="AD35" t="str">
            <v/>
          </cell>
          <cell r="AE35" t="str">
            <v/>
          </cell>
          <cell r="AF35" t="str">
            <v/>
          </cell>
          <cell r="AG35" t="str">
            <v/>
          </cell>
          <cell r="AH35" t="str">
            <v/>
          </cell>
          <cell r="AI35"/>
          <cell r="AJ35" t="str">
            <v/>
          </cell>
          <cell r="AK35" t="str">
            <v/>
          </cell>
          <cell r="AL35" t="str">
            <v/>
          </cell>
          <cell r="AM35" t="str">
            <v/>
          </cell>
          <cell r="AN35" t="str">
            <v/>
          </cell>
          <cell r="AO35" t="str">
            <v/>
          </cell>
          <cell r="AP35" t="str">
            <v/>
          </cell>
          <cell r="AQ35">
            <v>0</v>
          </cell>
          <cell r="AR35" t="str">
            <v/>
          </cell>
        </row>
        <row r="36">
          <cell r="B36">
            <v>39692</v>
          </cell>
          <cell r="C36"/>
          <cell r="D36" t="str">
            <v>GLOBAL</v>
          </cell>
          <cell r="E36" t="str">
            <v/>
          </cell>
          <cell r="F36" t="str">
            <v/>
          </cell>
          <cell r="G36" t="str">
            <v/>
          </cell>
          <cell r="H36" t="str">
            <v/>
          </cell>
          <cell r="I36" t="str">
            <v/>
          </cell>
          <cell r="J36" t="str">
            <v/>
          </cell>
          <cell r="K36" t="str">
            <v/>
          </cell>
          <cell r="L36" t="str">
            <v/>
          </cell>
          <cell r="M36" t="str">
            <v/>
          </cell>
          <cell r="N36" t="str">
            <v/>
          </cell>
          <cell r="O36" t="str">
            <v/>
          </cell>
          <cell r="P36" t="str">
            <v/>
          </cell>
          <cell r="R36">
            <v>39692</v>
          </cell>
          <cell r="S36" t="str">
            <v>GLOBAL</v>
          </cell>
          <cell r="T36" t="str">
            <v/>
          </cell>
          <cell r="U36" t="str">
            <v/>
          </cell>
          <cell r="V36" t="str">
            <v/>
          </cell>
          <cell r="W36" t="str">
            <v/>
          </cell>
          <cell r="X36" t="str">
            <v/>
          </cell>
          <cell r="Y36" t="str">
            <v/>
          </cell>
          <cell r="Z36" t="str">
            <v/>
          </cell>
          <cell r="AA36"/>
          <cell r="AB36" t="str">
            <v/>
          </cell>
          <cell r="AC36" t="str">
            <v/>
          </cell>
          <cell r="AD36" t="str">
            <v/>
          </cell>
          <cell r="AE36" t="str">
            <v/>
          </cell>
          <cell r="AF36" t="str">
            <v/>
          </cell>
          <cell r="AG36" t="str">
            <v/>
          </cell>
          <cell r="AH36" t="str">
            <v/>
          </cell>
          <cell r="AI36"/>
          <cell r="AJ36" t="str">
            <v/>
          </cell>
          <cell r="AK36" t="str">
            <v/>
          </cell>
          <cell r="AL36" t="str">
            <v/>
          </cell>
          <cell r="AM36" t="str">
            <v/>
          </cell>
          <cell r="AN36" t="str">
            <v/>
          </cell>
          <cell r="AO36" t="str">
            <v/>
          </cell>
          <cell r="AP36" t="str">
            <v/>
          </cell>
          <cell r="AQ36">
            <v>0</v>
          </cell>
          <cell r="AR36" t="str">
            <v/>
          </cell>
        </row>
        <row r="37">
          <cell r="B37">
            <v>39722</v>
          </cell>
          <cell r="C37"/>
          <cell r="D37" t="str">
            <v>GLOBAL</v>
          </cell>
          <cell r="E37" t="str">
            <v/>
          </cell>
          <cell r="F37" t="str">
            <v/>
          </cell>
          <cell r="G37" t="str">
            <v/>
          </cell>
          <cell r="H37" t="str">
            <v/>
          </cell>
          <cell r="I37" t="str">
            <v/>
          </cell>
          <cell r="J37" t="str">
            <v/>
          </cell>
          <cell r="K37" t="str">
            <v/>
          </cell>
          <cell r="L37" t="str">
            <v/>
          </cell>
          <cell r="M37" t="str">
            <v/>
          </cell>
          <cell r="N37" t="str">
            <v/>
          </cell>
          <cell r="O37" t="str">
            <v/>
          </cell>
          <cell r="P37" t="str">
            <v/>
          </cell>
          <cell r="R37">
            <v>39722</v>
          </cell>
          <cell r="S37" t="str">
            <v>GLOBAL</v>
          </cell>
          <cell r="T37" t="str">
            <v/>
          </cell>
          <cell r="U37" t="str">
            <v/>
          </cell>
          <cell r="V37" t="str">
            <v/>
          </cell>
          <cell r="W37" t="str">
            <v/>
          </cell>
          <cell r="X37" t="str">
            <v/>
          </cell>
          <cell r="Y37" t="str">
            <v/>
          </cell>
          <cell r="Z37" t="str">
            <v/>
          </cell>
          <cell r="AA37"/>
          <cell r="AB37" t="str">
            <v/>
          </cell>
          <cell r="AC37" t="str">
            <v/>
          </cell>
          <cell r="AD37" t="str">
            <v/>
          </cell>
          <cell r="AE37" t="str">
            <v/>
          </cell>
          <cell r="AF37" t="str">
            <v/>
          </cell>
          <cell r="AG37" t="str">
            <v/>
          </cell>
          <cell r="AH37" t="str">
            <v/>
          </cell>
          <cell r="AI37"/>
          <cell r="AJ37" t="str">
            <v/>
          </cell>
          <cell r="AK37" t="str">
            <v/>
          </cell>
          <cell r="AL37" t="str">
            <v/>
          </cell>
          <cell r="AM37" t="str">
            <v/>
          </cell>
          <cell r="AN37" t="str">
            <v/>
          </cell>
          <cell r="AO37" t="str">
            <v/>
          </cell>
          <cell r="AP37" t="str">
            <v/>
          </cell>
          <cell r="AQ37">
            <v>0</v>
          </cell>
          <cell r="AR37" t="str">
            <v/>
          </cell>
        </row>
        <row r="38">
          <cell r="B38">
            <v>39753</v>
          </cell>
          <cell r="C38"/>
          <cell r="D38" t="str">
            <v>GLOBAL</v>
          </cell>
          <cell r="E38" t="str">
            <v/>
          </cell>
          <cell r="F38" t="str">
            <v/>
          </cell>
          <cell r="G38" t="str">
            <v/>
          </cell>
          <cell r="H38" t="str">
            <v/>
          </cell>
          <cell r="I38" t="str">
            <v/>
          </cell>
          <cell r="J38" t="str">
            <v/>
          </cell>
          <cell r="K38" t="str">
            <v/>
          </cell>
          <cell r="L38" t="str">
            <v/>
          </cell>
          <cell r="M38" t="str">
            <v/>
          </cell>
          <cell r="N38" t="str">
            <v/>
          </cell>
          <cell r="O38" t="str">
            <v/>
          </cell>
          <cell r="P38" t="str">
            <v/>
          </cell>
          <cell r="R38">
            <v>39753</v>
          </cell>
          <cell r="S38" t="str">
            <v>GLOBAL</v>
          </cell>
          <cell r="T38" t="str">
            <v/>
          </cell>
          <cell r="U38" t="str">
            <v/>
          </cell>
          <cell r="V38" t="str">
            <v/>
          </cell>
          <cell r="W38" t="str">
            <v/>
          </cell>
          <cell r="X38" t="str">
            <v/>
          </cell>
          <cell r="Y38" t="str">
            <v/>
          </cell>
          <cell r="Z38" t="str">
            <v/>
          </cell>
          <cell r="AA38"/>
          <cell r="AB38" t="str">
            <v/>
          </cell>
          <cell r="AC38" t="str">
            <v/>
          </cell>
          <cell r="AD38" t="str">
            <v/>
          </cell>
          <cell r="AE38" t="str">
            <v/>
          </cell>
          <cell r="AF38" t="str">
            <v/>
          </cell>
          <cell r="AG38" t="str">
            <v/>
          </cell>
          <cell r="AH38" t="str">
            <v/>
          </cell>
          <cell r="AI38"/>
          <cell r="AJ38" t="str">
            <v/>
          </cell>
          <cell r="AK38" t="str">
            <v/>
          </cell>
          <cell r="AL38" t="str">
            <v/>
          </cell>
          <cell r="AM38" t="str">
            <v/>
          </cell>
          <cell r="AN38" t="str">
            <v/>
          </cell>
          <cell r="AO38" t="str">
            <v/>
          </cell>
          <cell r="AP38" t="str">
            <v/>
          </cell>
          <cell r="AQ38">
            <v>0</v>
          </cell>
          <cell r="AR38" t="str">
            <v/>
          </cell>
        </row>
        <row r="39">
          <cell r="B39">
            <v>39783</v>
          </cell>
          <cell r="C39"/>
          <cell r="D39" t="str">
            <v>GLOBAL</v>
          </cell>
          <cell r="E39" t="str">
            <v/>
          </cell>
          <cell r="F39" t="str">
            <v/>
          </cell>
          <cell r="G39" t="str">
            <v/>
          </cell>
          <cell r="H39" t="str">
            <v/>
          </cell>
          <cell r="I39" t="str">
            <v/>
          </cell>
          <cell r="J39" t="str">
            <v/>
          </cell>
          <cell r="K39" t="str">
            <v/>
          </cell>
          <cell r="L39" t="str">
            <v/>
          </cell>
          <cell r="M39" t="str">
            <v/>
          </cell>
          <cell r="N39" t="str">
            <v/>
          </cell>
          <cell r="O39" t="str">
            <v/>
          </cell>
          <cell r="P39" t="str">
            <v/>
          </cell>
          <cell r="R39">
            <v>39783</v>
          </cell>
          <cell r="S39" t="str">
            <v>GLOBAL</v>
          </cell>
          <cell r="T39" t="str">
            <v/>
          </cell>
          <cell r="U39" t="str">
            <v/>
          </cell>
          <cell r="V39" t="str">
            <v/>
          </cell>
          <cell r="W39" t="str">
            <v/>
          </cell>
          <cell r="X39" t="str">
            <v/>
          </cell>
          <cell r="Y39" t="str">
            <v/>
          </cell>
          <cell r="Z39" t="str">
            <v/>
          </cell>
          <cell r="AA39"/>
          <cell r="AB39" t="str">
            <v/>
          </cell>
          <cell r="AC39" t="str">
            <v/>
          </cell>
          <cell r="AD39" t="str">
            <v/>
          </cell>
          <cell r="AE39" t="str">
            <v/>
          </cell>
          <cell r="AF39" t="str">
            <v/>
          </cell>
          <cell r="AG39" t="str">
            <v/>
          </cell>
          <cell r="AH39" t="str">
            <v/>
          </cell>
          <cell r="AI39"/>
          <cell r="AJ39" t="str">
            <v/>
          </cell>
          <cell r="AK39" t="str">
            <v/>
          </cell>
          <cell r="AL39" t="str">
            <v/>
          </cell>
          <cell r="AM39" t="str">
            <v/>
          </cell>
          <cell r="AN39" t="str">
            <v/>
          </cell>
          <cell r="AO39" t="str">
            <v/>
          </cell>
          <cell r="AP39" t="str">
            <v/>
          </cell>
          <cell r="AQ39">
            <v>0</v>
          </cell>
          <cell r="AR39" t="str">
            <v/>
          </cell>
        </row>
        <row r="40">
          <cell r="B40">
            <v>39814</v>
          </cell>
          <cell r="C40"/>
          <cell r="D40" t="str">
            <v>GLOBAL</v>
          </cell>
          <cell r="E40" t="str">
            <v/>
          </cell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  <cell r="L40" t="str">
            <v/>
          </cell>
          <cell r="M40" t="str">
            <v/>
          </cell>
          <cell r="N40" t="str">
            <v/>
          </cell>
          <cell r="O40" t="str">
            <v/>
          </cell>
          <cell r="P40" t="str">
            <v/>
          </cell>
          <cell r="R40">
            <v>39814</v>
          </cell>
          <cell r="S40" t="str">
            <v>GLOBAL</v>
          </cell>
          <cell r="T40" t="str">
            <v/>
          </cell>
          <cell r="U40" t="str">
            <v/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 t="str">
            <v/>
          </cell>
          <cell r="AA40"/>
          <cell r="AB40" t="str">
            <v/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/>
          <cell r="AJ40" t="str">
            <v/>
          </cell>
          <cell r="AK40" t="str">
            <v/>
          </cell>
          <cell r="AL40" t="str">
            <v/>
          </cell>
          <cell r="AM40" t="str">
            <v/>
          </cell>
          <cell r="AN40" t="str">
            <v/>
          </cell>
          <cell r="AO40" t="str">
            <v/>
          </cell>
          <cell r="AP40" t="str">
            <v/>
          </cell>
          <cell r="AQ40">
            <v>0</v>
          </cell>
          <cell r="AR40" t="str">
            <v/>
          </cell>
        </row>
        <row r="41">
          <cell r="B41">
            <v>39845</v>
          </cell>
          <cell r="C41"/>
          <cell r="D41" t="str">
            <v>GLOBAL</v>
          </cell>
          <cell r="E41" t="str">
            <v/>
          </cell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  <cell r="J41" t="str">
            <v/>
          </cell>
          <cell r="K41" t="str">
            <v/>
          </cell>
          <cell r="L41" t="str">
            <v/>
          </cell>
          <cell r="M41" t="str">
            <v/>
          </cell>
          <cell r="N41" t="str">
            <v/>
          </cell>
          <cell r="O41"/>
          <cell r="P41"/>
          <cell r="R41">
            <v>39845</v>
          </cell>
          <cell r="S41" t="str">
            <v>GLOBAL</v>
          </cell>
          <cell r="T41" t="str">
            <v/>
          </cell>
          <cell r="U41" t="str">
            <v/>
          </cell>
          <cell r="V41" t="str">
            <v/>
          </cell>
          <cell r="W41" t="str">
            <v/>
          </cell>
          <cell r="X41" t="str">
            <v/>
          </cell>
          <cell r="Y41" t="str">
            <v/>
          </cell>
          <cell r="Z41" t="str">
            <v/>
          </cell>
          <cell r="AA41"/>
          <cell r="AB41" t="str">
            <v/>
          </cell>
          <cell r="AC41" t="str">
            <v/>
          </cell>
          <cell r="AD41" t="str">
            <v/>
          </cell>
          <cell r="AE41" t="str">
            <v/>
          </cell>
          <cell r="AF41" t="str">
            <v/>
          </cell>
          <cell r="AG41" t="str">
            <v/>
          </cell>
          <cell r="AH41" t="str">
            <v/>
          </cell>
          <cell r="AI41"/>
          <cell r="AJ41" t="str">
            <v/>
          </cell>
          <cell r="AK41" t="str">
            <v/>
          </cell>
          <cell r="AL41" t="str">
            <v/>
          </cell>
          <cell r="AM41" t="str">
            <v/>
          </cell>
          <cell r="AN41" t="str">
            <v/>
          </cell>
          <cell r="AO41" t="str">
            <v/>
          </cell>
          <cell r="AP41" t="str">
            <v/>
          </cell>
          <cell r="AQ41">
            <v>0</v>
          </cell>
          <cell r="AR41"/>
        </row>
        <row r="42">
          <cell r="B42">
            <v>39873</v>
          </cell>
          <cell r="C42"/>
          <cell r="D42" t="str">
            <v>GLOBAL</v>
          </cell>
          <cell r="E42" t="str">
            <v/>
          </cell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  <cell r="J42" t="str">
            <v/>
          </cell>
          <cell r="K42" t="str">
            <v/>
          </cell>
          <cell r="L42" t="str">
            <v/>
          </cell>
          <cell r="M42" t="str">
            <v/>
          </cell>
          <cell r="N42" t="str">
            <v/>
          </cell>
          <cell r="O42"/>
          <cell r="P42"/>
          <cell r="R42">
            <v>39873</v>
          </cell>
          <cell r="S42" t="str">
            <v>GLOBAL</v>
          </cell>
          <cell r="T42" t="str">
            <v/>
          </cell>
          <cell r="U42" t="str">
            <v/>
          </cell>
          <cell r="V42" t="str">
            <v/>
          </cell>
          <cell r="W42" t="str">
            <v/>
          </cell>
          <cell r="X42" t="str">
            <v/>
          </cell>
          <cell r="Y42" t="str">
            <v/>
          </cell>
          <cell r="Z42" t="str">
            <v/>
          </cell>
          <cell r="AA42"/>
          <cell r="AB42" t="str">
            <v/>
          </cell>
          <cell r="AC42" t="str">
            <v/>
          </cell>
          <cell r="AD42" t="str">
            <v/>
          </cell>
          <cell r="AE42" t="str">
            <v/>
          </cell>
          <cell r="AF42" t="str">
            <v/>
          </cell>
          <cell r="AG42" t="str">
            <v/>
          </cell>
          <cell r="AH42" t="str">
            <v/>
          </cell>
          <cell r="AI42"/>
          <cell r="AJ42" t="str">
            <v/>
          </cell>
          <cell r="AK42" t="str">
            <v/>
          </cell>
          <cell r="AL42" t="str">
            <v/>
          </cell>
          <cell r="AM42" t="str">
            <v/>
          </cell>
          <cell r="AN42" t="str">
            <v/>
          </cell>
          <cell r="AO42" t="str">
            <v/>
          </cell>
          <cell r="AP42" t="str">
            <v/>
          </cell>
          <cell r="AQ42">
            <v>0</v>
          </cell>
          <cell r="AR42"/>
        </row>
        <row r="43">
          <cell r="B43">
            <v>39904</v>
          </cell>
          <cell r="C43"/>
          <cell r="D43" t="str">
            <v>GLOBAL</v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 t="str">
            <v/>
          </cell>
          <cell r="L43" t="str">
            <v/>
          </cell>
          <cell r="M43" t="str">
            <v/>
          </cell>
          <cell r="N43" t="str">
            <v/>
          </cell>
          <cell r="O43"/>
          <cell r="P43"/>
          <cell r="R43">
            <v>39904</v>
          </cell>
          <cell r="S43" t="str">
            <v>GLOBAL</v>
          </cell>
          <cell r="T43" t="str">
            <v/>
          </cell>
          <cell r="U43" t="str">
            <v/>
          </cell>
          <cell r="V43" t="str">
            <v/>
          </cell>
          <cell r="W43" t="str">
            <v/>
          </cell>
          <cell r="X43" t="str">
            <v/>
          </cell>
          <cell r="Y43" t="str">
            <v/>
          </cell>
          <cell r="Z43" t="str">
            <v/>
          </cell>
          <cell r="AA43"/>
          <cell r="AB43" t="str">
            <v/>
          </cell>
          <cell r="AC43" t="str">
            <v/>
          </cell>
          <cell r="AD43" t="str">
            <v/>
          </cell>
          <cell r="AE43" t="str">
            <v/>
          </cell>
          <cell r="AF43" t="str">
            <v/>
          </cell>
          <cell r="AG43" t="str">
            <v/>
          </cell>
          <cell r="AH43" t="str">
            <v/>
          </cell>
          <cell r="AI43"/>
          <cell r="AJ43" t="str">
            <v/>
          </cell>
          <cell r="AK43" t="str">
            <v/>
          </cell>
          <cell r="AL43" t="str">
            <v/>
          </cell>
          <cell r="AM43" t="str">
            <v/>
          </cell>
          <cell r="AN43" t="str">
            <v/>
          </cell>
          <cell r="AO43" t="str">
            <v/>
          </cell>
          <cell r="AP43" t="str">
            <v/>
          </cell>
          <cell r="AQ43">
            <v>0</v>
          </cell>
          <cell r="AR43"/>
        </row>
        <row r="44">
          <cell r="B44">
            <v>39934</v>
          </cell>
          <cell r="C44"/>
          <cell r="D44" t="str">
            <v>GLOBAL</v>
          </cell>
          <cell r="E44" t="str">
            <v/>
          </cell>
          <cell r="F44" t="str">
            <v/>
          </cell>
          <cell r="G44" t="str">
            <v/>
          </cell>
          <cell r="H44" t="str">
            <v/>
          </cell>
          <cell r="I44" t="str">
            <v/>
          </cell>
          <cell r="J44" t="str">
            <v/>
          </cell>
          <cell r="K44" t="str">
            <v/>
          </cell>
          <cell r="L44" t="str">
            <v/>
          </cell>
          <cell r="M44" t="str">
            <v/>
          </cell>
          <cell r="N44" t="str">
            <v/>
          </cell>
          <cell r="O44"/>
          <cell r="P44"/>
          <cell r="R44">
            <v>39934</v>
          </cell>
          <cell r="S44" t="str">
            <v>GLOBAL</v>
          </cell>
          <cell r="T44" t="str">
            <v/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  <cell r="AA44"/>
          <cell r="AB44" t="str">
            <v/>
          </cell>
          <cell r="AC44" t="str">
            <v/>
          </cell>
          <cell r="AD44" t="str">
            <v/>
          </cell>
          <cell r="AE44" t="str">
            <v/>
          </cell>
          <cell r="AF44" t="str">
            <v/>
          </cell>
          <cell r="AG44" t="str">
            <v/>
          </cell>
          <cell r="AH44" t="str">
            <v/>
          </cell>
          <cell r="AI44"/>
          <cell r="AJ44" t="str">
            <v/>
          </cell>
          <cell r="AK44" t="str">
            <v/>
          </cell>
          <cell r="AL44" t="str">
            <v/>
          </cell>
          <cell r="AM44" t="str">
            <v/>
          </cell>
          <cell r="AN44" t="str">
            <v/>
          </cell>
          <cell r="AO44" t="str">
            <v/>
          </cell>
          <cell r="AP44" t="str">
            <v/>
          </cell>
          <cell r="AQ44">
            <v>0</v>
          </cell>
          <cell r="AR44"/>
        </row>
        <row r="45">
          <cell r="B45">
            <v>39965</v>
          </cell>
          <cell r="C45"/>
          <cell r="D45" t="str">
            <v>GLOBAL</v>
          </cell>
          <cell r="E45" t="str">
            <v/>
          </cell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  <cell r="M45" t="str">
            <v/>
          </cell>
          <cell r="N45" t="str">
            <v/>
          </cell>
          <cell r="O45"/>
          <cell r="P45"/>
          <cell r="R45">
            <v>39965</v>
          </cell>
          <cell r="S45" t="str">
            <v>GLOBAL</v>
          </cell>
          <cell r="T45" t="str">
            <v/>
          </cell>
          <cell r="U45" t="str">
            <v/>
          </cell>
          <cell r="V45" t="str">
            <v/>
          </cell>
          <cell r="W45" t="str">
            <v/>
          </cell>
          <cell r="X45" t="str">
            <v/>
          </cell>
          <cell r="Y45" t="str">
            <v/>
          </cell>
          <cell r="Z45" t="str">
            <v/>
          </cell>
          <cell r="AA45"/>
          <cell r="AB45" t="str">
            <v/>
          </cell>
          <cell r="AC45" t="str">
            <v/>
          </cell>
          <cell r="AD45" t="str">
            <v/>
          </cell>
          <cell r="AE45" t="str">
            <v/>
          </cell>
          <cell r="AF45" t="str">
            <v/>
          </cell>
          <cell r="AG45" t="str">
            <v/>
          </cell>
          <cell r="AH45" t="str">
            <v/>
          </cell>
          <cell r="AI45"/>
          <cell r="AJ45" t="str">
            <v/>
          </cell>
          <cell r="AK45" t="str">
            <v/>
          </cell>
          <cell r="AL45" t="str">
            <v/>
          </cell>
          <cell r="AM45" t="str">
            <v/>
          </cell>
          <cell r="AN45" t="str">
            <v/>
          </cell>
          <cell r="AO45" t="str">
            <v/>
          </cell>
          <cell r="AP45" t="str">
            <v/>
          </cell>
          <cell r="AQ45">
            <v>0</v>
          </cell>
          <cell r="AR45"/>
        </row>
        <row r="46">
          <cell r="B46">
            <v>39995</v>
          </cell>
          <cell r="C46"/>
          <cell r="D46" t="str">
            <v>GLOBAL</v>
          </cell>
          <cell r="E46" t="str">
            <v/>
          </cell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  <cell r="M46" t="str">
            <v/>
          </cell>
          <cell r="N46" t="str">
            <v/>
          </cell>
          <cell r="O46"/>
          <cell r="P46"/>
          <cell r="R46">
            <v>39995</v>
          </cell>
          <cell r="S46" t="str">
            <v>GLOBAL</v>
          </cell>
          <cell r="T46" t="str">
            <v/>
          </cell>
          <cell r="U46" t="str">
            <v/>
          </cell>
          <cell r="V46" t="str">
            <v/>
          </cell>
          <cell r="W46" t="str">
            <v/>
          </cell>
          <cell r="X46" t="str">
            <v/>
          </cell>
          <cell r="Y46" t="str">
            <v/>
          </cell>
          <cell r="Z46" t="str">
            <v/>
          </cell>
          <cell r="AA46"/>
          <cell r="AB46" t="str">
            <v/>
          </cell>
          <cell r="AC46" t="str">
            <v/>
          </cell>
          <cell r="AD46" t="str">
            <v/>
          </cell>
          <cell r="AE46" t="str">
            <v/>
          </cell>
          <cell r="AF46" t="str">
            <v/>
          </cell>
          <cell r="AG46" t="str">
            <v/>
          </cell>
          <cell r="AH46" t="str">
            <v/>
          </cell>
          <cell r="AI46"/>
          <cell r="AJ46" t="str">
            <v/>
          </cell>
          <cell r="AK46" t="str">
            <v/>
          </cell>
          <cell r="AL46" t="str">
            <v/>
          </cell>
          <cell r="AM46" t="str">
            <v/>
          </cell>
          <cell r="AN46" t="str">
            <v/>
          </cell>
          <cell r="AO46" t="str">
            <v/>
          </cell>
          <cell r="AP46" t="str">
            <v/>
          </cell>
          <cell r="AQ46">
            <v>0</v>
          </cell>
          <cell r="AR46"/>
        </row>
        <row r="47">
          <cell r="B47">
            <v>40026</v>
          </cell>
          <cell r="C47"/>
          <cell r="D47" t="str">
            <v>GLOBAL</v>
          </cell>
          <cell r="E47" t="str">
            <v/>
          </cell>
          <cell r="F47" t="str">
            <v/>
          </cell>
          <cell r="G47" t="str">
            <v/>
          </cell>
          <cell r="H47" t="str">
            <v/>
          </cell>
          <cell r="I47" t="str">
            <v/>
          </cell>
          <cell r="J47" t="str">
            <v/>
          </cell>
          <cell r="K47" t="str">
            <v/>
          </cell>
          <cell r="L47" t="str">
            <v/>
          </cell>
          <cell r="M47" t="str">
            <v/>
          </cell>
          <cell r="N47" t="str">
            <v/>
          </cell>
          <cell r="O47"/>
          <cell r="P47"/>
          <cell r="R47">
            <v>40026</v>
          </cell>
          <cell r="S47" t="str">
            <v>GLOBAL</v>
          </cell>
          <cell r="T47" t="str">
            <v/>
          </cell>
          <cell r="U47" t="str">
            <v/>
          </cell>
          <cell r="V47" t="str">
            <v/>
          </cell>
          <cell r="W47" t="str">
            <v/>
          </cell>
          <cell r="X47" t="str">
            <v/>
          </cell>
          <cell r="Y47" t="str">
            <v/>
          </cell>
          <cell r="Z47" t="str">
            <v/>
          </cell>
          <cell r="AA47"/>
          <cell r="AB47" t="str">
            <v/>
          </cell>
          <cell r="AC47" t="str">
            <v/>
          </cell>
          <cell r="AD47" t="str">
            <v/>
          </cell>
          <cell r="AE47" t="str">
            <v/>
          </cell>
          <cell r="AF47" t="str">
            <v/>
          </cell>
          <cell r="AG47" t="str">
            <v/>
          </cell>
          <cell r="AH47" t="str">
            <v/>
          </cell>
          <cell r="AI47"/>
          <cell r="AJ47" t="str">
            <v/>
          </cell>
          <cell r="AK47" t="str">
            <v/>
          </cell>
          <cell r="AL47" t="str">
            <v/>
          </cell>
          <cell r="AM47" t="str">
            <v/>
          </cell>
          <cell r="AN47" t="str">
            <v/>
          </cell>
          <cell r="AO47" t="str">
            <v/>
          </cell>
          <cell r="AP47" t="str">
            <v/>
          </cell>
          <cell r="AQ47">
            <v>0</v>
          </cell>
          <cell r="AR47"/>
        </row>
        <row r="48">
          <cell r="B48">
            <v>40057</v>
          </cell>
          <cell r="C48"/>
          <cell r="D48" t="str">
            <v>GLOBAL</v>
          </cell>
          <cell r="E48" t="str">
            <v/>
          </cell>
          <cell r="F48" t="str">
            <v/>
          </cell>
          <cell r="G48" t="str">
            <v/>
          </cell>
          <cell r="H48" t="str">
            <v/>
          </cell>
          <cell r="I48" t="str">
            <v/>
          </cell>
          <cell r="J48" t="str">
            <v/>
          </cell>
          <cell r="K48" t="str">
            <v/>
          </cell>
          <cell r="L48" t="str">
            <v/>
          </cell>
          <cell r="M48" t="str">
            <v/>
          </cell>
          <cell r="N48" t="str">
            <v/>
          </cell>
          <cell r="O48"/>
          <cell r="P48"/>
          <cell r="R48">
            <v>40057</v>
          </cell>
          <cell r="S48" t="str">
            <v>GLOBAL</v>
          </cell>
          <cell r="T48" t="str">
            <v/>
          </cell>
          <cell r="U48" t="str">
            <v/>
          </cell>
          <cell r="V48" t="str">
            <v/>
          </cell>
          <cell r="W48" t="str">
            <v/>
          </cell>
          <cell r="X48" t="str">
            <v/>
          </cell>
          <cell r="Y48" t="str">
            <v/>
          </cell>
          <cell r="Z48" t="str">
            <v/>
          </cell>
          <cell r="AA48"/>
          <cell r="AB48" t="str">
            <v/>
          </cell>
          <cell r="AC48" t="str">
            <v/>
          </cell>
          <cell r="AD48" t="str">
            <v/>
          </cell>
          <cell r="AE48" t="str">
            <v/>
          </cell>
          <cell r="AF48" t="str">
            <v/>
          </cell>
          <cell r="AG48" t="str">
            <v/>
          </cell>
          <cell r="AH48" t="str">
            <v/>
          </cell>
          <cell r="AI48"/>
          <cell r="AJ48" t="str">
            <v/>
          </cell>
          <cell r="AK48" t="str">
            <v/>
          </cell>
          <cell r="AL48" t="str">
            <v/>
          </cell>
          <cell r="AM48" t="str">
            <v/>
          </cell>
          <cell r="AN48" t="str">
            <v/>
          </cell>
          <cell r="AO48" t="str">
            <v/>
          </cell>
          <cell r="AP48" t="str">
            <v/>
          </cell>
          <cell r="AQ48">
            <v>0</v>
          </cell>
          <cell r="AR48"/>
        </row>
        <row r="49">
          <cell r="B49">
            <v>40087</v>
          </cell>
          <cell r="C49"/>
          <cell r="D49" t="str">
            <v>GLOBAL</v>
          </cell>
          <cell r="E49" t="str">
            <v/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  <cell r="L49" t="str">
            <v/>
          </cell>
          <cell r="M49" t="str">
            <v/>
          </cell>
          <cell r="N49" t="str">
            <v/>
          </cell>
          <cell r="O49"/>
          <cell r="P49"/>
          <cell r="R49">
            <v>40087</v>
          </cell>
          <cell r="S49" t="str">
            <v>GLOBAL</v>
          </cell>
          <cell r="T49" t="str">
            <v/>
          </cell>
          <cell r="U49" t="str">
            <v/>
          </cell>
          <cell r="V49" t="str">
            <v/>
          </cell>
          <cell r="W49" t="str">
            <v/>
          </cell>
          <cell r="X49" t="str">
            <v/>
          </cell>
          <cell r="Y49" t="str">
            <v/>
          </cell>
          <cell r="Z49" t="str">
            <v/>
          </cell>
          <cell r="AA49"/>
          <cell r="AB49" t="str">
            <v/>
          </cell>
          <cell r="AC49" t="str">
            <v/>
          </cell>
          <cell r="AD49" t="str">
            <v/>
          </cell>
          <cell r="AE49" t="str">
            <v/>
          </cell>
          <cell r="AF49" t="str">
            <v/>
          </cell>
          <cell r="AG49" t="str">
            <v/>
          </cell>
          <cell r="AH49" t="str">
            <v/>
          </cell>
          <cell r="AI49"/>
          <cell r="AJ49" t="str">
            <v/>
          </cell>
          <cell r="AK49" t="str">
            <v/>
          </cell>
          <cell r="AL49" t="str">
            <v/>
          </cell>
          <cell r="AM49" t="str">
            <v/>
          </cell>
          <cell r="AN49" t="str">
            <v/>
          </cell>
          <cell r="AO49" t="str">
            <v/>
          </cell>
          <cell r="AP49" t="str">
            <v/>
          </cell>
          <cell r="AQ49">
            <v>0</v>
          </cell>
          <cell r="AR49"/>
        </row>
        <row r="50">
          <cell r="R50">
            <v>40118</v>
          </cell>
          <cell r="S50"/>
          <cell r="T50"/>
          <cell r="U50"/>
          <cell r="V50"/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 t="str">
            <v/>
          </cell>
          <cell r="AL50" t="str">
            <v/>
          </cell>
          <cell r="AM50"/>
          <cell r="AN50"/>
          <cell r="AO50"/>
          <cell r="AP50"/>
          <cell r="AQ50">
            <v>0</v>
          </cell>
          <cell r="AR50"/>
        </row>
        <row r="51">
          <cell r="R51">
            <v>40148</v>
          </cell>
          <cell r="S51"/>
          <cell r="T51"/>
          <cell r="U51"/>
          <cell r="V51"/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 t="str">
            <v/>
          </cell>
          <cell r="AL51" t="str">
            <v/>
          </cell>
          <cell r="AM51"/>
          <cell r="AN51"/>
          <cell r="AO51"/>
          <cell r="AP51"/>
          <cell r="AQ51">
            <v>0</v>
          </cell>
          <cell r="AR51"/>
        </row>
        <row r="52">
          <cell r="R52"/>
          <cell r="S52"/>
          <cell r="T52"/>
          <cell r="U52"/>
          <cell r="V52"/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 t="str">
            <v/>
          </cell>
          <cell r="AM52"/>
          <cell r="AN52"/>
          <cell r="AO52"/>
          <cell r="AP52"/>
          <cell r="AQ52"/>
          <cell r="AR52"/>
        </row>
      </sheetData>
      <sheetData sheetId="87"/>
      <sheetData sheetId="88">
        <row r="13">
          <cell r="B13"/>
          <cell r="C13"/>
          <cell r="D13"/>
          <cell r="E13" t="str">
            <v>Mensual</v>
          </cell>
          <cell r="F13"/>
          <cell r="G13"/>
          <cell r="H13"/>
          <cell r="I13"/>
          <cell r="J13"/>
          <cell r="K13"/>
          <cell r="L13"/>
          <cell r="M13"/>
          <cell r="N13"/>
          <cell r="O13"/>
          <cell r="P13"/>
          <cell r="Q13" t="str">
            <v>Acumulado</v>
          </cell>
          <cell r="R13"/>
          <cell r="S13"/>
          <cell r="T13"/>
          <cell r="U13"/>
          <cell r="V13"/>
          <cell r="W13"/>
          <cell r="X13"/>
          <cell r="Y13"/>
          <cell r="Z13"/>
          <cell r="AA13"/>
          <cell r="AB13"/>
          <cell r="AC13" t="str">
            <v>Cuadro Resumen</v>
          </cell>
          <cell r="AD13"/>
          <cell r="AE13"/>
          <cell r="AF13"/>
          <cell r="AG13"/>
          <cell r="AH13"/>
          <cell r="AI13"/>
          <cell r="AJ13"/>
          <cell r="AK13" t="str">
            <v>Cuadro Resumen Acumulado</v>
          </cell>
          <cell r="AL13"/>
          <cell r="AM13"/>
          <cell r="AN13"/>
          <cell r="AO13"/>
          <cell r="AP13"/>
          <cell r="AQ13"/>
          <cell r="AR13"/>
          <cell r="AS13"/>
          <cell r="AT13"/>
          <cell r="AU13"/>
          <cell r="AW13"/>
          <cell r="AX13"/>
          <cell r="AY13"/>
          <cell r="AZ13"/>
          <cell r="BA13"/>
          <cell r="BB13"/>
          <cell r="BC13"/>
          <cell r="BD13"/>
          <cell r="BE13"/>
          <cell r="BF13"/>
          <cell r="BG13"/>
          <cell r="BH13"/>
          <cell r="BI13"/>
          <cell r="BJ13"/>
          <cell r="BK13"/>
          <cell r="BL13"/>
          <cell r="BM13"/>
          <cell r="BN13"/>
        </row>
        <row r="14">
          <cell r="B14"/>
          <cell r="C14"/>
          <cell r="D14"/>
          <cell r="E14" t="str">
            <v>%</v>
          </cell>
          <cell r="F14" t="str">
            <v>% Participación de mercado  U$</v>
          </cell>
          <cell r="G14"/>
          <cell r="H14"/>
          <cell r="I14"/>
          <cell r="J14"/>
          <cell r="K14" t="str">
            <v>%</v>
          </cell>
          <cell r="L14" t="str">
            <v>% Participación de mercado  TM</v>
          </cell>
          <cell r="M14"/>
          <cell r="N14"/>
          <cell r="O14"/>
          <cell r="P14"/>
          <cell r="Q14" t="str">
            <v>%</v>
          </cell>
          <cell r="R14" t="str">
            <v>Acum.  % Participación de mercado U$</v>
          </cell>
          <cell r="S14"/>
          <cell r="T14"/>
          <cell r="U14"/>
          <cell r="V14"/>
          <cell r="W14" t="str">
            <v>%</v>
          </cell>
          <cell r="X14" t="str">
            <v>Acum. % Participación de mercado  TM</v>
          </cell>
          <cell r="Y14"/>
          <cell r="Z14"/>
          <cell r="AA14"/>
          <cell r="AB14"/>
          <cell r="AC14" t="str">
            <v>$</v>
          </cell>
          <cell r="AD14"/>
          <cell r="AE14"/>
          <cell r="AF14"/>
          <cell r="AG14" t="str">
            <v>TM</v>
          </cell>
          <cell r="AH14"/>
          <cell r="AI14"/>
          <cell r="AJ14"/>
          <cell r="AK14" t="str">
            <v>$</v>
          </cell>
          <cell r="AL14"/>
          <cell r="AM14"/>
          <cell r="AN14"/>
          <cell r="AO14" t="str">
            <v>TM</v>
          </cell>
          <cell r="AP14"/>
          <cell r="AQ14"/>
          <cell r="AR14"/>
          <cell r="AS14"/>
          <cell r="AT14"/>
          <cell r="AU14"/>
          <cell r="AV14" t="str">
            <v>% Participación de mercado  $</v>
          </cell>
          <cell r="AW14"/>
          <cell r="AX14"/>
          <cell r="AY14" t="str">
            <v>Var 1.</v>
          </cell>
          <cell r="AZ14"/>
          <cell r="BA14" t="str">
            <v>Var. 2</v>
          </cell>
          <cell r="BB14"/>
          <cell r="BC14"/>
          <cell r="BD14" t="str">
            <v>Cumplimiento Proyectado  TM</v>
          </cell>
          <cell r="BE14"/>
          <cell r="BF14"/>
          <cell r="BG14" t="str">
            <v>Var 1.</v>
          </cell>
          <cell r="BH14"/>
          <cell r="BI14" t="str">
            <v>Var. 2</v>
          </cell>
          <cell r="BJ14"/>
          <cell r="BK14"/>
          <cell r="BL14" t="str">
            <v>Acum. % Participación de mercado  U$</v>
          </cell>
          <cell r="BM14"/>
          <cell r="BN14"/>
          <cell r="BO14" t="str">
            <v>Var 1.</v>
          </cell>
          <cell r="BP14"/>
          <cell r="BQ14" t="str">
            <v>Var. 2</v>
          </cell>
          <cell r="BR14"/>
          <cell r="BS14" t="str">
            <v>Acumulado</v>
          </cell>
          <cell r="BT14"/>
          <cell r="BU14" t="str">
            <v>Acum. % Participación de mercado  TM</v>
          </cell>
          <cell r="BV14"/>
          <cell r="BW14"/>
          <cell r="BX14" t="str">
            <v>Var 1.</v>
          </cell>
          <cell r="BY14"/>
          <cell r="BZ14" t="str">
            <v>Var. 2</v>
          </cell>
          <cell r="CA14"/>
          <cell r="CB14" t="str">
            <v>Acumula</v>
          </cell>
        </row>
        <row r="15">
          <cell r="B15"/>
          <cell r="C15" t="str">
            <v>Fecha</v>
          </cell>
          <cell r="D15" t="str">
            <v>TIPO</v>
          </cell>
          <cell r="E15"/>
          <cell r="F15" t="str">
            <v>Performance</v>
          </cell>
          <cell r="G15"/>
          <cell r="H15"/>
          <cell r="I15" t="str">
            <v>Sup</v>
          </cell>
          <cell r="J15" t="str">
            <v>Inf</v>
          </cell>
          <cell r="K15"/>
          <cell r="L15" t="str">
            <v>Performance</v>
          </cell>
          <cell r="M15"/>
          <cell r="N15"/>
          <cell r="O15" t="str">
            <v>Sup</v>
          </cell>
          <cell r="P15" t="str">
            <v>Inf</v>
          </cell>
          <cell r="Q15"/>
          <cell r="R15" t="str">
            <v>Performance</v>
          </cell>
          <cell r="S15"/>
          <cell r="T15"/>
          <cell r="U15" t="str">
            <v>Sup</v>
          </cell>
          <cell r="V15" t="str">
            <v>Inf</v>
          </cell>
          <cell r="W15"/>
          <cell r="X15" t="str">
            <v>Performance</v>
          </cell>
          <cell r="Y15"/>
          <cell r="Z15"/>
          <cell r="AA15" t="str">
            <v>Sup</v>
          </cell>
          <cell r="AB15" t="str">
            <v>Inf</v>
          </cell>
          <cell r="AC15" t="str">
            <v>Esxa</v>
          </cell>
          <cell r="AD15" t="str">
            <v>Dyno-Samex</v>
          </cell>
          <cell r="AE15" t="str">
            <v>Famesa</v>
          </cell>
          <cell r="AF15" t="str">
            <v>Cachimayo</v>
          </cell>
          <cell r="AG15" t="str">
            <v>Exsa</v>
          </cell>
          <cell r="AH15" t="str">
            <v>Dyno-Samex</v>
          </cell>
          <cell r="AI15" t="str">
            <v>Famesa</v>
          </cell>
          <cell r="AJ15" t="str">
            <v>Cachimayo</v>
          </cell>
          <cell r="AK15" t="str">
            <v>Esxa</v>
          </cell>
          <cell r="AL15" t="str">
            <v>Dyno-Samex</v>
          </cell>
          <cell r="AM15" t="str">
            <v>Famesa</v>
          </cell>
          <cell r="AN15" t="str">
            <v>Cachimayo</v>
          </cell>
          <cell r="AO15" t="str">
            <v>Exsa</v>
          </cell>
          <cell r="AP15" t="str">
            <v>Dyno-Samex</v>
          </cell>
          <cell r="AQ15" t="str">
            <v>Famesa</v>
          </cell>
          <cell r="AR15" t="str">
            <v>Cachimayo</v>
          </cell>
          <cell r="AS15"/>
          <cell r="AT15" t="str">
            <v>Fecha</v>
          </cell>
          <cell r="AU15" t="str">
            <v>TIPO</v>
          </cell>
          <cell r="AV15" t="str">
            <v>Anteriores</v>
          </cell>
          <cell r="AW15" t="str">
            <v>Real</v>
          </cell>
          <cell r="AX15" t="str">
            <v>Programado</v>
          </cell>
          <cell r="AY15" t="str">
            <v>Unidades</v>
          </cell>
          <cell r="AZ15" t="str">
            <v>%</v>
          </cell>
          <cell r="BA15" t="str">
            <v>Unidades</v>
          </cell>
          <cell r="BB15" t="str">
            <v>%</v>
          </cell>
          <cell r="BC15"/>
          <cell r="BD15" t="str">
            <v>Anteriores</v>
          </cell>
          <cell r="BE15" t="str">
            <v>Real</v>
          </cell>
          <cell r="BF15" t="str">
            <v>Programado</v>
          </cell>
          <cell r="BG15" t="str">
            <v>Unidades</v>
          </cell>
          <cell r="BH15" t="str">
            <v>%</v>
          </cell>
          <cell r="BI15" t="str">
            <v>Unidades</v>
          </cell>
          <cell r="BJ15" t="str">
            <v>%</v>
          </cell>
          <cell r="BK15"/>
          <cell r="BL15" t="str">
            <v>Anterior</v>
          </cell>
          <cell r="BM15" t="str">
            <v>Real</v>
          </cell>
          <cell r="BN15" t="str">
            <v>Programado</v>
          </cell>
          <cell r="BO15" t="str">
            <v>Unidades</v>
          </cell>
          <cell r="BP15" t="str">
            <v>%</v>
          </cell>
          <cell r="BQ15" t="str">
            <v>Unidades</v>
          </cell>
          <cell r="BR15" t="str">
            <v>%</v>
          </cell>
          <cell r="BS15" t="str">
            <v>PPTO</v>
          </cell>
          <cell r="BT15" t="str">
            <v>Avance</v>
          </cell>
          <cell r="BU15" t="str">
            <v>Anteriores</v>
          </cell>
          <cell r="BV15" t="str">
            <v>Real</v>
          </cell>
          <cell r="BW15" t="str">
            <v>Programado</v>
          </cell>
          <cell r="BX15" t="str">
            <v>Unidades</v>
          </cell>
          <cell r="BY15" t="str">
            <v>%</v>
          </cell>
          <cell r="BZ15" t="str">
            <v>Unidades</v>
          </cell>
          <cell r="CA15" t="str">
            <v>%</v>
          </cell>
          <cell r="CB15" t="str">
            <v>PPTO</v>
          </cell>
        </row>
        <row r="16">
          <cell r="B16">
            <v>39083</v>
          </cell>
          <cell r="C16">
            <v>39083</v>
          </cell>
          <cell r="D16" t="str">
            <v>DINAMITAS</v>
          </cell>
          <cell r="E16">
            <v>0.98417156044288068</v>
          </cell>
          <cell r="F16" t="str">
            <v>g</v>
          </cell>
          <cell r="G16" t="str">
            <v>c</v>
          </cell>
          <cell r="H16" t="str">
            <v>c</v>
          </cell>
          <cell r="I16">
            <v>0.95</v>
          </cell>
          <cell r="J16">
            <v>0.9</v>
          </cell>
          <cell r="K16">
            <v>0.98183760683760679</v>
          </cell>
          <cell r="L16" t="str">
            <v>g</v>
          </cell>
          <cell r="M16" t="str">
            <v>c</v>
          </cell>
          <cell r="N16" t="str">
            <v>c</v>
          </cell>
          <cell r="O16">
            <v>0.95</v>
          </cell>
          <cell r="P16">
            <v>0.9</v>
          </cell>
          <cell r="Q16">
            <v>0.98417156044288068</v>
          </cell>
          <cell r="R16" t="str">
            <v>g</v>
          </cell>
          <cell r="S16" t="str">
            <v>c</v>
          </cell>
          <cell r="T16" t="str">
            <v>c</v>
          </cell>
          <cell r="U16">
            <v>0.95</v>
          </cell>
          <cell r="V16">
            <v>0.9</v>
          </cell>
          <cell r="W16">
            <v>0.98183760683760679</v>
          </cell>
          <cell r="X16" t="str">
            <v>g</v>
          </cell>
          <cell r="Y16" t="str">
            <v>c</v>
          </cell>
          <cell r="Z16" t="str">
            <v>c</v>
          </cell>
          <cell r="AA16">
            <v>0.95</v>
          </cell>
          <cell r="AB16">
            <v>0.9</v>
          </cell>
          <cell r="AC16">
            <v>1745942</v>
          </cell>
          <cell r="AD16">
            <v>25080</v>
          </cell>
          <cell r="AE16">
            <v>3000</v>
          </cell>
          <cell r="AF16">
            <v>0</v>
          </cell>
          <cell r="AG16">
            <v>919</v>
          </cell>
          <cell r="AH16">
            <v>15</v>
          </cell>
          <cell r="AI16">
            <v>2</v>
          </cell>
          <cell r="AJ16">
            <v>0</v>
          </cell>
          <cell r="AK16">
            <v>1745942</v>
          </cell>
          <cell r="AL16">
            <v>25080</v>
          </cell>
          <cell r="AM16">
            <v>3000</v>
          </cell>
          <cell r="AN16">
            <v>0</v>
          </cell>
          <cell r="AO16">
            <v>919</v>
          </cell>
          <cell r="AP16">
            <v>15</v>
          </cell>
          <cell r="AQ16">
            <v>2</v>
          </cell>
          <cell r="AR16">
            <v>0</v>
          </cell>
          <cell r="AS16"/>
          <cell r="AT16">
            <v>39083</v>
          </cell>
          <cell r="AU16" t="str">
            <v>DINAMITAS</v>
          </cell>
          <cell r="AV16"/>
          <cell r="AW16">
            <v>1745942</v>
          </cell>
          <cell r="AX16">
            <v>0</v>
          </cell>
          <cell r="AY16">
            <v>1745942</v>
          </cell>
          <cell r="AZ16"/>
          <cell r="BA16">
            <v>1745942</v>
          </cell>
          <cell r="BB16" t="e">
            <v>#DIV/0!</v>
          </cell>
          <cell r="BC16"/>
          <cell r="BD16"/>
          <cell r="BE16">
            <v>919</v>
          </cell>
          <cell r="BF16">
            <v>0</v>
          </cell>
          <cell r="BG16">
            <v>919</v>
          </cell>
          <cell r="BH16"/>
          <cell r="BI16">
            <v>919</v>
          </cell>
          <cell r="BJ16">
            <v>-1</v>
          </cell>
          <cell r="BK16"/>
          <cell r="BL16"/>
          <cell r="BM16">
            <v>1745942</v>
          </cell>
          <cell r="BN16">
            <v>0</v>
          </cell>
          <cell r="BO16">
            <v>1745942</v>
          </cell>
          <cell r="BP16"/>
          <cell r="BQ16">
            <v>1745942</v>
          </cell>
          <cell r="BR16" t="e">
            <v>#DIV/0!</v>
          </cell>
          <cell r="BS16">
            <v>0</v>
          </cell>
          <cell r="BT16" t="e">
            <v>#DIV/0!</v>
          </cell>
          <cell r="BU16"/>
          <cell r="BV16">
            <v>919</v>
          </cell>
          <cell r="BW16">
            <v>0</v>
          </cell>
          <cell r="BX16">
            <v>919</v>
          </cell>
          <cell r="BY16"/>
          <cell r="BZ16">
            <v>919</v>
          </cell>
          <cell r="CA16" t="e">
            <v>#DIV/0!</v>
          </cell>
          <cell r="CB16">
            <v>0</v>
          </cell>
          <cell r="CC16" t="e">
            <v>#DIV/0!</v>
          </cell>
        </row>
        <row r="17">
          <cell r="B17">
            <v>39114</v>
          </cell>
          <cell r="C17">
            <v>39114</v>
          </cell>
          <cell r="D17" t="str">
            <v>DINAMITAS</v>
          </cell>
          <cell r="E17">
            <v>0.95794581972448678</v>
          </cell>
          <cell r="F17" t="str">
            <v>g</v>
          </cell>
          <cell r="G17" t="str">
            <v>c</v>
          </cell>
          <cell r="H17" t="str">
            <v>c</v>
          </cell>
          <cell r="I17">
            <v>0.95</v>
          </cell>
          <cell r="J17">
            <v>0.9</v>
          </cell>
          <cell r="K17">
            <v>0.950207468879668</v>
          </cell>
          <cell r="L17" t="str">
            <v>g</v>
          </cell>
          <cell r="M17" t="str">
            <v>c</v>
          </cell>
          <cell r="N17" t="str">
            <v>c</v>
          </cell>
          <cell r="O17">
            <v>0.95</v>
          </cell>
          <cell r="P17">
            <v>0.9</v>
          </cell>
          <cell r="Q17">
            <v>0.96745191025768074</v>
          </cell>
          <cell r="R17" t="str">
            <v>g</v>
          </cell>
          <cell r="S17" t="str">
            <v>c</v>
          </cell>
          <cell r="T17" t="str">
            <v>c</v>
          </cell>
          <cell r="U17">
            <v>0.95</v>
          </cell>
          <cell r="V17">
            <v>0.9</v>
          </cell>
          <cell r="W17">
            <v>0.96149447197865046</v>
          </cell>
          <cell r="X17" t="str">
            <v>g</v>
          </cell>
          <cell r="Y17" t="str">
            <v>c</v>
          </cell>
          <cell r="Z17" t="str">
            <v>c</v>
          </cell>
          <cell r="AA17">
            <v>0.95</v>
          </cell>
          <cell r="AB17">
            <v>0.9</v>
          </cell>
          <cell r="AC17">
            <v>2988995</v>
          </cell>
          <cell r="AD17">
            <v>50180</v>
          </cell>
          <cell r="AE17">
            <v>81038</v>
          </cell>
          <cell r="AF17">
            <v>0</v>
          </cell>
          <cell r="AG17">
            <v>1603</v>
          </cell>
          <cell r="AH17">
            <v>30</v>
          </cell>
          <cell r="AI17">
            <v>54</v>
          </cell>
          <cell r="AJ17">
            <v>0</v>
          </cell>
          <cell r="AK17">
            <v>4734937</v>
          </cell>
          <cell r="AL17">
            <v>75260</v>
          </cell>
          <cell r="AM17">
            <v>84038</v>
          </cell>
          <cell r="AN17">
            <v>0</v>
          </cell>
          <cell r="AO17">
            <v>2522</v>
          </cell>
          <cell r="AP17">
            <v>45</v>
          </cell>
          <cell r="AQ17">
            <v>56</v>
          </cell>
          <cell r="AR17">
            <v>0</v>
          </cell>
          <cell r="AS17"/>
          <cell r="AT17">
            <v>39114</v>
          </cell>
          <cell r="AU17" t="str">
            <v>DINAMITAS</v>
          </cell>
          <cell r="AV17"/>
          <cell r="AW17">
            <v>2988995</v>
          </cell>
          <cell r="AX17">
            <v>0</v>
          </cell>
          <cell r="AY17">
            <v>2988995</v>
          </cell>
          <cell r="AZ17"/>
          <cell r="BA17">
            <v>2988995</v>
          </cell>
          <cell r="BB17" t="e">
            <v>#DIV/0!</v>
          </cell>
          <cell r="BC17"/>
          <cell r="BD17"/>
          <cell r="BE17">
            <v>1603</v>
          </cell>
          <cell r="BF17">
            <v>0</v>
          </cell>
          <cell r="BG17">
            <v>1603</v>
          </cell>
          <cell r="BH17"/>
          <cell r="BI17">
            <v>1603</v>
          </cell>
          <cell r="BJ17">
            <v>-1</v>
          </cell>
          <cell r="BK17"/>
          <cell r="BL17"/>
          <cell r="BM17">
            <v>4734937</v>
          </cell>
          <cell r="BN17">
            <v>0</v>
          </cell>
          <cell r="BO17">
            <v>4734937</v>
          </cell>
          <cell r="BP17"/>
          <cell r="BQ17">
            <v>4734937</v>
          </cell>
          <cell r="BR17" t="e">
            <v>#DIV/0!</v>
          </cell>
          <cell r="BS17">
            <v>0</v>
          </cell>
          <cell r="BT17" t="e">
            <v>#DIV/0!</v>
          </cell>
          <cell r="BU17"/>
          <cell r="BV17">
            <v>2522</v>
          </cell>
          <cell r="BW17">
            <v>0</v>
          </cell>
          <cell r="BX17">
            <v>2522</v>
          </cell>
          <cell r="BY17"/>
          <cell r="BZ17">
            <v>2522</v>
          </cell>
          <cell r="CA17" t="e">
            <v>#DIV/0!</v>
          </cell>
          <cell r="CB17">
            <v>0</v>
          </cell>
          <cell r="CC17" t="e">
            <v>#DIV/0!</v>
          </cell>
        </row>
        <row r="18">
          <cell r="B18">
            <v>39142</v>
          </cell>
          <cell r="C18">
            <v>39142</v>
          </cell>
          <cell r="D18" t="str">
            <v>DINAMITAS</v>
          </cell>
          <cell r="E18">
            <v>0.95004650966601845</v>
          </cell>
          <cell r="F18" t="str">
            <v>g</v>
          </cell>
          <cell r="G18" t="str">
            <v>c</v>
          </cell>
          <cell r="H18" t="str">
            <v>c</v>
          </cell>
          <cell r="I18">
            <v>0.94999999999999973</v>
          </cell>
          <cell r="J18">
            <v>0.90000000000000013</v>
          </cell>
          <cell r="K18">
            <v>0.94439148395297112</v>
          </cell>
          <cell r="L18" t="str">
            <v>c</v>
          </cell>
          <cell r="M18" t="str">
            <v>g</v>
          </cell>
          <cell r="N18" t="str">
            <v>c</v>
          </cell>
          <cell r="O18">
            <v>0.94999999999999973</v>
          </cell>
          <cell r="P18">
            <v>0.90000000000000013</v>
          </cell>
          <cell r="Q18">
            <v>0.95831735773643989</v>
          </cell>
          <cell r="R18" t="str">
            <v>g</v>
          </cell>
          <cell r="S18" t="str">
            <v>c</v>
          </cell>
          <cell r="T18" t="str">
            <v>c</v>
          </cell>
          <cell r="U18">
            <v>0.94999999999999973</v>
          </cell>
          <cell r="V18">
            <v>0.90000000000000013</v>
          </cell>
          <cell r="W18">
            <v>0.95216637781629121</v>
          </cell>
          <cell r="X18" t="str">
            <v>g</v>
          </cell>
          <cell r="Y18" t="str">
            <v>c</v>
          </cell>
          <cell r="Z18" t="str">
            <v>c</v>
          </cell>
          <cell r="AA18">
            <v>0.94999999999999973</v>
          </cell>
          <cell r="AB18">
            <v>0.90000000000000013</v>
          </cell>
          <cell r="AC18">
            <v>5135313</v>
          </cell>
          <cell r="AD18">
            <v>75240</v>
          </cell>
          <cell r="AE18">
            <v>194775</v>
          </cell>
          <cell r="AF18">
            <v>0</v>
          </cell>
          <cell r="AG18">
            <v>2972</v>
          </cell>
          <cell r="AH18">
            <v>45</v>
          </cell>
          <cell r="AI18">
            <v>130</v>
          </cell>
          <cell r="AJ18">
            <v>0</v>
          </cell>
          <cell r="AK18">
            <v>9870250</v>
          </cell>
          <cell r="AL18">
            <v>150500</v>
          </cell>
          <cell r="AM18">
            <v>278813</v>
          </cell>
          <cell r="AN18">
            <v>0</v>
          </cell>
          <cell r="AO18">
            <v>5494</v>
          </cell>
          <cell r="AP18">
            <v>90</v>
          </cell>
          <cell r="AQ18">
            <v>186</v>
          </cell>
          <cell r="AR18">
            <v>0</v>
          </cell>
          <cell r="AS18"/>
          <cell r="AT18">
            <v>39142</v>
          </cell>
          <cell r="AU18" t="str">
            <v>DINAMITAS</v>
          </cell>
          <cell r="AV18"/>
          <cell r="AW18">
            <v>5135313</v>
          </cell>
          <cell r="AX18">
            <v>0</v>
          </cell>
          <cell r="AY18">
            <v>5135313</v>
          </cell>
          <cell r="AZ18"/>
          <cell r="BA18">
            <v>5135313</v>
          </cell>
          <cell r="BB18" t="e">
            <v>#DIV/0!</v>
          </cell>
          <cell r="BC18"/>
          <cell r="BD18"/>
          <cell r="BE18">
            <v>2972</v>
          </cell>
          <cell r="BF18">
            <v>0</v>
          </cell>
          <cell r="BG18">
            <v>2972</v>
          </cell>
          <cell r="BH18"/>
          <cell r="BI18">
            <v>2972</v>
          </cell>
          <cell r="BJ18">
            <v>-1</v>
          </cell>
          <cell r="BK18"/>
          <cell r="BL18"/>
          <cell r="BM18">
            <v>9870250</v>
          </cell>
          <cell r="BN18">
            <v>0</v>
          </cell>
          <cell r="BO18">
            <v>9870250</v>
          </cell>
          <cell r="BP18"/>
          <cell r="BQ18">
            <v>9870250</v>
          </cell>
          <cell r="BR18" t="e">
            <v>#DIV/0!</v>
          </cell>
          <cell r="BS18">
            <v>0</v>
          </cell>
          <cell r="BT18" t="e">
            <v>#DIV/0!</v>
          </cell>
          <cell r="BU18"/>
          <cell r="BV18">
            <v>5494</v>
          </cell>
          <cell r="BW18">
            <v>0</v>
          </cell>
          <cell r="BX18">
            <v>5494</v>
          </cell>
          <cell r="BY18"/>
          <cell r="BZ18">
            <v>5494</v>
          </cell>
          <cell r="CA18" t="e">
            <v>#DIV/0!</v>
          </cell>
          <cell r="CB18">
            <v>0</v>
          </cell>
          <cell r="CC18" t="e">
            <v>#DIV/0!</v>
          </cell>
        </row>
        <row r="19">
          <cell r="B19">
            <v>39173</v>
          </cell>
          <cell r="C19">
            <v>39173</v>
          </cell>
          <cell r="D19" t="str">
            <v>DINAMITAS</v>
          </cell>
          <cell r="E19">
            <v>0.95045909506129767</v>
          </cell>
          <cell r="F19" t="str">
            <v>g</v>
          </cell>
          <cell r="G19" t="str">
            <v>c</v>
          </cell>
          <cell r="H19" t="str">
            <v>c</v>
          </cell>
          <cell r="I19">
            <v>0.95000000000000018</v>
          </cell>
          <cell r="J19">
            <v>0.89999999999999991</v>
          </cell>
          <cell r="K19">
            <v>0.94417944892364447</v>
          </cell>
          <cell r="L19" t="str">
            <v>c</v>
          </cell>
          <cell r="M19" t="str">
            <v>g</v>
          </cell>
          <cell r="N19" t="str">
            <v>c</v>
          </cell>
          <cell r="O19">
            <v>0.95000000000000018</v>
          </cell>
          <cell r="P19">
            <v>0.89999999999999991</v>
          </cell>
          <cell r="Q19">
            <v>0.95509957635949649</v>
          </cell>
          <cell r="R19" t="str">
            <v>g</v>
          </cell>
          <cell r="S19" t="str">
            <v>c</v>
          </cell>
          <cell r="T19" t="str">
            <v>c</v>
          </cell>
          <cell r="U19">
            <v>0.95000000000000018</v>
          </cell>
          <cell r="V19">
            <v>0.89999999999999991</v>
          </cell>
          <cell r="W19">
            <v>0.94885721739006856</v>
          </cell>
          <cell r="X19" t="str">
            <v>c</v>
          </cell>
          <cell r="Y19" t="str">
            <v>g</v>
          </cell>
          <cell r="Z19" t="str">
            <v>c</v>
          </cell>
          <cell r="AA19">
            <v>0.95000000000000018</v>
          </cell>
          <cell r="AB19">
            <v>0.89999999999999991</v>
          </cell>
          <cell r="AC19">
            <v>6788061</v>
          </cell>
          <cell r="AD19">
            <v>117040</v>
          </cell>
          <cell r="AE19">
            <v>236775</v>
          </cell>
          <cell r="AF19">
            <v>0</v>
          </cell>
          <cell r="AG19">
            <v>3853.9799999999996</v>
          </cell>
          <cell r="AH19">
            <v>70</v>
          </cell>
          <cell r="AI19">
            <v>157.85000000000002</v>
          </cell>
          <cell r="AJ19">
            <v>0</v>
          </cell>
          <cell r="AK19">
            <v>16658311</v>
          </cell>
          <cell r="AL19">
            <v>267540</v>
          </cell>
          <cell r="AM19">
            <v>515588</v>
          </cell>
          <cell r="AN19">
            <v>0</v>
          </cell>
          <cell r="AO19">
            <v>9347.98</v>
          </cell>
          <cell r="AP19">
            <v>160</v>
          </cell>
          <cell r="AQ19">
            <v>343.85</v>
          </cell>
          <cell r="AR19">
            <v>0</v>
          </cell>
          <cell r="AS19"/>
          <cell r="AT19">
            <v>39173</v>
          </cell>
          <cell r="AU19" t="str">
            <v>DINAMITAS</v>
          </cell>
          <cell r="AV19"/>
          <cell r="AW19">
            <v>6788061</v>
          </cell>
          <cell r="AX19">
            <v>0</v>
          </cell>
          <cell r="AY19">
            <v>6788061</v>
          </cell>
          <cell r="AZ19"/>
          <cell r="BA19">
            <v>6788061</v>
          </cell>
          <cell r="BB19" t="e">
            <v>#DIV/0!</v>
          </cell>
          <cell r="BC19"/>
          <cell r="BD19"/>
          <cell r="BE19">
            <v>3853.9799999999996</v>
          </cell>
          <cell r="BF19">
            <v>0</v>
          </cell>
          <cell r="BG19">
            <v>3853.9799999999996</v>
          </cell>
          <cell r="BH19"/>
          <cell r="BI19">
            <v>3853.9799999999996</v>
          </cell>
          <cell r="BJ19">
            <v>-1</v>
          </cell>
          <cell r="BK19"/>
          <cell r="BL19"/>
          <cell r="BM19">
            <v>16658311</v>
          </cell>
          <cell r="BN19">
            <v>0</v>
          </cell>
          <cell r="BO19">
            <v>16658311</v>
          </cell>
          <cell r="BP19"/>
          <cell r="BQ19">
            <v>16658311</v>
          </cell>
          <cell r="BR19" t="e">
            <v>#DIV/0!</v>
          </cell>
          <cell r="BS19">
            <v>0</v>
          </cell>
          <cell r="BT19" t="e">
            <v>#DIV/0!</v>
          </cell>
          <cell r="BU19"/>
          <cell r="BV19">
            <v>9347.98</v>
          </cell>
          <cell r="BW19">
            <v>0</v>
          </cell>
          <cell r="BX19">
            <v>9347.98</v>
          </cell>
          <cell r="BY19"/>
          <cell r="BZ19">
            <v>9347.98</v>
          </cell>
          <cell r="CA19" t="e">
            <v>#DIV/0!</v>
          </cell>
          <cell r="CB19">
            <v>0</v>
          </cell>
          <cell r="CC19" t="e">
            <v>#DIV/0!</v>
          </cell>
        </row>
        <row r="20">
          <cell r="B20">
            <v>39203</v>
          </cell>
          <cell r="C20">
            <v>39203</v>
          </cell>
          <cell r="D20" t="str">
            <v>DINAMITAS</v>
          </cell>
          <cell r="E20">
            <v>0.95242563044855921</v>
          </cell>
          <cell r="F20" t="str">
            <v>g</v>
          </cell>
          <cell r="G20" t="str">
            <v>c</v>
          </cell>
          <cell r="H20" t="str">
            <v>c</v>
          </cell>
          <cell r="I20">
            <v>0.95000000000000018</v>
          </cell>
          <cell r="J20">
            <v>0.89999999999999991</v>
          </cell>
          <cell r="K20">
            <v>0.97153266736795241</v>
          </cell>
          <cell r="L20" t="str">
            <v>g</v>
          </cell>
          <cell r="M20" t="str">
            <v>c</v>
          </cell>
          <cell r="N20" t="str">
            <v>c</v>
          </cell>
          <cell r="O20">
            <v>0.95000000000000018</v>
          </cell>
          <cell r="P20">
            <v>0.89999999999999991</v>
          </cell>
          <cell r="Q20">
            <v>0.95416056642686042</v>
          </cell>
          <cell r="R20" t="str">
            <v>g</v>
          </cell>
          <cell r="S20" t="str">
            <v>c</v>
          </cell>
          <cell r="T20" t="str">
            <v>c</v>
          </cell>
          <cell r="U20">
            <v>0.95000000000000018</v>
          </cell>
          <cell r="V20">
            <v>0.89999999999999991</v>
          </cell>
          <cell r="W20">
            <v>0.95670031358494045</v>
          </cell>
          <cell r="X20" t="str">
            <v>g</v>
          </cell>
          <cell r="Y20" t="str">
            <v>c</v>
          </cell>
          <cell r="Z20" t="str">
            <v>c</v>
          </cell>
          <cell r="AA20">
            <v>0.95000000000000018</v>
          </cell>
          <cell r="AB20">
            <v>0.89999999999999991</v>
          </cell>
          <cell r="AC20">
            <v>8990836.9200000018</v>
          </cell>
          <cell r="AD20">
            <v>153824</v>
          </cell>
          <cell r="AE20">
            <v>295275</v>
          </cell>
          <cell r="AF20">
            <v>0</v>
          </cell>
          <cell r="AG20">
            <v>5061.18</v>
          </cell>
          <cell r="AH20">
            <v>92</v>
          </cell>
          <cell r="AI20">
            <v>56.300000000000011</v>
          </cell>
          <cell r="AJ20">
            <v>0</v>
          </cell>
          <cell r="AK20">
            <v>25649147.920000002</v>
          </cell>
          <cell r="AL20">
            <v>421364</v>
          </cell>
          <cell r="AM20">
            <v>810863</v>
          </cell>
          <cell r="AN20">
            <v>0</v>
          </cell>
          <cell r="AO20">
            <v>14409.16</v>
          </cell>
          <cell r="AP20">
            <v>252</v>
          </cell>
          <cell r="AQ20">
            <v>400.15000000000003</v>
          </cell>
          <cell r="AR20">
            <v>0</v>
          </cell>
          <cell r="AS20"/>
          <cell r="AT20">
            <v>39203</v>
          </cell>
          <cell r="AU20" t="str">
            <v>DINAMITAS</v>
          </cell>
          <cell r="AV20"/>
          <cell r="AW20">
            <v>8990836.9200000018</v>
          </cell>
          <cell r="AX20">
            <v>0</v>
          </cell>
          <cell r="AY20">
            <v>8990836.9200000018</v>
          </cell>
          <cell r="AZ20"/>
          <cell r="BA20">
            <v>8990836.9200000018</v>
          </cell>
          <cell r="BB20" t="e">
            <v>#DIV/0!</v>
          </cell>
          <cell r="BC20"/>
          <cell r="BD20"/>
          <cell r="BE20">
            <v>5061.18</v>
          </cell>
          <cell r="BF20">
            <v>0</v>
          </cell>
          <cell r="BG20">
            <v>5061.18</v>
          </cell>
          <cell r="BH20"/>
          <cell r="BI20">
            <v>5061.18</v>
          </cell>
          <cell r="BJ20">
            <v>-1</v>
          </cell>
          <cell r="BK20"/>
          <cell r="BL20"/>
          <cell r="BM20">
            <v>25649147.920000002</v>
          </cell>
          <cell r="BN20">
            <v>0</v>
          </cell>
          <cell r="BO20">
            <v>25649147.920000002</v>
          </cell>
          <cell r="BP20"/>
          <cell r="BQ20">
            <v>25649147.920000002</v>
          </cell>
          <cell r="BR20" t="e">
            <v>#DIV/0!</v>
          </cell>
          <cell r="BS20">
            <v>0</v>
          </cell>
          <cell r="BT20" t="e">
            <v>#DIV/0!</v>
          </cell>
          <cell r="BU20"/>
          <cell r="BV20">
            <v>14409.16</v>
          </cell>
          <cell r="BW20">
            <v>0</v>
          </cell>
          <cell r="BX20">
            <v>14409.16</v>
          </cell>
          <cell r="BY20"/>
          <cell r="BZ20">
            <v>14409.16</v>
          </cell>
          <cell r="CA20" t="e">
            <v>#DIV/0!</v>
          </cell>
          <cell r="CB20">
            <v>0</v>
          </cell>
          <cell r="CC20" t="e">
            <v>#DIV/0!</v>
          </cell>
        </row>
        <row r="21">
          <cell r="B21">
            <v>39234</v>
          </cell>
          <cell r="C21">
            <v>39234</v>
          </cell>
          <cell r="D21" t="str">
            <v>DINAMITAS</v>
          </cell>
          <cell r="E21">
            <v>0.95221052660493155</v>
          </cell>
          <cell r="F21" t="str">
            <v>g</v>
          </cell>
          <cell r="G21" t="str">
            <v>c</v>
          </cell>
          <cell r="H21" t="str">
            <v>c</v>
          </cell>
          <cell r="I21">
            <v>0.95000000000000018</v>
          </cell>
          <cell r="J21">
            <v>0.90000000000000036</v>
          </cell>
          <cell r="K21">
            <v>0.98949393085461945</v>
          </cell>
          <cell r="L21" t="str">
            <v>g</v>
          </cell>
          <cell r="M21" t="str">
            <v>c</v>
          </cell>
          <cell r="N21" t="str">
            <v>c</v>
          </cell>
          <cell r="O21">
            <v>0.95000000000000018</v>
          </cell>
          <cell r="P21">
            <v>0.90000000000000036</v>
          </cell>
          <cell r="Q21">
            <v>0.95356943903147384</v>
          </cell>
          <cell r="R21" t="str">
            <v>g</v>
          </cell>
          <cell r="S21" t="str">
            <v>c</v>
          </cell>
          <cell r="T21" t="str">
            <v>c</v>
          </cell>
          <cell r="U21">
            <v>0.95000000000000018</v>
          </cell>
          <cell r="V21">
            <v>0.90000000000000036</v>
          </cell>
          <cell r="W21">
            <v>0.96628011824165938</v>
          </cell>
          <cell r="X21" t="str">
            <v>g</v>
          </cell>
          <cell r="Y21" t="str">
            <v>c</v>
          </cell>
          <cell r="Z21" t="str">
            <v>c</v>
          </cell>
          <cell r="AA21">
            <v>0.95000000000000018</v>
          </cell>
          <cell r="AB21">
            <v>0.90000000000000036</v>
          </cell>
          <cell r="AC21">
            <v>11134585.980000004</v>
          </cell>
          <cell r="AD21">
            <v>197546.80000000005</v>
          </cell>
          <cell r="AE21">
            <v>361275</v>
          </cell>
          <cell r="AF21">
            <v>0</v>
          </cell>
          <cell r="AG21">
            <v>6150.1549999999988</v>
          </cell>
          <cell r="AH21">
            <v>0</v>
          </cell>
          <cell r="AI21">
            <v>65.300000000000011</v>
          </cell>
          <cell r="AJ21">
            <v>0</v>
          </cell>
          <cell r="AK21">
            <v>36783733.900000006</v>
          </cell>
          <cell r="AL21">
            <v>618910.80000000005</v>
          </cell>
          <cell r="AM21">
            <v>1172138</v>
          </cell>
          <cell r="AN21">
            <v>0</v>
          </cell>
          <cell r="AO21">
            <v>20559.314999999999</v>
          </cell>
          <cell r="AP21">
            <v>252</v>
          </cell>
          <cell r="AQ21">
            <v>465.45000000000005</v>
          </cell>
          <cell r="AR21">
            <v>0</v>
          </cell>
          <cell r="AS21"/>
          <cell r="AT21">
            <v>39234</v>
          </cell>
          <cell r="AU21" t="str">
            <v>DINAMITAS</v>
          </cell>
          <cell r="AV21"/>
          <cell r="AW21">
            <v>11134585.980000004</v>
          </cell>
          <cell r="AX21">
            <v>0</v>
          </cell>
          <cell r="AY21">
            <v>11134585.980000004</v>
          </cell>
          <cell r="AZ21"/>
          <cell r="BA21">
            <v>11134585.980000004</v>
          </cell>
          <cell r="BB21" t="e">
            <v>#DIV/0!</v>
          </cell>
          <cell r="BC21"/>
          <cell r="BD21"/>
          <cell r="BE21">
            <v>6150.1549999999988</v>
          </cell>
          <cell r="BF21">
            <v>0</v>
          </cell>
          <cell r="BG21">
            <v>6150.1549999999988</v>
          </cell>
          <cell r="BH21"/>
          <cell r="BI21">
            <v>6150.1549999999988</v>
          </cell>
          <cell r="BJ21">
            <v>-1</v>
          </cell>
          <cell r="BK21"/>
          <cell r="BL21"/>
          <cell r="BM21">
            <v>36783733.900000006</v>
          </cell>
          <cell r="BN21">
            <v>0</v>
          </cell>
          <cell r="BO21">
            <v>36783733.900000006</v>
          </cell>
          <cell r="BP21"/>
          <cell r="BQ21">
            <v>36783733.900000006</v>
          </cell>
          <cell r="BR21" t="e">
            <v>#DIV/0!</v>
          </cell>
          <cell r="BS21">
            <v>0</v>
          </cell>
          <cell r="BT21" t="e">
            <v>#DIV/0!</v>
          </cell>
          <cell r="BU21"/>
          <cell r="BV21">
            <v>20559.314999999999</v>
          </cell>
          <cell r="BW21">
            <v>0</v>
          </cell>
          <cell r="BX21">
            <v>20559.314999999999</v>
          </cell>
          <cell r="BY21"/>
          <cell r="BZ21">
            <v>20559.314999999999</v>
          </cell>
          <cell r="CA21" t="e">
            <v>#DIV/0!</v>
          </cell>
          <cell r="CB21">
            <v>0</v>
          </cell>
          <cell r="CC21" t="e">
            <v>#DIV/0!</v>
          </cell>
        </row>
        <row r="22">
          <cell r="B22">
            <v>39264</v>
          </cell>
          <cell r="C22">
            <v>39264</v>
          </cell>
          <cell r="D22" t="str">
            <v>DINAMITAS</v>
          </cell>
          <cell r="E22">
            <v>0.94888850430616034</v>
          </cell>
          <cell r="F22" t="str">
            <v>c</v>
          </cell>
          <cell r="G22" t="str">
            <v>g</v>
          </cell>
          <cell r="H22" t="str">
            <v>c</v>
          </cell>
          <cell r="I22">
            <v>0.95000000000000018</v>
          </cell>
          <cell r="J22">
            <v>0.90000000000000036</v>
          </cell>
          <cell r="K22">
            <v>0.94349485128848443</v>
          </cell>
          <cell r="L22" t="str">
            <v>c</v>
          </cell>
          <cell r="M22" t="str">
            <v>g</v>
          </cell>
          <cell r="N22" t="str">
            <v>c</v>
          </cell>
          <cell r="O22">
            <v>0.95000000000000018</v>
          </cell>
          <cell r="P22">
            <v>0.90000000000000036</v>
          </cell>
          <cell r="Q22">
            <v>0.95237907991477655</v>
          </cell>
          <cell r="R22" t="str">
            <v>g</v>
          </cell>
          <cell r="S22" t="str">
            <v>c</v>
          </cell>
          <cell r="T22" t="str">
            <v>c</v>
          </cell>
          <cell r="U22">
            <v>0.95000000000000018</v>
          </cell>
          <cell r="V22">
            <v>0.90000000000000036</v>
          </cell>
          <cell r="W22">
            <v>0.96025291431674564</v>
          </cell>
          <cell r="X22" t="str">
            <v>g</v>
          </cell>
          <cell r="Y22" t="str">
            <v>c</v>
          </cell>
          <cell r="Z22" t="str">
            <v>c</v>
          </cell>
          <cell r="AA22">
            <v>0.95000000000000018</v>
          </cell>
          <cell r="AB22">
            <v>0.90000000000000036</v>
          </cell>
          <cell r="AC22">
            <v>12482444</v>
          </cell>
          <cell r="AD22">
            <v>230986.80000000005</v>
          </cell>
          <cell r="AE22">
            <v>441375</v>
          </cell>
          <cell r="AF22">
            <v>0</v>
          </cell>
          <cell r="AG22">
            <v>7220</v>
          </cell>
          <cell r="AH22">
            <v>138.14999999999998</v>
          </cell>
          <cell r="AI22">
            <v>294.25</v>
          </cell>
          <cell r="AJ22">
            <v>0</v>
          </cell>
          <cell r="AK22">
            <v>49266177.900000006</v>
          </cell>
          <cell r="AL22">
            <v>849897.60000000009</v>
          </cell>
          <cell r="AM22">
            <v>1613513</v>
          </cell>
          <cell r="AN22">
            <v>0</v>
          </cell>
          <cell r="AO22">
            <v>27779.314999999999</v>
          </cell>
          <cell r="AP22">
            <v>390.15</v>
          </cell>
          <cell r="AQ22">
            <v>759.7</v>
          </cell>
          <cell r="AR22">
            <v>0</v>
          </cell>
          <cell r="AS22"/>
          <cell r="AT22">
            <v>39264</v>
          </cell>
          <cell r="AU22" t="str">
            <v>DINAMITAS</v>
          </cell>
          <cell r="AV22"/>
          <cell r="AW22">
            <v>12482444</v>
          </cell>
          <cell r="AX22">
            <v>0</v>
          </cell>
          <cell r="AY22">
            <v>12482444</v>
          </cell>
          <cell r="AZ22"/>
          <cell r="BA22">
            <v>12482444</v>
          </cell>
          <cell r="BB22" t="e">
            <v>#DIV/0!</v>
          </cell>
          <cell r="BC22"/>
          <cell r="BD22"/>
          <cell r="BE22">
            <v>7220</v>
          </cell>
          <cell r="BF22">
            <v>0</v>
          </cell>
          <cell r="BG22">
            <v>7220</v>
          </cell>
          <cell r="BH22"/>
          <cell r="BI22">
            <v>7220</v>
          </cell>
          <cell r="BJ22">
            <v>-1</v>
          </cell>
          <cell r="BK22"/>
          <cell r="BL22"/>
          <cell r="BM22">
            <v>49266177.900000006</v>
          </cell>
          <cell r="BN22">
            <v>0</v>
          </cell>
          <cell r="BO22">
            <v>49266177.900000006</v>
          </cell>
          <cell r="BP22"/>
          <cell r="BQ22">
            <v>49266177.900000006</v>
          </cell>
          <cell r="BR22" t="e">
            <v>#DIV/0!</v>
          </cell>
          <cell r="BS22">
            <v>0</v>
          </cell>
          <cell r="BT22" t="e">
            <v>#DIV/0!</v>
          </cell>
          <cell r="BU22"/>
          <cell r="BV22">
            <v>27779.314999999999</v>
          </cell>
          <cell r="BW22">
            <v>0</v>
          </cell>
          <cell r="BX22">
            <v>27779.314999999999</v>
          </cell>
          <cell r="BY22"/>
          <cell r="BZ22">
            <v>27779.314999999999</v>
          </cell>
          <cell r="CA22" t="e">
            <v>#DIV/0!</v>
          </cell>
          <cell r="CB22">
            <v>0</v>
          </cell>
          <cell r="CC22" t="e">
            <v>#DIV/0!</v>
          </cell>
        </row>
        <row r="23">
          <cell r="B23">
            <v>39295</v>
          </cell>
          <cell r="C23">
            <v>39295</v>
          </cell>
          <cell r="D23" t="str">
            <v>DINAMITAS</v>
          </cell>
          <cell r="E23">
            <v>0.95267351772629361</v>
          </cell>
          <cell r="F23" t="str">
            <v>g</v>
          </cell>
          <cell r="G23" t="str">
            <v>c</v>
          </cell>
          <cell r="H23" t="str">
            <v>c</v>
          </cell>
          <cell r="I23">
            <v>0.95000000000000018</v>
          </cell>
          <cell r="J23">
            <v>0.90000000000000036</v>
          </cell>
          <cell r="K23">
            <v>0.9436232831916288</v>
          </cell>
          <cell r="L23" t="str">
            <v>c</v>
          </cell>
          <cell r="M23" t="str">
            <v>g</v>
          </cell>
          <cell r="N23" t="str">
            <v>c</v>
          </cell>
          <cell r="O23">
            <v>0.95000000000000018</v>
          </cell>
          <cell r="P23">
            <v>0.90000000000000036</v>
          </cell>
          <cell r="Q23">
            <v>0.95244979107122496</v>
          </cell>
          <cell r="R23" t="str">
            <v>g</v>
          </cell>
          <cell r="S23" t="str">
            <v>c</v>
          </cell>
          <cell r="T23" t="str">
            <v>c</v>
          </cell>
          <cell r="U23">
            <v>0.95000000000000018</v>
          </cell>
          <cell r="V23">
            <v>0.90000000000000036</v>
          </cell>
          <cell r="W23">
            <v>0.95637698608318489</v>
          </cell>
          <cell r="X23" t="str">
            <v>g</v>
          </cell>
          <cell r="Y23" t="str">
            <v>c</v>
          </cell>
          <cell r="Z23" t="str">
            <v>c</v>
          </cell>
          <cell r="AA23">
            <v>0.95000000000000018</v>
          </cell>
          <cell r="AB23">
            <v>0.90000000000000036</v>
          </cell>
          <cell r="AC23">
            <v>15575906.340000004</v>
          </cell>
          <cell r="AD23">
            <v>294522.80000000005</v>
          </cell>
          <cell r="AE23">
            <v>479250</v>
          </cell>
          <cell r="AF23">
            <v>0</v>
          </cell>
          <cell r="AG23">
            <v>8296.1000000000022</v>
          </cell>
          <cell r="AH23">
            <v>176.14999999999998</v>
          </cell>
          <cell r="AI23">
            <v>319.5</v>
          </cell>
          <cell r="AJ23">
            <v>0</v>
          </cell>
          <cell r="AK23">
            <v>64842084.24000001</v>
          </cell>
          <cell r="AL23">
            <v>1144420.4000000001</v>
          </cell>
          <cell r="AM23">
            <v>2092763</v>
          </cell>
          <cell r="AN23">
            <v>0</v>
          </cell>
          <cell r="AO23">
            <v>36075.415000000001</v>
          </cell>
          <cell r="AP23">
            <v>566.29999999999995</v>
          </cell>
          <cell r="AQ23">
            <v>1079.2</v>
          </cell>
          <cell r="AR23">
            <v>0</v>
          </cell>
          <cell r="AS23"/>
          <cell r="AT23">
            <v>39295</v>
          </cell>
          <cell r="AU23" t="str">
            <v>DINAMITAS</v>
          </cell>
          <cell r="AV23"/>
          <cell r="AW23">
            <v>15575906.340000004</v>
          </cell>
          <cell r="AX23">
            <v>0</v>
          </cell>
          <cell r="AY23">
            <v>15575906.340000004</v>
          </cell>
          <cell r="AZ23"/>
          <cell r="BA23">
            <v>15575906.340000004</v>
          </cell>
          <cell r="BB23" t="e">
            <v>#DIV/0!</v>
          </cell>
          <cell r="BC23"/>
          <cell r="BD23"/>
          <cell r="BE23">
            <v>8296.1000000000022</v>
          </cell>
          <cell r="BF23">
            <v>0</v>
          </cell>
          <cell r="BG23">
            <v>8296.1000000000022</v>
          </cell>
          <cell r="BH23"/>
          <cell r="BI23">
            <v>8296.1000000000022</v>
          </cell>
          <cell r="BJ23">
            <v>-1</v>
          </cell>
          <cell r="BK23"/>
          <cell r="BL23"/>
          <cell r="BM23">
            <v>64842084.24000001</v>
          </cell>
          <cell r="BN23">
            <v>0</v>
          </cell>
          <cell r="BO23">
            <v>64842084.24000001</v>
          </cell>
          <cell r="BP23"/>
          <cell r="BQ23">
            <v>64842084.24000001</v>
          </cell>
          <cell r="BR23" t="e">
            <v>#DIV/0!</v>
          </cell>
          <cell r="BS23">
            <v>0</v>
          </cell>
          <cell r="BT23" t="e">
            <v>#DIV/0!</v>
          </cell>
          <cell r="BU23"/>
          <cell r="BV23">
            <v>36075.415000000001</v>
          </cell>
          <cell r="BW23">
            <v>0</v>
          </cell>
          <cell r="BX23">
            <v>36075.415000000001</v>
          </cell>
          <cell r="BY23"/>
          <cell r="BZ23">
            <v>36075.415000000001</v>
          </cell>
          <cell r="CA23" t="e">
            <v>#DIV/0!</v>
          </cell>
          <cell r="CB23">
            <v>0</v>
          </cell>
          <cell r="CC23" t="e">
            <v>#DIV/0!</v>
          </cell>
        </row>
        <row r="24">
          <cell r="B24">
            <v>39326</v>
          </cell>
          <cell r="C24">
            <v>39326</v>
          </cell>
          <cell r="D24" t="str">
            <v>DINAMITAS</v>
          </cell>
          <cell r="E24">
            <v>0.95377643837284287</v>
          </cell>
          <cell r="F24" t="str">
            <v>g</v>
          </cell>
          <cell r="G24" t="str">
            <v>c</v>
          </cell>
          <cell r="H24" t="str">
            <v>c</v>
          </cell>
          <cell r="I24">
            <v>0.95000000000000018</v>
          </cell>
          <cell r="J24">
            <v>0.90000000000000036</v>
          </cell>
          <cell r="K24">
            <v>0.9440140499548364</v>
          </cell>
          <cell r="L24" t="str">
            <v>c</v>
          </cell>
          <cell r="M24" t="str">
            <v>g</v>
          </cell>
          <cell r="N24" t="str">
            <v>c</v>
          </cell>
          <cell r="O24">
            <v>0.95000000000000018</v>
          </cell>
          <cell r="P24">
            <v>0.90000000000000036</v>
          </cell>
          <cell r="Q24">
            <v>0.95273614401731654</v>
          </cell>
          <cell r="R24" t="str">
            <v>g</v>
          </cell>
          <cell r="S24" t="str">
            <v>c</v>
          </cell>
          <cell r="T24" t="str">
            <v>c</v>
          </cell>
          <cell r="U24">
            <v>0.95000000000000018</v>
          </cell>
          <cell r="V24">
            <v>0.90000000000000036</v>
          </cell>
          <cell r="W24">
            <v>0.95379944012292883</v>
          </cell>
          <cell r="X24" t="str">
            <v>g</v>
          </cell>
          <cell r="Y24" t="str">
            <v>c</v>
          </cell>
          <cell r="Z24" t="str">
            <v>c</v>
          </cell>
          <cell r="AA24">
            <v>0.95000000000000018</v>
          </cell>
          <cell r="AB24">
            <v>0.90000000000000036</v>
          </cell>
          <cell r="AC24">
            <v>17873387.799999997</v>
          </cell>
          <cell r="AD24">
            <v>309111</v>
          </cell>
          <cell r="AE24">
            <v>557100</v>
          </cell>
          <cell r="AF24">
            <v>0</v>
          </cell>
          <cell r="AG24">
            <v>9379.7000000000044</v>
          </cell>
          <cell r="AH24">
            <v>184.875</v>
          </cell>
          <cell r="AI24">
            <v>371.39999999999986</v>
          </cell>
          <cell r="AJ24">
            <v>0</v>
          </cell>
          <cell r="AK24">
            <v>82715472.040000007</v>
          </cell>
          <cell r="AL24">
            <v>1453531.4000000001</v>
          </cell>
          <cell r="AM24">
            <v>2649863</v>
          </cell>
          <cell r="AN24">
            <v>0</v>
          </cell>
          <cell r="AO24">
            <v>45455.115000000005</v>
          </cell>
          <cell r="AP24">
            <v>751.17499999999995</v>
          </cell>
          <cell r="AQ24">
            <v>1450.6</v>
          </cell>
          <cell r="AR24">
            <v>0</v>
          </cell>
          <cell r="AS24"/>
          <cell r="AT24">
            <v>39326</v>
          </cell>
          <cell r="AU24" t="str">
            <v>DINAMITAS</v>
          </cell>
          <cell r="AV24"/>
          <cell r="AW24">
            <v>17873387.799999997</v>
          </cell>
          <cell r="AX24">
            <v>0</v>
          </cell>
          <cell r="AY24">
            <v>17873387.799999997</v>
          </cell>
          <cell r="AZ24"/>
          <cell r="BA24">
            <v>17873387.799999997</v>
          </cell>
          <cell r="BB24" t="e">
            <v>#DIV/0!</v>
          </cell>
          <cell r="BC24"/>
          <cell r="BD24"/>
          <cell r="BE24">
            <v>9379.7000000000044</v>
          </cell>
          <cell r="BF24">
            <v>0</v>
          </cell>
          <cell r="BG24">
            <v>9379.7000000000044</v>
          </cell>
          <cell r="BH24"/>
          <cell r="BI24">
            <v>9379.7000000000044</v>
          </cell>
          <cell r="BJ24">
            <v>-1</v>
          </cell>
          <cell r="BK24"/>
          <cell r="BL24"/>
          <cell r="BM24">
            <v>82715472.040000007</v>
          </cell>
          <cell r="BN24">
            <v>0</v>
          </cell>
          <cell r="BO24">
            <v>82715472.040000007</v>
          </cell>
          <cell r="BP24"/>
          <cell r="BQ24">
            <v>82715472.040000007</v>
          </cell>
          <cell r="BR24" t="e">
            <v>#DIV/0!</v>
          </cell>
          <cell r="BS24">
            <v>0</v>
          </cell>
          <cell r="BT24" t="e">
            <v>#DIV/0!</v>
          </cell>
          <cell r="BU24"/>
          <cell r="BV24">
            <v>45455.115000000005</v>
          </cell>
          <cell r="BW24">
            <v>0</v>
          </cell>
          <cell r="BX24">
            <v>45455.115000000005</v>
          </cell>
          <cell r="BY24"/>
          <cell r="BZ24">
            <v>45455.115000000005</v>
          </cell>
          <cell r="CA24" t="e">
            <v>#DIV/0!</v>
          </cell>
          <cell r="CB24">
            <v>0</v>
          </cell>
          <cell r="CC24" t="e">
            <v>#DIV/0!</v>
          </cell>
        </row>
        <row r="25">
          <cell r="B25">
            <v>39356</v>
          </cell>
          <cell r="C25">
            <v>39356</v>
          </cell>
          <cell r="D25" t="str">
            <v>DINAMITAS</v>
          </cell>
          <cell r="E25">
            <v>0.93923824321079463</v>
          </cell>
          <cell r="F25" t="str">
            <v>c</v>
          </cell>
          <cell r="G25" t="str">
            <v>g</v>
          </cell>
          <cell r="H25" t="str">
            <v>c</v>
          </cell>
          <cell r="I25">
            <v>0.94999999999999929</v>
          </cell>
          <cell r="J25">
            <v>0.90000000000000036</v>
          </cell>
          <cell r="K25">
            <v>0.92714688135115364</v>
          </cell>
          <cell r="L25" t="str">
            <v>c</v>
          </cell>
          <cell r="M25" t="str">
            <v>g</v>
          </cell>
          <cell r="N25" t="str">
            <v>c</v>
          </cell>
          <cell r="O25">
            <v>0.94999999999999929</v>
          </cell>
          <cell r="P25">
            <v>0.90000000000000036</v>
          </cell>
          <cell r="Q25">
            <v>0.9500314677832874</v>
          </cell>
          <cell r="R25" t="str">
            <v>g</v>
          </cell>
          <cell r="S25" t="str">
            <v>c</v>
          </cell>
          <cell r="T25" t="str">
            <v>c</v>
          </cell>
          <cell r="U25">
            <v>0.94999999999999929</v>
          </cell>
          <cell r="V25">
            <v>0.90000000000000036</v>
          </cell>
          <cell r="W25">
            <v>0.94864724141654999</v>
          </cell>
          <cell r="X25" t="str">
            <v>c</v>
          </cell>
          <cell r="Y25" t="str">
            <v>g</v>
          </cell>
          <cell r="Z25" t="str">
            <v>c</v>
          </cell>
          <cell r="AA25">
            <v>0.94999999999999929</v>
          </cell>
          <cell r="AB25">
            <v>0.90000000000000036</v>
          </cell>
          <cell r="AC25">
            <v>20434026.399999991</v>
          </cell>
          <cell r="AD25">
            <v>718742.6399999999</v>
          </cell>
          <cell r="AE25">
            <v>603187.5</v>
          </cell>
          <cell r="AF25">
            <v>0</v>
          </cell>
          <cell r="AG25">
            <v>10588.175000000003</v>
          </cell>
          <cell r="AH25">
            <v>429.87000000000012</v>
          </cell>
          <cell r="AI25">
            <v>402.125</v>
          </cell>
          <cell r="AJ25">
            <v>0</v>
          </cell>
          <cell r="AK25">
            <v>103149498.44</v>
          </cell>
          <cell r="AL25">
            <v>2172274.04</v>
          </cell>
          <cell r="AM25">
            <v>3253050.5</v>
          </cell>
          <cell r="AN25">
            <v>0</v>
          </cell>
          <cell r="AO25">
            <v>56043.290000000008</v>
          </cell>
          <cell r="AP25">
            <v>1181.0450000000001</v>
          </cell>
          <cell r="AQ25">
            <v>1852.7249999999999</v>
          </cell>
          <cell r="AR25">
            <v>0</v>
          </cell>
          <cell r="AS25"/>
          <cell r="AT25">
            <v>39356</v>
          </cell>
          <cell r="AU25" t="str">
            <v>DINAMITAS</v>
          </cell>
          <cell r="AV25"/>
          <cell r="AW25">
            <v>20434026.399999991</v>
          </cell>
          <cell r="AX25">
            <v>0</v>
          </cell>
          <cell r="AY25">
            <v>20434026.399999991</v>
          </cell>
          <cell r="AZ25"/>
          <cell r="BA25">
            <v>20434026.399999991</v>
          </cell>
          <cell r="BB25" t="e">
            <v>#DIV/0!</v>
          </cell>
          <cell r="BC25"/>
          <cell r="BD25"/>
          <cell r="BE25">
            <v>10588.175000000003</v>
          </cell>
          <cell r="BF25">
            <v>0</v>
          </cell>
          <cell r="BG25">
            <v>10588.175000000003</v>
          </cell>
          <cell r="BH25"/>
          <cell r="BI25">
            <v>10588.175000000003</v>
          </cell>
          <cell r="BJ25">
            <v>-1</v>
          </cell>
          <cell r="BK25"/>
          <cell r="BL25"/>
          <cell r="BM25">
            <v>103149498.44</v>
          </cell>
          <cell r="BN25">
            <v>0</v>
          </cell>
          <cell r="BO25">
            <v>103149498.44</v>
          </cell>
          <cell r="BP25"/>
          <cell r="BQ25">
            <v>103149498.44</v>
          </cell>
          <cell r="BR25" t="e">
            <v>#DIV/0!</v>
          </cell>
          <cell r="BS25">
            <v>0</v>
          </cell>
          <cell r="BT25" t="e">
            <v>#DIV/0!</v>
          </cell>
          <cell r="BU25"/>
          <cell r="BV25">
            <v>56043.290000000008</v>
          </cell>
          <cell r="BW25">
            <v>0</v>
          </cell>
          <cell r="BX25">
            <v>56043.290000000008</v>
          </cell>
          <cell r="BY25"/>
          <cell r="BZ25">
            <v>56043.290000000008</v>
          </cell>
          <cell r="CA25" t="e">
            <v>#DIV/0!</v>
          </cell>
          <cell r="CB25">
            <v>0</v>
          </cell>
          <cell r="CC25" t="e">
            <v>#DIV/0!</v>
          </cell>
        </row>
        <row r="26">
          <cell r="B26">
            <v>39387</v>
          </cell>
          <cell r="C26">
            <v>39387</v>
          </cell>
          <cell r="D26" t="str">
            <v>DINAMITAS</v>
          </cell>
          <cell r="E26">
            <v>0.94744630234309291</v>
          </cell>
          <cell r="F26" t="str">
            <v>c</v>
          </cell>
          <cell r="G26" t="str">
            <v>g</v>
          </cell>
          <cell r="H26" t="str">
            <v>c</v>
          </cell>
          <cell r="I26">
            <v>0.94999999999999929</v>
          </cell>
          <cell r="J26">
            <v>0.90000000000000036</v>
          </cell>
          <cell r="K26">
            <v>0.93591291697910073</v>
          </cell>
          <cell r="L26" t="str">
            <v>c</v>
          </cell>
          <cell r="M26" t="str">
            <v>g</v>
          </cell>
          <cell r="N26" t="str">
            <v>c</v>
          </cell>
          <cell r="O26">
            <v>0.94999999999999929</v>
          </cell>
          <cell r="P26">
            <v>0.90000000000000036</v>
          </cell>
          <cell r="Q26">
            <v>0.94955999444559713</v>
          </cell>
          <cell r="R26" t="str">
            <v>c</v>
          </cell>
          <cell r="S26" t="str">
            <v>g</v>
          </cell>
          <cell r="T26" t="str">
            <v>c</v>
          </cell>
          <cell r="U26">
            <v>0.94999999999999929</v>
          </cell>
          <cell r="V26">
            <v>0.90000000000000036</v>
          </cell>
          <cell r="W26">
            <v>0.9464127953773801</v>
          </cell>
          <cell r="X26" t="str">
            <v>c</v>
          </cell>
          <cell r="Y26" t="str">
            <v>g</v>
          </cell>
          <cell r="Z26" t="str">
            <v>c</v>
          </cell>
          <cell r="AA26">
            <v>0.94999999999999929</v>
          </cell>
          <cell r="AB26">
            <v>0.90000000000000036</v>
          </cell>
          <cell r="AC26">
            <v>22945585.730000004</v>
          </cell>
          <cell r="AD26">
            <v>624174.31999999983</v>
          </cell>
          <cell r="AE26">
            <v>648589.5</v>
          </cell>
          <cell r="AF26">
            <v>0</v>
          </cell>
          <cell r="AG26">
            <v>11766.300000000003</v>
          </cell>
          <cell r="AH26">
            <v>373.30999999999995</v>
          </cell>
          <cell r="AI26">
            <v>432.39300000000003</v>
          </cell>
          <cell r="AJ26">
            <v>0</v>
          </cell>
          <cell r="AK26">
            <v>126095084.17</v>
          </cell>
          <cell r="AL26">
            <v>2796448.36</v>
          </cell>
          <cell r="AM26">
            <v>3901640</v>
          </cell>
          <cell r="AN26">
            <v>0</v>
          </cell>
          <cell r="AO26">
            <v>67809.590000000011</v>
          </cell>
          <cell r="AP26">
            <v>1554.355</v>
          </cell>
          <cell r="AQ26">
            <v>2285.1179999999999</v>
          </cell>
          <cell r="AR26">
            <v>0</v>
          </cell>
          <cell r="AS26"/>
          <cell r="AT26">
            <v>39387</v>
          </cell>
          <cell r="AU26" t="str">
            <v>DINAMITAS</v>
          </cell>
          <cell r="AV26"/>
          <cell r="AW26">
            <v>22945585.730000004</v>
          </cell>
          <cell r="AX26">
            <v>0</v>
          </cell>
          <cell r="AY26">
            <v>22945585.730000004</v>
          </cell>
          <cell r="AZ26"/>
          <cell r="BA26">
            <v>22945585.730000004</v>
          </cell>
          <cell r="BB26" t="e">
            <v>#DIV/0!</v>
          </cell>
          <cell r="BC26"/>
          <cell r="BD26"/>
          <cell r="BE26">
            <v>11766.300000000003</v>
          </cell>
          <cell r="BF26">
            <v>0</v>
          </cell>
          <cell r="BG26">
            <v>11766.300000000003</v>
          </cell>
          <cell r="BH26"/>
          <cell r="BI26">
            <v>11766.300000000003</v>
          </cell>
          <cell r="BJ26">
            <v>-1</v>
          </cell>
          <cell r="BK26"/>
          <cell r="BL26"/>
          <cell r="BM26">
            <v>126095084.17</v>
          </cell>
          <cell r="BN26">
            <v>0</v>
          </cell>
          <cell r="BO26">
            <v>126095084.17</v>
          </cell>
          <cell r="BP26"/>
          <cell r="BQ26">
            <v>126095084.17</v>
          </cell>
          <cell r="BR26" t="e">
            <v>#DIV/0!</v>
          </cell>
          <cell r="BS26">
            <v>0</v>
          </cell>
          <cell r="BT26" t="e">
            <v>#DIV/0!</v>
          </cell>
          <cell r="BU26"/>
          <cell r="BV26">
            <v>67809.590000000011</v>
          </cell>
          <cell r="BW26">
            <v>0</v>
          </cell>
          <cell r="BX26">
            <v>67809.590000000011</v>
          </cell>
          <cell r="BY26"/>
          <cell r="BZ26">
            <v>67809.590000000011</v>
          </cell>
          <cell r="CA26" t="e">
            <v>#DIV/0!</v>
          </cell>
          <cell r="CB26">
            <v>0</v>
          </cell>
          <cell r="CC26" t="e">
            <v>#DIV/0!</v>
          </cell>
        </row>
        <row r="27">
          <cell r="B27">
            <v>39417</v>
          </cell>
          <cell r="C27">
            <v>39417</v>
          </cell>
          <cell r="D27" t="str">
            <v>DINAMITAS</v>
          </cell>
          <cell r="E27">
            <v>0.9508418625377062</v>
          </cell>
          <cell r="F27" t="str">
            <v>g</v>
          </cell>
          <cell r="G27" t="str">
            <v>c</v>
          </cell>
          <cell r="H27" t="str">
            <v>c</v>
          </cell>
          <cell r="I27">
            <v>0.94999999999999929</v>
          </cell>
          <cell r="J27">
            <v>0.90000000000000036</v>
          </cell>
          <cell r="K27">
            <v>0.93952078609708123</v>
          </cell>
          <cell r="L27" t="str">
            <v>c</v>
          </cell>
          <cell r="M27" t="str">
            <v>g</v>
          </cell>
          <cell r="N27" t="str">
            <v>c</v>
          </cell>
          <cell r="O27">
            <v>0.94999999999999929</v>
          </cell>
          <cell r="P27">
            <v>0.90000000000000036</v>
          </cell>
          <cell r="Q27">
            <v>0.9497778618608701</v>
          </cell>
          <cell r="R27" t="str">
            <v>c</v>
          </cell>
          <cell r="S27" t="str">
            <v>g</v>
          </cell>
          <cell r="T27" t="str">
            <v>c</v>
          </cell>
          <cell r="U27">
            <v>0.94999999999999929</v>
          </cell>
          <cell r="V27">
            <v>0.90000000000000036</v>
          </cell>
          <cell r="W27">
            <v>0.94528766163609268</v>
          </cell>
          <cell r="X27" t="str">
            <v>c</v>
          </cell>
          <cell r="Y27" t="str">
            <v>g</v>
          </cell>
          <cell r="Z27" t="str">
            <v>c</v>
          </cell>
          <cell r="AA27">
            <v>0.94999999999999929</v>
          </cell>
          <cell r="AB27">
            <v>0.90000000000000036</v>
          </cell>
          <cell r="AC27">
            <v>25854397.260000005</v>
          </cell>
          <cell r="AD27">
            <v>665974.31999999983</v>
          </cell>
          <cell r="AE27">
            <v>670687.5</v>
          </cell>
          <cell r="AF27">
            <v>0</v>
          </cell>
          <cell r="AG27">
            <v>13133.5</v>
          </cell>
          <cell r="AH27">
            <v>398.30999999999995</v>
          </cell>
          <cell r="AI27">
            <v>447.125</v>
          </cell>
          <cell r="AJ27">
            <v>0</v>
          </cell>
          <cell r="AK27">
            <v>151949481.43000001</v>
          </cell>
          <cell r="AL27">
            <v>3462422.6799999997</v>
          </cell>
          <cell r="AM27">
            <v>4572327.5</v>
          </cell>
          <cell r="AN27">
            <v>0</v>
          </cell>
          <cell r="AO27">
            <v>80943.090000000011</v>
          </cell>
          <cell r="AP27">
            <v>1952.665</v>
          </cell>
          <cell r="AQ27">
            <v>2732.2429999999999</v>
          </cell>
          <cell r="AR27">
            <v>0</v>
          </cell>
          <cell r="AS27"/>
          <cell r="AT27">
            <v>39417</v>
          </cell>
          <cell r="AU27" t="str">
            <v>DINAMITAS</v>
          </cell>
          <cell r="AV27"/>
          <cell r="AW27">
            <v>25854397.260000005</v>
          </cell>
          <cell r="AX27">
            <v>0</v>
          </cell>
          <cell r="AY27">
            <v>25854397.260000005</v>
          </cell>
          <cell r="AZ27"/>
          <cell r="BA27">
            <v>25854397.260000005</v>
          </cell>
          <cell r="BB27" t="e">
            <v>#DIV/0!</v>
          </cell>
          <cell r="BC27"/>
          <cell r="BD27"/>
          <cell r="BE27">
            <v>13133.5</v>
          </cell>
          <cell r="BF27">
            <v>0</v>
          </cell>
          <cell r="BG27">
            <v>13133.5</v>
          </cell>
          <cell r="BH27"/>
          <cell r="BI27">
            <v>13133.5</v>
          </cell>
          <cell r="BJ27">
            <v>-1</v>
          </cell>
          <cell r="BK27"/>
          <cell r="BL27"/>
          <cell r="BM27">
            <v>151949481.43000001</v>
          </cell>
          <cell r="BN27">
            <v>0</v>
          </cell>
          <cell r="BO27">
            <v>151949481.43000001</v>
          </cell>
          <cell r="BP27"/>
          <cell r="BQ27">
            <v>151949481.43000001</v>
          </cell>
          <cell r="BR27" t="e">
            <v>#DIV/0!</v>
          </cell>
          <cell r="BS27">
            <v>0</v>
          </cell>
          <cell r="BT27" t="e">
            <v>#DIV/0!</v>
          </cell>
          <cell r="BU27"/>
          <cell r="BV27">
            <v>80943.090000000011</v>
          </cell>
          <cell r="BW27">
            <v>0</v>
          </cell>
          <cell r="BX27">
            <v>80943.090000000011</v>
          </cell>
          <cell r="BY27"/>
          <cell r="BZ27">
            <v>80943.090000000011</v>
          </cell>
          <cell r="CA27" t="e">
            <v>#DIV/0!</v>
          </cell>
          <cell r="CB27">
            <v>0</v>
          </cell>
          <cell r="CC27" t="e">
            <v>#DIV/0!</v>
          </cell>
        </row>
        <row r="28">
          <cell r="B28">
            <v>39448</v>
          </cell>
          <cell r="C28">
            <v>39448</v>
          </cell>
          <cell r="D28" t="str">
            <v>DINAMITAS</v>
          </cell>
          <cell r="E28">
            <v>0.96999995967465513</v>
          </cell>
          <cell r="F28" t="str">
            <v>g</v>
          </cell>
          <cell r="G28" t="str">
            <v>c</v>
          </cell>
          <cell r="H28" t="str">
            <v>c</v>
          </cell>
          <cell r="I28">
            <v>0.90000000000000036</v>
          </cell>
          <cell r="J28">
            <v>0.84999999999999964</v>
          </cell>
          <cell r="K28">
            <v>0.95969125214408235</v>
          </cell>
          <cell r="L28" t="str">
            <v>g</v>
          </cell>
          <cell r="M28" t="str">
            <v>c</v>
          </cell>
          <cell r="N28" t="str">
            <v>c</v>
          </cell>
          <cell r="O28">
            <v>0.90000000000000036</v>
          </cell>
          <cell r="P28">
            <v>0.84999999999999964</v>
          </cell>
          <cell r="Q28">
            <v>0.96999995967465513</v>
          </cell>
          <cell r="R28" t="str">
            <v>g</v>
          </cell>
          <cell r="S28" t="str">
            <v>c</v>
          </cell>
          <cell r="T28" t="str">
            <v>c</v>
          </cell>
          <cell r="U28">
            <v>0.90000000000000036</v>
          </cell>
          <cell r="V28">
            <v>0.84999999999999964</v>
          </cell>
          <cell r="W28">
            <v>0.95969125214408235</v>
          </cell>
          <cell r="X28" t="str">
            <v>g</v>
          </cell>
          <cell r="Y28" t="str">
            <v>c</v>
          </cell>
          <cell r="Z28" t="str">
            <v>c</v>
          </cell>
          <cell r="AA28">
            <v>0.90000000000000036</v>
          </cell>
          <cell r="AB28">
            <v>0.84999999999999964</v>
          </cell>
          <cell r="AC28">
            <v>2405435</v>
          </cell>
          <cell r="AD28">
            <v>49597</v>
          </cell>
          <cell r="AE28">
            <v>24798</v>
          </cell>
          <cell r="AF28">
            <v>0</v>
          </cell>
          <cell r="AG28">
            <v>1119</v>
          </cell>
          <cell r="AH28">
            <v>35</v>
          </cell>
          <cell r="AI28">
            <v>12</v>
          </cell>
          <cell r="AJ28">
            <v>0</v>
          </cell>
          <cell r="AK28">
            <v>2405435</v>
          </cell>
          <cell r="AL28">
            <v>49597</v>
          </cell>
          <cell r="AM28">
            <v>24798</v>
          </cell>
          <cell r="AN28">
            <v>0</v>
          </cell>
          <cell r="AO28">
            <v>1119</v>
          </cell>
          <cell r="AP28">
            <v>35</v>
          </cell>
          <cell r="AQ28">
            <v>12</v>
          </cell>
          <cell r="AR28">
            <v>0</v>
          </cell>
          <cell r="AS28"/>
          <cell r="AT28">
            <v>39448</v>
          </cell>
          <cell r="AU28" t="str">
            <v>DINAMITAS</v>
          </cell>
          <cell r="AV28">
            <v>1745942</v>
          </cell>
          <cell r="AW28">
            <v>2405435</v>
          </cell>
          <cell r="AX28">
            <v>0</v>
          </cell>
          <cell r="AY28">
            <v>659493</v>
          </cell>
          <cell r="AZ28">
            <v>0.3777290425455142</v>
          </cell>
          <cell r="BA28">
            <v>2405435</v>
          </cell>
          <cell r="BB28" t="e">
            <v>#DIV/0!</v>
          </cell>
          <cell r="BC28"/>
          <cell r="BD28">
            <v>919</v>
          </cell>
          <cell r="BE28">
            <v>1119</v>
          </cell>
          <cell r="BF28">
            <v>0</v>
          </cell>
          <cell r="BG28">
            <v>200</v>
          </cell>
          <cell r="BH28">
            <v>0.21762785636561488</v>
          </cell>
          <cell r="BI28">
            <v>1119</v>
          </cell>
          <cell r="BJ28">
            <v>-1</v>
          </cell>
          <cell r="BK28"/>
          <cell r="BL28">
            <v>1745942</v>
          </cell>
          <cell r="BM28">
            <v>2405435</v>
          </cell>
          <cell r="BN28">
            <v>0</v>
          </cell>
          <cell r="BO28">
            <v>659493</v>
          </cell>
          <cell r="BP28">
            <v>0.3777290425455142</v>
          </cell>
          <cell r="BQ28">
            <v>2405435</v>
          </cell>
          <cell r="BR28" t="e">
            <v>#DIV/0!</v>
          </cell>
          <cell r="BS28">
            <v>0</v>
          </cell>
          <cell r="BT28" t="e">
            <v>#DIV/0!</v>
          </cell>
          <cell r="BU28">
            <v>919</v>
          </cell>
          <cell r="BV28">
            <v>1119</v>
          </cell>
          <cell r="BW28">
            <v>0</v>
          </cell>
          <cell r="BX28">
            <v>200</v>
          </cell>
          <cell r="BY28">
            <v>0.21762785636561488</v>
          </cell>
          <cell r="BZ28">
            <v>1119</v>
          </cell>
          <cell r="CA28" t="e">
            <v>#DIV/0!</v>
          </cell>
          <cell r="CB28">
            <v>0</v>
          </cell>
          <cell r="CC28" t="e">
            <v>#DIV/0!</v>
          </cell>
        </row>
        <row r="29">
          <cell r="B29">
            <v>39479</v>
          </cell>
          <cell r="C29">
            <v>39479</v>
          </cell>
          <cell r="D29" t="str">
            <v>DINAMITAS</v>
          </cell>
          <cell r="E29">
            <v>0.90980718336483934</v>
          </cell>
          <cell r="F29" t="str">
            <v>g</v>
          </cell>
          <cell r="G29" t="str">
            <v>c</v>
          </cell>
          <cell r="H29" t="str">
            <v>c</v>
          </cell>
          <cell r="I29">
            <v>0.90000000000000036</v>
          </cell>
          <cell r="J29">
            <v>0.84999999999999964</v>
          </cell>
          <cell r="K29">
            <v>0.90645586297760206</v>
          </cell>
          <cell r="L29" t="str">
            <v>g</v>
          </cell>
          <cell r="M29" t="str">
            <v>c</v>
          </cell>
          <cell r="N29" t="str">
            <v>c</v>
          </cell>
          <cell r="O29">
            <v>0.90000000000000036</v>
          </cell>
          <cell r="P29">
            <v>0.84999999999999964</v>
          </cell>
          <cell r="Q29">
            <v>0.92987221080747207</v>
          </cell>
          <cell r="R29" t="str">
            <v>g</v>
          </cell>
          <cell r="S29" t="str">
            <v>c</v>
          </cell>
          <cell r="T29" t="str">
            <v>c</v>
          </cell>
          <cell r="U29">
            <v>0.90000000000000036</v>
          </cell>
          <cell r="V29">
            <v>0.84999999999999964</v>
          </cell>
          <cell r="W29">
            <v>0.92448446122567529</v>
          </cell>
          <cell r="X29" t="str">
            <v>g</v>
          </cell>
          <cell r="Y29" t="str">
            <v>c</v>
          </cell>
          <cell r="Z29" t="str">
            <v>c</v>
          </cell>
          <cell r="AA29">
            <v>0.90000000000000036</v>
          </cell>
          <cell r="AB29">
            <v>0.84999999999999964</v>
          </cell>
          <cell r="AC29">
            <v>4512075</v>
          </cell>
          <cell r="AD29">
            <v>298200</v>
          </cell>
          <cell r="AE29">
            <v>149100</v>
          </cell>
          <cell r="AF29">
            <v>0</v>
          </cell>
          <cell r="AG29">
            <v>2064</v>
          </cell>
          <cell r="AH29">
            <v>142</v>
          </cell>
          <cell r="AI29">
            <v>71</v>
          </cell>
          <cell r="AJ29">
            <v>0</v>
          </cell>
          <cell r="AK29">
            <v>6917510</v>
          </cell>
          <cell r="AL29">
            <v>347797</v>
          </cell>
          <cell r="AM29">
            <v>173898</v>
          </cell>
          <cell r="AN29">
            <v>0</v>
          </cell>
          <cell r="AO29">
            <v>3183</v>
          </cell>
          <cell r="AP29">
            <v>177</v>
          </cell>
          <cell r="AQ29">
            <v>83</v>
          </cell>
          <cell r="AR29">
            <v>0</v>
          </cell>
          <cell r="AS29"/>
          <cell r="AT29">
            <v>39479</v>
          </cell>
          <cell r="AU29" t="str">
            <v>DINAMITAS</v>
          </cell>
          <cell r="AV29">
            <v>2988995</v>
          </cell>
          <cell r="AW29">
            <v>4512075</v>
          </cell>
          <cell r="AX29">
            <v>0</v>
          </cell>
          <cell r="AY29">
            <v>1523080</v>
          </cell>
          <cell r="AZ29">
            <v>0.50956257872629429</v>
          </cell>
          <cell r="BA29">
            <v>4512075</v>
          </cell>
          <cell r="BB29" t="e">
            <v>#DIV/0!</v>
          </cell>
          <cell r="BC29"/>
          <cell r="BD29">
            <v>1603</v>
          </cell>
          <cell r="BE29">
            <v>2064</v>
          </cell>
          <cell r="BF29">
            <v>0</v>
          </cell>
          <cell r="BG29">
            <v>461</v>
          </cell>
          <cell r="BH29">
            <v>0.28758577666874618</v>
          </cell>
          <cell r="BI29">
            <v>2064</v>
          </cell>
          <cell r="BJ29">
            <v>-1</v>
          </cell>
          <cell r="BK29"/>
          <cell r="BL29">
            <v>4734937</v>
          </cell>
          <cell r="BM29">
            <v>6917510</v>
          </cell>
          <cell r="BN29">
            <v>0</v>
          </cell>
          <cell r="BO29">
            <v>2182573</v>
          </cell>
          <cell r="BP29">
            <v>0.46095080040135694</v>
          </cell>
          <cell r="BQ29">
            <v>6917510</v>
          </cell>
          <cell r="BR29" t="e">
            <v>#DIV/0!</v>
          </cell>
          <cell r="BS29">
            <v>0</v>
          </cell>
          <cell r="BT29" t="e">
            <v>#DIV/0!</v>
          </cell>
          <cell r="BU29">
            <v>2522</v>
          </cell>
          <cell r="BV29">
            <v>3183</v>
          </cell>
          <cell r="BW29">
            <v>0</v>
          </cell>
          <cell r="BX29">
            <v>661</v>
          </cell>
          <cell r="BY29">
            <v>0.26209357652656617</v>
          </cell>
          <cell r="BZ29">
            <v>3183</v>
          </cell>
          <cell r="CA29" t="e">
            <v>#DIV/0!</v>
          </cell>
          <cell r="CB29">
            <v>0</v>
          </cell>
          <cell r="CC29" t="e">
            <v>#DIV/0!</v>
          </cell>
        </row>
        <row r="30">
          <cell r="B30">
            <v>39508</v>
          </cell>
          <cell r="C30">
            <v>39508</v>
          </cell>
          <cell r="D30" t="str">
            <v>DINAMITAS</v>
          </cell>
          <cell r="E30">
            <v>0.87355322014326808</v>
          </cell>
          <cell r="F30" t="str">
            <v>c</v>
          </cell>
          <cell r="G30" t="str">
            <v>g</v>
          </cell>
          <cell r="H30" t="str">
            <v>c</v>
          </cell>
          <cell r="I30">
            <v>0.90000000000000036</v>
          </cell>
          <cell r="J30">
            <v>0.84999999999999964</v>
          </cell>
          <cell r="K30">
            <v>0.86764291748803157</v>
          </cell>
          <cell r="L30" t="str">
            <v>c</v>
          </cell>
          <cell r="M30" t="str">
            <v>g</v>
          </cell>
          <cell r="N30" t="str">
            <v>c</v>
          </cell>
          <cell r="O30">
            <v>0.90000000000000036</v>
          </cell>
          <cell r="P30">
            <v>0.84999999999999964</v>
          </cell>
          <cell r="Q30">
            <v>0.90138577336102277</v>
          </cell>
          <cell r="R30" t="str">
            <v>g</v>
          </cell>
          <cell r="S30" t="str">
            <v>c</v>
          </cell>
          <cell r="T30" t="str">
            <v>c</v>
          </cell>
          <cell r="U30">
            <v>0.90000000000000036</v>
          </cell>
          <cell r="V30">
            <v>0.84999999999999964</v>
          </cell>
          <cell r="W30">
            <v>0.8956248212753789</v>
          </cell>
          <cell r="X30" t="str">
            <v>c</v>
          </cell>
          <cell r="Y30" t="str">
            <v>g</v>
          </cell>
          <cell r="Z30" t="str">
            <v>c</v>
          </cell>
          <cell r="AA30">
            <v>0.90000000000000036</v>
          </cell>
          <cell r="AB30">
            <v>0.84999999999999964</v>
          </cell>
          <cell r="AC30">
            <v>6651215</v>
          </cell>
          <cell r="AD30">
            <v>609442</v>
          </cell>
          <cell r="AE30">
            <v>353321</v>
          </cell>
          <cell r="AF30">
            <v>0</v>
          </cell>
          <cell r="AG30">
            <v>3081</v>
          </cell>
          <cell r="AH30">
            <v>297</v>
          </cell>
          <cell r="AI30">
            <v>172</v>
          </cell>
          <cell r="AJ30">
            <v>0</v>
          </cell>
          <cell r="AK30">
            <v>13568725</v>
          </cell>
          <cell r="AL30">
            <v>957239</v>
          </cell>
          <cell r="AM30">
            <v>527219</v>
          </cell>
          <cell r="AN30">
            <v>0</v>
          </cell>
          <cell r="AO30">
            <v>6264</v>
          </cell>
          <cell r="AP30">
            <v>474</v>
          </cell>
          <cell r="AQ30">
            <v>255</v>
          </cell>
          <cell r="AR30">
            <v>0</v>
          </cell>
          <cell r="AS30"/>
          <cell r="AT30">
            <v>39508</v>
          </cell>
          <cell r="AU30" t="str">
            <v>DINAMITAS</v>
          </cell>
          <cell r="AV30">
            <v>5135313</v>
          </cell>
          <cell r="AW30">
            <v>6651215</v>
          </cell>
          <cell r="AX30">
            <v>0</v>
          </cell>
          <cell r="AY30">
            <v>1515902</v>
          </cell>
          <cell r="AZ30">
            <v>0.29519174391122793</v>
          </cell>
          <cell r="BA30">
            <v>6651215</v>
          </cell>
          <cell r="BB30" t="e">
            <v>#DIV/0!</v>
          </cell>
          <cell r="BC30"/>
          <cell r="BD30">
            <v>2972</v>
          </cell>
          <cell r="BE30">
            <v>3081</v>
          </cell>
          <cell r="BF30">
            <v>0</v>
          </cell>
          <cell r="BG30">
            <v>109</v>
          </cell>
          <cell r="BH30">
            <v>3.6675639300134621E-2</v>
          </cell>
          <cell r="BI30">
            <v>3081</v>
          </cell>
          <cell r="BJ30">
            <v>-1</v>
          </cell>
          <cell r="BK30"/>
          <cell r="BL30">
            <v>9870250</v>
          </cell>
          <cell r="BM30">
            <v>13568725</v>
          </cell>
          <cell r="BN30">
            <v>0</v>
          </cell>
          <cell r="BO30">
            <v>3698475</v>
          </cell>
          <cell r="BP30">
            <v>0.37470935386641679</v>
          </cell>
          <cell r="BQ30">
            <v>13568725</v>
          </cell>
          <cell r="BR30" t="e">
            <v>#DIV/0!</v>
          </cell>
          <cell r="BS30">
            <v>0</v>
          </cell>
          <cell r="BT30" t="e">
            <v>#DIV/0!</v>
          </cell>
          <cell r="BU30">
            <v>5494</v>
          </cell>
          <cell r="BV30">
            <v>6264</v>
          </cell>
          <cell r="BW30">
            <v>0</v>
          </cell>
          <cell r="BX30">
            <v>770</v>
          </cell>
          <cell r="BY30">
            <v>0.1401528940662542</v>
          </cell>
          <cell r="BZ30">
            <v>6264</v>
          </cell>
          <cell r="CA30" t="e">
            <v>#DIV/0!</v>
          </cell>
          <cell r="CB30">
            <v>0</v>
          </cell>
          <cell r="CC30" t="e">
            <v>#DIV/0!</v>
          </cell>
        </row>
        <row r="31">
          <cell r="B31">
            <v>39539</v>
          </cell>
          <cell r="C31">
            <v>39539</v>
          </cell>
          <cell r="D31" t="str">
            <v>DINAMITAS</v>
          </cell>
          <cell r="E31">
            <v>0.89331467525816055</v>
          </cell>
          <cell r="F31" t="str">
            <v>c</v>
          </cell>
          <cell r="G31" t="str">
            <v>g</v>
          </cell>
          <cell r="H31" t="str">
            <v>c</v>
          </cell>
          <cell r="I31">
            <v>0.90000000000000036</v>
          </cell>
          <cell r="J31">
            <v>0.84999999999999964</v>
          </cell>
          <cell r="K31">
            <v>0.88495804413135815</v>
          </cell>
          <cell r="L31" t="str">
            <v>c</v>
          </cell>
          <cell r="M31" t="str">
            <v>g</v>
          </cell>
          <cell r="N31" t="str">
            <v>c</v>
          </cell>
          <cell r="O31">
            <v>0.90000000000000036</v>
          </cell>
          <cell r="P31">
            <v>0.84999999999999964</v>
          </cell>
          <cell r="Q31">
            <v>0.89803606517678614</v>
          </cell>
          <cell r="R31" t="str">
            <v>c</v>
          </cell>
          <cell r="S31" t="str">
            <v>g</v>
          </cell>
          <cell r="T31" t="str">
            <v>c</v>
          </cell>
          <cell r="U31">
            <v>0.90000000000000036</v>
          </cell>
          <cell r="V31">
            <v>0.84999999999999964</v>
          </cell>
          <cell r="W31">
            <v>0.89126940484751072</v>
          </cell>
          <cell r="X31" t="str">
            <v>c</v>
          </cell>
          <cell r="Y31" t="str">
            <v>g</v>
          </cell>
          <cell r="Z31" t="str">
            <v>c</v>
          </cell>
          <cell r="AA31">
            <v>0.90000000000000036</v>
          </cell>
          <cell r="AB31">
            <v>0.84999999999999964</v>
          </cell>
          <cell r="AC31">
            <v>9540473.1999999881</v>
          </cell>
          <cell r="AD31">
            <v>683425.31291544437</v>
          </cell>
          <cell r="AE31">
            <v>455958.72467317898</v>
          </cell>
          <cell r="AF31">
            <v>0</v>
          </cell>
          <cell r="AG31">
            <v>4271.25</v>
          </cell>
          <cell r="AH31">
            <v>333.19999999999982</v>
          </cell>
          <cell r="AI31">
            <v>222.30000000000018</v>
          </cell>
          <cell r="AJ31">
            <v>0</v>
          </cell>
          <cell r="AK31">
            <v>23109198.199999988</v>
          </cell>
          <cell r="AL31">
            <v>1640664.3129154444</v>
          </cell>
          <cell r="AM31">
            <v>983177.72467317898</v>
          </cell>
          <cell r="AN31">
            <v>0</v>
          </cell>
          <cell r="AO31">
            <v>10535.25</v>
          </cell>
          <cell r="AP31">
            <v>807.19999999999982</v>
          </cell>
          <cell r="AQ31">
            <v>477.30000000000018</v>
          </cell>
          <cell r="AR31">
            <v>0</v>
          </cell>
          <cell r="AS31"/>
          <cell r="AT31">
            <v>39539</v>
          </cell>
          <cell r="AU31" t="str">
            <v>DINAMITAS</v>
          </cell>
          <cell r="AV31">
            <v>6788061</v>
          </cell>
          <cell r="AW31">
            <v>9540473.1999999881</v>
          </cell>
          <cell r="AX31">
            <v>0</v>
          </cell>
          <cell r="AY31">
            <v>2752412.1999999881</v>
          </cell>
          <cell r="AZ31">
            <v>0.40547841276028418</v>
          </cell>
          <cell r="BA31">
            <v>9540473.1999999881</v>
          </cell>
          <cell r="BB31" t="e">
            <v>#DIV/0!</v>
          </cell>
          <cell r="BC31"/>
          <cell r="BD31">
            <v>3853.9799999999996</v>
          </cell>
          <cell r="BE31">
            <v>4271.25</v>
          </cell>
          <cell r="BF31">
            <v>0</v>
          </cell>
          <cell r="BG31">
            <v>417.27000000000044</v>
          </cell>
          <cell r="BH31">
            <v>0.10826989242289797</v>
          </cell>
          <cell r="BI31">
            <v>4271.25</v>
          </cell>
          <cell r="BJ31">
            <v>-1</v>
          </cell>
          <cell r="BK31"/>
          <cell r="BL31">
            <v>16658311</v>
          </cell>
          <cell r="BM31">
            <v>23109198.199999988</v>
          </cell>
          <cell r="BN31">
            <v>0</v>
          </cell>
          <cell r="BO31">
            <v>6450887.1999999881</v>
          </cell>
          <cell r="BP31">
            <v>0.38724737459878056</v>
          </cell>
          <cell r="BQ31">
            <v>23109198.199999988</v>
          </cell>
          <cell r="BR31" t="e">
            <v>#DIV/0!</v>
          </cell>
          <cell r="BS31">
            <v>0</v>
          </cell>
          <cell r="BT31" t="e">
            <v>#DIV/0!</v>
          </cell>
          <cell r="BU31">
            <v>9347.98</v>
          </cell>
          <cell r="BV31">
            <v>10535.25</v>
          </cell>
          <cell r="BW31">
            <v>0</v>
          </cell>
          <cell r="BX31">
            <v>1187.2700000000004</v>
          </cell>
          <cell r="BY31">
            <v>0.12700818786518586</v>
          </cell>
          <cell r="BZ31">
            <v>10535.25</v>
          </cell>
          <cell r="CA31" t="e">
            <v>#DIV/0!</v>
          </cell>
          <cell r="CB31">
            <v>0</v>
          </cell>
          <cell r="CC31" t="e">
            <v>#DIV/0!</v>
          </cell>
        </row>
        <row r="32">
          <cell r="B32">
            <v>39569</v>
          </cell>
          <cell r="C32">
            <v>39569</v>
          </cell>
          <cell r="D32" t="str">
            <v>DINAMITAS</v>
          </cell>
          <cell r="E32">
            <v>0.89202643154911432</v>
          </cell>
          <cell r="F32" t="str">
            <v>c</v>
          </cell>
          <cell r="G32" t="str">
            <v>g</v>
          </cell>
          <cell r="H32" t="str">
            <v>c</v>
          </cell>
          <cell r="I32">
            <v>0.90000000000000036</v>
          </cell>
          <cell r="J32">
            <v>0.84999999999999964</v>
          </cell>
          <cell r="K32">
            <v>0.88167317708333337</v>
          </cell>
          <cell r="L32" t="str">
            <v>c</v>
          </cell>
          <cell r="M32" t="str">
            <v>g</v>
          </cell>
          <cell r="N32" t="str">
            <v>c</v>
          </cell>
          <cell r="O32">
            <v>0.90000000000000036</v>
          </cell>
          <cell r="P32">
            <v>0.84999999999999964</v>
          </cell>
          <cell r="Q32">
            <v>0.89593630365291088</v>
          </cell>
          <cell r="R32" t="str">
            <v>c</v>
          </cell>
          <cell r="S32" t="str">
            <v>g</v>
          </cell>
          <cell r="T32" t="str">
            <v>c</v>
          </cell>
          <cell r="U32">
            <v>0.90000000000000036</v>
          </cell>
          <cell r="V32">
            <v>0.84999999999999964</v>
          </cell>
          <cell r="W32">
            <v>0.88798741963316541</v>
          </cell>
          <cell r="X32" t="str">
            <v>c</v>
          </cell>
          <cell r="Y32" t="str">
            <v>g</v>
          </cell>
          <cell r="Z32" t="str">
            <v>c</v>
          </cell>
          <cell r="AA32">
            <v>0.90000000000000036</v>
          </cell>
          <cell r="AB32">
            <v>0.84999999999999964</v>
          </cell>
          <cell r="AC32">
            <v>12327535</v>
          </cell>
          <cell r="AD32">
            <v>921352</v>
          </cell>
          <cell r="AE32">
            <v>570820</v>
          </cell>
          <cell r="AF32">
            <v>0</v>
          </cell>
          <cell r="AG32">
            <v>5417</v>
          </cell>
          <cell r="AH32">
            <v>449</v>
          </cell>
          <cell r="AI32">
            <v>278</v>
          </cell>
          <cell r="AJ32">
            <v>0</v>
          </cell>
          <cell r="AK32">
            <v>35436733.199999988</v>
          </cell>
          <cell r="AL32">
            <v>2562016.3129154444</v>
          </cell>
          <cell r="AM32">
            <v>1553997.724673179</v>
          </cell>
          <cell r="AN32">
            <v>0</v>
          </cell>
          <cell r="AO32">
            <v>15952.25</v>
          </cell>
          <cell r="AP32">
            <v>1256.1999999999998</v>
          </cell>
          <cell r="AQ32">
            <v>755.30000000000018</v>
          </cell>
          <cell r="AR32">
            <v>0</v>
          </cell>
          <cell r="AS32"/>
          <cell r="AT32">
            <v>39569</v>
          </cell>
          <cell r="AU32" t="str">
            <v>DINAMITAS</v>
          </cell>
          <cell r="AV32">
            <v>8990836.9200000018</v>
          </cell>
          <cell r="AW32">
            <v>12327535</v>
          </cell>
          <cell r="AX32">
            <v>0</v>
          </cell>
          <cell r="AY32">
            <v>3336698.0799999982</v>
          </cell>
          <cell r="AZ32">
            <v>0.37112207792108376</v>
          </cell>
          <cell r="BA32">
            <v>12327535</v>
          </cell>
          <cell r="BB32" t="e">
            <v>#DIV/0!</v>
          </cell>
          <cell r="BC32"/>
          <cell r="BD32">
            <v>5061.18</v>
          </cell>
          <cell r="BE32">
            <v>5417</v>
          </cell>
          <cell r="BF32">
            <v>0</v>
          </cell>
          <cell r="BG32">
            <v>355.81999999999971</v>
          </cell>
          <cell r="BH32">
            <v>7.0303763154047072E-2</v>
          </cell>
          <cell r="BI32">
            <v>5417</v>
          </cell>
          <cell r="BJ32">
            <v>-1</v>
          </cell>
          <cell r="BK32"/>
          <cell r="BL32">
            <v>25649147.920000002</v>
          </cell>
          <cell r="BM32">
            <v>35436733.199999988</v>
          </cell>
          <cell r="BN32">
            <v>0</v>
          </cell>
          <cell r="BO32">
            <v>9787585.2799999863</v>
          </cell>
          <cell r="BP32">
            <v>0.38159494851554454</v>
          </cell>
          <cell r="BQ32">
            <v>35436733.199999988</v>
          </cell>
          <cell r="BR32" t="e">
            <v>#DIV/0!</v>
          </cell>
          <cell r="BS32">
            <v>0</v>
          </cell>
          <cell r="BT32" t="e">
            <v>#DIV/0!</v>
          </cell>
          <cell r="BU32">
            <v>14409.16</v>
          </cell>
          <cell r="BV32">
            <v>15952.25</v>
          </cell>
          <cell r="BW32">
            <v>0</v>
          </cell>
          <cell r="BX32">
            <v>1543.0900000000001</v>
          </cell>
          <cell r="BY32">
            <v>0.10709090606253246</v>
          </cell>
          <cell r="BZ32">
            <v>15952.25</v>
          </cell>
          <cell r="CA32" t="e">
            <v>#DIV/0!</v>
          </cell>
          <cell r="CB32">
            <v>0</v>
          </cell>
          <cell r="CC32" t="e">
            <v>#DIV/0!</v>
          </cell>
        </row>
        <row r="33">
          <cell r="B33">
            <v>39600</v>
          </cell>
          <cell r="C33">
            <v>39600</v>
          </cell>
          <cell r="D33" t="str">
            <v>DINAMITAS</v>
          </cell>
          <cell r="E33">
            <v>0.89130541174798372</v>
          </cell>
          <cell r="F33" t="str">
            <v>c</v>
          </cell>
          <cell r="G33" t="str">
            <v>g</v>
          </cell>
          <cell r="H33" t="str">
            <v>c</v>
          </cell>
          <cell r="I33">
            <v>0.90000000000000036</v>
          </cell>
          <cell r="J33">
            <v>0.84999999999999964</v>
          </cell>
          <cell r="K33">
            <v>0.88010503905384185</v>
          </cell>
          <cell r="L33" t="str">
            <v>c</v>
          </cell>
          <cell r="M33" t="str">
            <v>g</v>
          </cell>
          <cell r="N33" t="str">
            <v>c</v>
          </cell>
          <cell r="O33">
            <v>0.90000000000000036</v>
          </cell>
          <cell r="P33">
            <v>0.84999999999999964</v>
          </cell>
          <cell r="Q33">
            <v>0.89455321906894336</v>
          </cell>
          <cell r="R33" t="str">
            <v>c</v>
          </cell>
          <cell r="S33" t="str">
            <v>g</v>
          </cell>
          <cell r="T33" t="str">
            <v>c</v>
          </cell>
          <cell r="U33">
            <v>0.90000000000000036</v>
          </cell>
          <cell r="V33">
            <v>0.84999999999999964</v>
          </cell>
          <cell r="W33">
            <v>0.88567790990324402</v>
          </cell>
          <cell r="X33" t="str">
            <v>c</v>
          </cell>
          <cell r="Y33" t="str">
            <v>g</v>
          </cell>
          <cell r="Z33" t="str">
            <v>c</v>
          </cell>
          <cell r="AA33">
            <v>0.90000000000000036</v>
          </cell>
          <cell r="AB33">
            <v>0.84999999999999964</v>
          </cell>
          <cell r="AC33">
            <v>15012795.602849424</v>
          </cell>
          <cell r="AD33">
            <v>1066980.335470031</v>
          </cell>
          <cell r="AE33">
            <v>763828.29090549704</v>
          </cell>
          <cell r="AF33">
            <v>0</v>
          </cell>
          <cell r="AG33">
            <v>6552.25</v>
          </cell>
          <cell r="AH33">
            <v>520.19999999999982</v>
          </cell>
          <cell r="AI33">
            <v>372.40000000000009</v>
          </cell>
          <cell r="AJ33">
            <v>0</v>
          </cell>
          <cell r="AK33">
            <v>50449528.802849412</v>
          </cell>
          <cell r="AL33">
            <v>3628996.6483854754</v>
          </cell>
          <cell r="AM33">
            <v>2317826.015578676</v>
          </cell>
          <cell r="AN33">
            <v>0</v>
          </cell>
          <cell r="AO33">
            <v>22504.5</v>
          </cell>
          <cell r="AP33">
            <v>1776.3999999999996</v>
          </cell>
          <cell r="AQ33">
            <v>1127.7000000000003</v>
          </cell>
          <cell r="AR33">
            <v>0</v>
          </cell>
          <cell r="AS33"/>
          <cell r="AT33">
            <v>39600</v>
          </cell>
          <cell r="AU33" t="str">
            <v>DINAMITAS</v>
          </cell>
          <cell r="AV33">
            <v>11134585.980000004</v>
          </cell>
          <cell r="AW33">
            <v>15012795.602849424</v>
          </cell>
          <cell r="AX33">
            <v>0</v>
          </cell>
          <cell r="AY33">
            <v>3878209.6228494197</v>
          </cell>
          <cell r="AZ33">
            <v>0.34830299301792444</v>
          </cell>
          <cell r="BA33">
            <v>15012795.602849424</v>
          </cell>
          <cell r="BB33" t="e">
            <v>#DIV/0!</v>
          </cell>
          <cell r="BC33"/>
          <cell r="BD33">
            <v>6150.1549999999988</v>
          </cell>
          <cell r="BE33">
            <v>6552.25</v>
          </cell>
          <cell r="BF33">
            <v>0</v>
          </cell>
          <cell r="BG33">
            <v>402.09500000000116</v>
          </cell>
          <cell r="BH33">
            <v>6.5379653033135199E-2</v>
          </cell>
          <cell r="BI33">
            <v>6552.25</v>
          </cell>
          <cell r="BJ33">
            <v>-1</v>
          </cell>
          <cell r="BK33"/>
          <cell r="BL33">
            <v>36783733.900000006</v>
          </cell>
          <cell r="BM33">
            <v>50449528.802849412</v>
          </cell>
          <cell r="BN33">
            <v>0</v>
          </cell>
          <cell r="BO33">
            <v>13665794.902849406</v>
          </cell>
          <cell r="BP33">
            <v>0.37151733807125553</v>
          </cell>
          <cell r="BQ33">
            <v>50449528.802849412</v>
          </cell>
          <cell r="BR33" t="e">
            <v>#DIV/0!</v>
          </cell>
          <cell r="BS33">
            <v>0</v>
          </cell>
          <cell r="BT33" t="e">
            <v>#DIV/0!</v>
          </cell>
          <cell r="BU33">
            <v>20559.314999999999</v>
          </cell>
          <cell r="BV33">
            <v>22504.5</v>
          </cell>
          <cell r="BW33">
            <v>0</v>
          </cell>
          <cell r="BX33">
            <v>1945.1850000000013</v>
          </cell>
          <cell r="BY33">
            <v>9.461331761296532E-2</v>
          </cell>
          <cell r="BZ33">
            <v>22504.5</v>
          </cell>
          <cell r="CA33" t="e">
            <v>#DIV/0!</v>
          </cell>
          <cell r="CB33">
            <v>0</v>
          </cell>
          <cell r="CC33" t="e">
            <v>#DIV/0!</v>
          </cell>
        </row>
        <row r="34">
          <cell r="B34">
            <v>39630</v>
          </cell>
          <cell r="C34">
            <v>39630</v>
          </cell>
          <cell r="D34" t="str">
            <v>DINAMITAS</v>
          </cell>
          <cell r="E34">
            <v>0.89403544493947174</v>
          </cell>
          <cell r="F34" t="str">
            <v>c</v>
          </cell>
          <cell r="G34" t="str">
            <v>g</v>
          </cell>
          <cell r="H34" t="str">
            <v>c</v>
          </cell>
          <cell r="I34">
            <v>0.89999999999999858</v>
          </cell>
          <cell r="J34">
            <v>0.84999999999999964</v>
          </cell>
          <cell r="K34">
            <v>0.8824058457249131</v>
          </cell>
          <cell r="L34" t="str">
            <v>c</v>
          </cell>
          <cell r="M34" t="str">
            <v>g</v>
          </cell>
          <cell r="N34" t="str">
            <v>c</v>
          </cell>
          <cell r="O34">
            <v>0.89999999999999858</v>
          </cell>
          <cell r="P34">
            <v>0.84999999999999964</v>
          </cell>
          <cell r="Q34">
            <v>0.89441770040484514</v>
          </cell>
          <cell r="R34" t="str">
            <v>c</v>
          </cell>
          <cell r="S34" t="str">
            <v>g</v>
          </cell>
          <cell r="T34" t="str">
            <v>c</v>
          </cell>
          <cell r="U34">
            <v>0.89999999999999858</v>
          </cell>
          <cell r="V34">
            <v>0.84999999999999964</v>
          </cell>
          <cell r="W34">
            <v>0.88483735291851118</v>
          </cell>
          <cell r="X34" t="str">
            <v>c</v>
          </cell>
          <cell r="Y34" t="str">
            <v>g</v>
          </cell>
          <cell r="Z34" t="str">
            <v>c</v>
          </cell>
          <cell r="AA34">
            <v>0.89999999999999858</v>
          </cell>
          <cell r="AB34">
            <v>0.84999999999999964</v>
          </cell>
          <cell r="AC34">
            <v>17875206.883697659</v>
          </cell>
          <cell r="AD34">
            <v>1198106.926870645</v>
          </cell>
          <cell r="AE34">
            <v>920532.05413100682</v>
          </cell>
          <cell r="AF34">
            <v>0</v>
          </cell>
          <cell r="AG34">
            <v>7750.9250000000029</v>
          </cell>
          <cell r="AH34">
            <v>584.13000000000011</v>
          </cell>
          <cell r="AI34">
            <v>448.80000000000018</v>
          </cell>
          <cell r="AJ34">
            <v>0</v>
          </cell>
          <cell r="AK34">
            <v>68324735.686547071</v>
          </cell>
          <cell r="AL34">
            <v>4827103.5752561204</v>
          </cell>
          <cell r="AM34">
            <v>3238358.0697096828</v>
          </cell>
          <cell r="AN34">
            <v>0</v>
          </cell>
          <cell r="AO34">
            <v>30255.425000000003</v>
          </cell>
          <cell r="AP34">
            <v>2360.5299999999997</v>
          </cell>
          <cell r="AQ34">
            <v>1576.5000000000005</v>
          </cell>
          <cell r="AR34">
            <v>0</v>
          </cell>
          <cell r="AS34"/>
          <cell r="AT34">
            <v>39630</v>
          </cell>
          <cell r="AU34" t="str">
            <v>DINAMITAS</v>
          </cell>
          <cell r="AV34">
            <v>12482444</v>
          </cell>
          <cell r="AW34">
            <v>17875206.883697659</v>
          </cell>
          <cell r="AX34">
            <v>0</v>
          </cell>
          <cell r="AY34">
            <v>5392762.8836976588</v>
          </cell>
          <cell r="AZ34">
            <v>0.43202780510753014</v>
          </cell>
          <cell r="BA34">
            <v>17875206.883697659</v>
          </cell>
          <cell r="BB34" t="e">
            <v>#DIV/0!</v>
          </cell>
          <cell r="BC34"/>
          <cell r="BD34">
            <v>7220</v>
          </cell>
          <cell r="BE34">
            <v>7750.9250000000029</v>
          </cell>
          <cell r="BF34">
            <v>0</v>
          </cell>
          <cell r="BG34">
            <v>530.92500000000291</v>
          </cell>
          <cell r="BH34">
            <v>7.3535318559557084E-2</v>
          </cell>
          <cell r="BI34">
            <v>7750.9250000000029</v>
          </cell>
          <cell r="BJ34">
            <v>-1</v>
          </cell>
          <cell r="BK34"/>
          <cell r="BL34">
            <v>49266177.900000006</v>
          </cell>
          <cell r="BM34">
            <v>68324735.686547071</v>
          </cell>
          <cell r="BN34">
            <v>0</v>
          </cell>
          <cell r="BO34">
            <v>19058557.786547065</v>
          </cell>
          <cell r="BP34">
            <v>0.38684871851094149</v>
          </cell>
          <cell r="BQ34">
            <v>68324735.686547071</v>
          </cell>
          <cell r="BR34" t="e">
            <v>#DIV/0!</v>
          </cell>
          <cell r="BS34">
            <v>0</v>
          </cell>
          <cell r="BT34" t="e">
            <v>#DIV/0!</v>
          </cell>
          <cell r="BU34">
            <v>27779.314999999999</v>
          </cell>
          <cell r="BV34">
            <v>30255.425000000003</v>
          </cell>
          <cell r="BW34">
            <v>0</v>
          </cell>
          <cell r="BX34">
            <v>2476.1100000000042</v>
          </cell>
          <cell r="BY34">
            <v>8.913502726759126E-2</v>
          </cell>
          <cell r="BZ34">
            <v>30255.425000000003</v>
          </cell>
          <cell r="CA34" t="e">
            <v>#DIV/0!</v>
          </cell>
          <cell r="CB34">
            <v>0</v>
          </cell>
          <cell r="CC34" t="e">
            <v>#DIV/0!</v>
          </cell>
        </row>
        <row r="35">
          <cell r="B35">
            <v>39661</v>
          </cell>
          <cell r="C35">
            <v>39661</v>
          </cell>
          <cell r="D35" t="str">
            <v>DINAMITAS</v>
          </cell>
          <cell r="E35">
            <v>0.89387848600017394</v>
          </cell>
          <cell r="F35" t="str">
            <v>c</v>
          </cell>
          <cell r="G35" t="str">
            <v>g</v>
          </cell>
          <cell r="H35" t="str">
            <v>c</v>
          </cell>
          <cell r="I35">
            <v>0.89999999999999858</v>
          </cell>
          <cell r="J35">
            <v>0.85000000000000142</v>
          </cell>
          <cell r="K35">
            <v>0.88193674642501441</v>
          </cell>
          <cell r="L35" t="str">
            <v>c</v>
          </cell>
          <cell r="M35" t="str">
            <v>g</v>
          </cell>
          <cell r="N35" t="str">
            <v>c</v>
          </cell>
          <cell r="O35">
            <v>0.89999999999999858</v>
          </cell>
          <cell r="P35">
            <v>0.85000000000000142</v>
          </cell>
          <cell r="Q35">
            <v>0.89429260329227678</v>
          </cell>
          <cell r="R35" t="str">
            <v>c</v>
          </cell>
          <cell r="S35" t="str">
            <v>g</v>
          </cell>
          <cell r="T35" t="str">
            <v>c</v>
          </cell>
          <cell r="U35">
            <v>0.89999999999999858</v>
          </cell>
          <cell r="V35">
            <v>0.85000000000000142</v>
          </cell>
          <cell r="W35">
            <v>0.88417530106361819</v>
          </cell>
          <cell r="X35" t="str">
            <v>c</v>
          </cell>
          <cell r="Y35" t="str">
            <v>g</v>
          </cell>
          <cell r="Z35" t="str">
            <v>c</v>
          </cell>
          <cell r="AA35">
            <v>0.89999999999999858</v>
          </cell>
          <cell r="AB35">
            <v>0.85000000000000142</v>
          </cell>
          <cell r="AC35">
            <v>20627185.770712703</v>
          </cell>
          <cell r="AD35">
            <v>1325274.9022630751</v>
          </cell>
          <cell r="AE35">
            <v>1123590.5954834353</v>
          </cell>
          <cell r="AF35">
            <v>0</v>
          </cell>
          <cell r="AG35">
            <v>8918.6999999999971</v>
          </cell>
          <cell r="AH35">
            <v>646.13000000000011</v>
          </cell>
          <cell r="AI35">
            <v>547.80000000000018</v>
          </cell>
          <cell r="AJ35">
            <v>0</v>
          </cell>
          <cell r="AK35">
            <v>88951921.457259774</v>
          </cell>
          <cell r="AL35">
            <v>6152378.4775191955</v>
          </cell>
          <cell r="AM35">
            <v>4361948.6651931182</v>
          </cell>
          <cell r="AN35">
            <v>0</v>
          </cell>
          <cell r="AO35">
            <v>39174.125</v>
          </cell>
          <cell r="AP35">
            <v>3006.66</v>
          </cell>
          <cell r="AQ35">
            <v>2124.3000000000006</v>
          </cell>
          <cell r="AR35">
            <v>0</v>
          </cell>
          <cell r="AS35"/>
          <cell r="AT35">
            <v>39631</v>
          </cell>
          <cell r="AU35" t="str">
            <v>DINAMITAS</v>
          </cell>
          <cell r="AV35">
            <v>15575906.340000004</v>
          </cell>
          <cell r="AW35">
            <v>0</v>
          </cell>
          <cell r="AX35">
            <v>0</v>
          </cell>
          <cell r="AY35">
            <v>-15575906.340000004</v>
          </cell>
          <cell r="AZ35">
            <v>-1</v>
          </cell>
          <cell r="BA35">
            <v>0</v>
          </cell>
          <cell r="BB35" t="e">
            <v>#DIV/0!</v>
          </cell>
          <cell r="BC35"/>
          <cell r="BD35">
            <v>8296.1000000000022</v>
          </cell>
          <cell r="BE35">
            <v>0</v>
          </cell>
          <cell r="BF35">
            <v>0</v>
          </cell>
          <cell r="BG35">
            <v>-8296.1000000000022</v>
          </cell>
          <cell r="BH35">
            <v>-1</v>
          </cell>
          <cell r="BI35">
            <v>0</v>
          </cell>
          <cell r="BJ35" t="e">
            <v>#DIV/0!</v>
          </cell>
          <cell r="BK35"/>
          <cell r="BL35">
            <v>64842084.24000001</v>
          </cell>
          <cell r="BM35">
            <v>68324735.686547071</v>
          </cell>
          <cell r="BN35">
            <v>0</v>
          </cell>
          <cell r="BO35">
            <v>3482651.4465470612</v>
          </cell>
          <cell r="BP35">
            <v>5.3709739397899803E-2</v>
          </cell>
          <cell r="BQ35">
            <v>68324735.686547071</v>
          </cell>
          <cell r="BR35" t="e">
            <v>#DIV/0!</v>
          </cell>
          <cell r="BS35">
            <v>0</v>
          </cell>
          <cell r="BT35" t="e">
            <v>#DIV/0!</v>
          </cell>
          <cell r="BU35">
            <v>36075.415000000001</v>
          </cell>
          <cell r="BV35">
            <v>30255.425000000003</v>
          </cell>
          <cell r="BW35">
            <v>0</v>
          </cell>
          <cell r="BX35">
            <v>-5819.989999999998</v>
          </cell>
          <cell r="BY35">
            <v>-0.16132842823845539</v>
          </cell>
          <cell r="BZ35">
            <v>30255.425000000003</v>
          </cell>
          <cell r="CA35" t="e">
            <v>#DIV/0!</v>
          </cell>
          <cell r="CB35">
            <v>0</v>
          </cell>
          <cell r="CC35" t="e">
            <v>#DIV/0!</v>
          </cell>
        </row>
        <row r="36">
          <cell r="B36">
            <v>39692</v>
          </cell>
          <cell r="C36">
            <v>39692</v>
          </cell>
          <cell r="D36" t="str">
            <v>DINAMITAS</v>
          </cell>
          <cell r="E36">
            <v>0.89396123573886477</v>
          </cell>
          <cell r="F36" t="str">
            <v>c</v>
          </cell>
          <cell r="G36" t="str">
            <v>g</v>
          </cell>
          <cell r="H36" t="str">
            <v>c</v>
          </cell>
          <cell r="I36">
            <v>0.89999999999999858</v>
          </cell>
          <cell r="J36">
            <v>0.85000000000000142</v>
          </cell>
          <cell r="K36">
            <v>0.88190747080232879</v>
          </cell>
          <cell r="L36" t="str">
            <v>c</v>
          </cell>
          <cell r="M36" t="str">
            <v>g</v>
          </cell>
          <cell r="N36" t="str">
            <v>c</v>
          </cell>
          <cell r="O36">
            <v>0.89999999999999858</v>
          </cell>
          <cell r="P36">
            <v>0.85000000000000142</v>
          </cell>
          <cell r="Q36">
            <v>0.89422352385047421</v>
          </cell>
          <cell r="R36" t="str">
            <v>c</v>
          </cell>
          <cell r="S36" t="str">
            <v>g</v>
          </cell>
          <cell r="T36" t="str">
            <v>c</v>
          </cell>
          <cell r="U36">
            <v>0.89999999999999858</v>
          </cell>
          <cell r="V36">
            <v>0.85000000000000142</v>
          </cell>
          <cell r="W36">
            <v>0.88370898631204409</v>
          </cell>
          <cell r="X36" t="str">
            <v>c</v>
          </cell>
          <cell r="Y36" t="str">
            <v>g</v>
          </cell>
          <cell r="Z36" t="str">
            <v>c</v>
          </cell>
          <cell r="AA36">
            <v>0.89999999999999858</v>
          </cell>
          <cell r="AB36">
            <v>0.85000000000000142</v>
          </cell>
          <cell r="AC36">
            <v>23418797.723821044</v>
          </cell>
          <cell r="AD36">
            <v>1502489.629261557</v>
          </cell>
          <cell r="AE36">
            <v>1275371.7274034321</v>
          </cell>
          <cell r="AF36">
            <v>0</v>
          </cell>
          <cell r="AG36">
            <v>10114.050000000003</v>
          </cell>
          <cell r="AH36">
            <v>732.52999999999975</v>
          </cell>
          <cell r="AI36">
            <v>621.80000000000018</v>
          </cell>
          <cell r="AJ36">
            <v>0</v>
          </cell>
          <cell r="AK36">
            <v>112370719.18108082</v>
          </cell>
          <cell r="AL36">
            <v>7654868.1067807525</v>
          </cell>
          <cell r="AM36">
            <v>5637320.3925965503</v>
          </cell>
          <cell r="AN36">
            <v>0</v>
          </cell>
          <cell r="AO36">
            <v>49288.175000000003</v>
          </cell>
          <cell r="AP36">
            <v>3739.1899999999996</v>
          </cell>
          <cell r="AQ36">
            <v>2746.1000000000008</v>
          </cell>
          <cell r="AR36">
            <v>0</v>
          </cell>
          <cell r="AS36"/>
          <cell r="AT36">
            <v>39692</v>
          </cell>
          <cell r="AU36" t="str">
            <v>DINAMITAS</v>
          </cell>
          <cell r="AV36">
            <v>17873387.799999997</v>
          </cell>
          <cell r="AW36">
            <v>23418797.723821044</v>
          </cell>
          <cell r="AX36">
            <v>0</v>
          </cell>
          <cell r="AY36">
            <v>5545409.9238210469</v>
          </cell>
          <cell r="AZ36">
            <v>0.31026070635702574</v>
          </cell>
          <cell r="BA36">
            <v>23418797.723821044</v>
          </cell>
          <cell r="BB36" t="e">
            <v>#DIV/0!</v>
          </cell>
          <cell r="BC36"/>
          <cell r="BD36">
            <v>9379.7000000000044</v>
          </cell>
          <cell r="BE36">
            <v>10114.050000000003</v>
          </cell>
          <cell r="BF36">
            <v>0</v>
          </cell>
          <cell r="BG36">
            <v>734.34999999999854</v>
          </cell>
          <cell r="BH36">
            <v>7.8291416569826078E-2</v>
          </cell>
          <cell r="BI36">
            <v>10114.050000000003</v>
          </cell>
          <cell r="BJ36">
            <v>-1</v>
          </cell>
          <cell r="BK36"/>
          <cell r="BL36">
            <v>82715472.040000007</v>
          </cell>
          <cell r="BM36">
            <v>91743533.410368115</v>
          </cell>
          <cell r="BN36">
            <v>0</v>
          </cell>
          <cell r="BO36">
            <v>9028061.3703681082</v>
          </cell>
          <cell r="BP36">
            <v>0.10914598137096121</v>
          </cell>
          <cell r="BQ36">
            <v>91743533.410368115</v>
          </cell>
          <cell r="BR36" t="e">
            <v>#DIV/0!</v>
          </cell>
          <cell r="BS36">
            <v>0</v>
          </cell>
          <cell r="BT36" t="e">
            <v>#DIV/0!</v>
          </cell>
          <cell r="BU36">
            <v>45455.115000000005</v>
          </cell>
          <cell r="BV36">
            <v>40369.475000000006</v>
          </cell>
          <cell r="BW36">
            <v>0</v>
          </cell>
          <cell r="BX36">
            <v>-5085.6399999999994</v>
          </cell>
          <cell r="BY36">
            <v>-0.11188267811004327</v>
          </cell>
          <cell r="BZ36">
            <v>40369.475000000006</v>
          </cell>
          <cell r="CA36" t="e">
            <v>#DIV/0!</v>
          </cell>
          <cell r="CB36">
            <v>0</v>
          </cell>
          <cell r="CC36" t="e">
            <v>#DIV/0!</v>
          </cell>
        </row>
        <row r="37">
          <cell r="B37">
            <v>39722</v>
          </cell>
          <cell r="C37">
            <v>39722</v>
          </cell>
          <cell r="D37" t="str">
            <v>DINAMITAS</v>
          </cell>
          <cell r="E37">
            <v>0.8907904561006319</v>
          </cell>
          <cell r="F37" t="str">
            <v>c</v>
          </cell>
          <cell r="G37" t="str">
            <v>g</v>
          </cell>
          <cell r="H37" t="str">
            <v>c</v>
          </cell>
          <cell r="I37">
            <v>0.89999999999999858</v>
          </cell>
          <cell r="J37">
            <v>0.85000000000000142</v>
          </cell>
          <cell r="K37">
            <v>0.87762723269614318</v>
          </cell>
          <cell r="L37" t="str">
            <v>c</v>
          </cell>
          <cell r="M37" t="str">
            <v>g</v>
          </cell>
          <cell r="N37" t="str">
            <v>c</v>
          </cell>
          <cell r="O37">
            <v>0.89999999999999858</v>
          </cell>
          <cell r="P37">
            <v>0.85000000000000142</v>
          </cell>
          <cell r="Q37">
            <v>0.89356941747462992</v>
          </cell>
          <cell r="R37" t="str">
            <v>c</v>
          </cell>
          <cell r="S37" t="str">
            <v>g</v>
          </cell>
          <cell r="T37" t="str">
            <v>c</v>
          </cell>
          <cell r="U37">
            <v>0.89999999999999858</v>
          </cell>
          <cell r="V37">
            <v>0.85000000000000142</v>
          </cell>
          <cell r="W37">
            <v>0.88256876136347162</v>
          </cell>
          <cell r="X37" t="str">
            <v>c</v>
          </cell>
          <cell r="Y37" t="str">
            <v>g</v>
          </cell>
          <cell r="Z37" t="str">
            <v>c</v>
          </cell>
          <cell r="AA37">
            <v>0.89999999999999858</v>
          </cell>
          <cell r="AB37">
            <v>0.85000000000000142</v>
          </cell>
          <cell r="AC37">
            <v>26348051.118760586</v>
          </cell>
          <cell r="AD37">
            <v>1619402.1227675006</v>
          </cell>
          <cell r="AE37">
            <v>1610828.5399103984</v>
          </cell>
          <cell r="AF37">
            <v>0</v>
          </cell>
          <cell r="AG37">
            <v>11294.649999999994</v>
          </cell>
          <cell r="AH37">
            <v>789.52999999999975</v>
          </cell>
          <cell r="AI37">
            <v>785.35000000000036</v>
          </cell>
          <cell r="AJ37">
            <v>0</v>
          </cell>
          <cell r="AK37">
            <v>138718770.2998414</v>
          </cell>
          <cell r="AL37">
            <v>9274270.2295482531</v>
          </cell>
          <cell r="AM37">
            <v>7248148.9325069487</v>
          </cell>
          <cell r="AN37">
            <v>0</v>
          </cell>
          <cell r="AO37">
            <v>60582.824999999997</v>
          </cell>
          <cell r="AP37">
            <v>4528.7199999999993</v>
          </cell>
          <cell r="AQ37">
            <v>3531.4500000000012</v>
          </cell>
          <cell r="AR37">
            <v>0</v>
          </cell>
          <cell r="AS37"/>
          <cell r="AT37">
            <v>39693</v>
          </cell>
          <cell r="AU37" t="str">
            <v>DINAMITAS</v>
          </cell>
          <cell r="AV37">
            <v>20434026.399999991</v>
          </cell>
          <cell r="AW37">
            <v>0</v>
          </cell>
          <cell r="AX37">
            <v>0</v>
          </cell>
          <cell r="AY37">
            <v>-20434026.399999991</v>
          </cell>
          <cell r="AZ37">
            <v>-1</v>
          </cell>
          <cell r="BA37">
            <v>0</v>
          </cell>
          <cell r="BB37" t="e">
            <v>#DIV/0!</v>
          </cell>
          <cell r="BC37"/>
          <cell r="BD37">
            <v>10588.175000000003</v>
          </cell>
          <cell r="BE37">
            <v>0</v>
          </cell>
          <cell r="BF37">
            <v>0</v>
          </cell>
          <cell r="BG37">
            <v>-10588.175000000003</v>
          </cell>
          <cell r="BH37">
            <v>-1</v>
          </cell>
          <cell r="BI37">
            <v>0</v>
          </cell>
          <cell r="BJ37" t="e">
            <v>#DIV/0!</v>
          </cell>
          <cell r="BK37"/>
          <cell r="BL37">
            <v>103149498.44</v>
          </cell>
          <cell r="BM37">
            <v>91743533.410368115</v>
          </cell>
          <cell r="BN37">
            <v>0</v>
          </cell>
          <cell r="BO37">
            <v>-11405965.029631883</v>
          </cell>
          <cell r="BP37">
            <v>-0.11057702850844697</v>
          </cell>
          <cell r="BQ37">
            <v>91743533.410368115</v>
          </cell>
          <cell r="BR37" t="e">
            <v>#DIV/0!</v>
          </cell>
          <cell r="BS37">
            <v>0</v>
          </cell>
          <cell r="BT37" t="e">
            <v>#DIV/0!</v>
          </cell>
          <cell r="BU37">
            <v>56043.290000000008</v>
          </cell>
          <cell r="BV37">
            <v>40369.475000000006</v>
          </cell>
          <cell r="BW37">
            <v>0</v>
          </cell>
          <cell r="BX37">
            <v>-15673.815000000002</v>
          </cell>
          <cell r="BY37">
            <v>-0.27967335607884547</v>
          </cell>
          <cell r="BZ37">
            <v>40369.475000000006</v>
          </cell>
          <cell r="CA37" t="e">
            <v>#DIV/0!</v>
          </cell>
          <cell r="CB37">
            <v>0</v>
          </cell>
          <cell r="CC37" t="e">
            <v>#DIV/0!</v>
          </cell>
        </row>
        <row r="38">
          <cell r="B38">
            <v>39753</v>
          </cell>
          <cell r="C38">
            <v>39753</v>
          </cell>
          <cell r="D38" t="str">
            <v>DINAMITAS</v>
          </cell>
          <cell r="E38">
            <v>0.89056596713724101</v>
          </cell>
          <cell r="F38" t="str">
            <v>c</v>
          </cell>
          <cell r="G38" t="str">
            <v>g</v>
          </cell>
          <cell r="H38" t="str">
            <v>c</v>
          </cell>
          <cell r="I38">
            <v>0.89999999999999858</v>
          </cell>
          <cell r="J38">
            <v>0.85000000000000142</v>
          </cell>
          <cell r="K38">
            <v>0.87689698876669986</v>
          </cell>
          <cell r="L38" t="str">
            <v>c</v>
          </cell>
          <cell r="M38" t="str">
            <v>g</v>
          </cell>
          <cell r="N38" t="str">
            <v>c</v>
          </cell>
          <cell r="O38">
            <v>0.89999999999999858</v>
          </cell>
          <cell r="P38">
            <v>0.85000000000000142</v>
          </cell>
          <cell r="Q38">
            <v>0.89306080141087352</v>
          </cell>
          <cell r="R38" t="str">
            <v>c</v>
          </cell>
          <cell r="S38" t="str">
            <v>g</v>
          </cell>
          <cell r="T38" t="str">
            <v>c</v>
          </cell>
          <cell r="U38">
            <v>0.89999999999999858</v>
          </cell>
          <cell r="V38">
            <v>0.85000000000000142</v>
          </cell>
          <cell r="W38">
            <v>0.88162415136858618</v>
          </cell>
          <cell r="X38" t="str">
            <v>c</v>
          </cell>
          <cell r="Y38" t="str">
            <v>g</v>
          </cell>
          <cell r="Z38" t="str">
            <v>c</v>
          </cell>
          <cell r="AA38">
            <v>0.89999999999999858</v>
          </cell>
          <cell r="AB38">
            <v>0.85000000000000142</v>
          </cell>
          <cell r="AC38">
            <v>28185218.055179238</v>
          </cell>
          <cell r="AD38">
            <v>1707599.2669912819</v>
          </cell>
          <cell r="AE38">
            <v>1755841.0537853129</v>
          </cell>
          <cell r="AF38">
            <v>0</v>
          </cell>
          <cell r="AG38">
            <v>12028.225000000006</v>
          </cell>
          <cell r="AH38">
            <v>832.52999999999975</v>
          </cell>
          <cell r="AI38">
            <v>856.05000000000018</v>
          </cell>
          <cell r="AJ38">
            <v>0</v>
          </cell>
          <cell r="AK38">
            <v>166903988.35502064</v>
          </cell>
          <cell r="AL38">
            <v>10981869.496539535</v>
          </cell>
          <cell r="AM38">
            <v>9003989.9862922616</v>
          </cell>
          <cell r="AN38">
            <v>0</v>
          </cell>
          <cell r="AO38">
            <v>72611.05</v>
          </cell>
          <cell r="AP38">
            <v>5361.2499999999991</v>
          </cell>
          <cell r="AQ38">
            <v>4387.5000000000018</v>
          </cell>
          <cell r="AR38">
            <v>0</v>
          </cell>
          <cell r="AS38"/>
          <cell r="AT38">
            <v>39694</v>
          </cell>
          <cell r="AU38" t="str">
            <v>DINAMITAS</v>
          </cell>
          <cell r="AV38">
            <v>22945585.730000004</v>
          </cell>
          <cell r="AW38">
            <v>0</v>
          </cell>
          <cell r="AX38">
            <v>0</v>
          </cell>
          <cell r="AY38">
            <v>-22945585.730000004</v>
          </cell>
          <cell r="AZ38">
            <v>-1</v>
          </cell>
          <cell r="BA38">
            <v>0</v>
          </cell>
          <cell r="BB38" t="e">
            <v>#DIV/0!</v>
          </cell>
          <cell r="BC38"/>
          <cell r="BD38">
            <v>11766.300000000003</v>
          </cell>
          <cell r="BE38">
            <v>0</v>
          </cell>
          <cell r="BF38">
            <v>0</v>
          </cell>
          <cell r="BG38">
            <v>-11766.300000000003</v>
          </cell>
          <cell r="BH38">
            <v>-1</v>
          </cell>
          <cell r="BI38">
            <v>0</v>
          </cell>
          <cell r="BJ38" t="e">
            <v>#DIV/0!</v>
          </cell>
          <cell r="BK38"/>
          <cell r="BL38">
            <v>126095084.17</v>
          </cell>
          <cell r="BM38">
            <v>91743533.410368115</v>
          </cell>
          <cell r="BN38">
            <v>0</v>
          </cell>
          <cell r="BO38">
            <v>-34351550.759631887</v>
          </cell>
          <cell r="BP38">
            <v>-0.27242577286612935</v>
          </cell>
          <cell r="BQ38">
            <v>91743533.410368115</v>
          </cell>
          <cell r="BR38" t="e">
            <v>#DIV/0!</v>
          </cell>
          <cell r="BS38">
            <v>0</v>
          </cell>
          <cell r="BT38" t="e">
            <v>#DIV/0!</v>
          </cell>
          <cell r="BU38">
            <v>67809.590000000011</v>
          </cell>
          <cell r="BV38">
            <v>40369.475000000006</v>
          </cell>
          <cell r="BW38">
            <v>0</v>
          </cell>
          <cell r="BX38">
            <v>-27440.115000000005</v>
          </cell>
          <cell r="BY38">
            <v>-0.40466422227298526</v>
          </cell>
          <cell r="BZ38">
            <v>40369.475000000006</v>
          </cell>
          <cell r="CA38" t="e">
            <v>#DIV/0!</v>
          </cell>
          <cell r="CB38">
            <v>0</v>
          </cell>
          <cell r="CC38" t="e">
            <v>#DIV/0!</v>
          </cell>
        </row>
        <row r="39">
          <cell r="B39">
            <v>39783</v>
          </cell>
          <cell r="C39">
            <v>39783</v>
          </cell>
          <cell r="D39" t="str">
            <v>DINAMITAS</v>
          </cell>
          <cell r="E39">
            <v>0.89908120702760119</v>
          </cell>
          <cell r="F39" t="str">
            <v>c</v>
          </cell>
          <cell r="G39" t="str">
            <v>g</v>
          </cell>
          <cell r="H39" t="str">
            <v>c</v>
          </cell>
          <cell r="I39">
            <v>0.89999999999999858</v>
          </cell>
          <cell r="J39">
            <v>0.85000000000000142</v>
          </cell>
          <cell r="K39">
            <v>0.88585851802638582</v>
          </cell>
          <cell r="L39" t="str">
            <v>c</v>
          </cell>
          <cell r="M39" t="str">
            <v>g</v>
          </cell>
          <cell r="N39" t="str">
            <v>c</v>
          </cell>
          <cell r="O39">
            <v>0.89999999999999858</v>
          </cell>
          <cell r="P39">
            <v>0.85000000000000142</v>
          </cell>
          <cell r="Q39">
            <v>0.89398810030895648</v>
          </cell>
          <cell r="R39" t="str">
            <v>c</v>
          </cell>
          <cell r="S39" t="str">
            <v>g</v>
          </cell>
          <cell r="T39" t="str">
            <v>c</v>
          </cell>
          <cell r="U39">
            <v>0.89999999999999858</v>
          </cell>
          <cell r="V39">
            <v>0.85000000000000142</v>
          </cell>
          <cell r="W39">
            <v>0.88226426182325801</v>
          </cell>
          <cell r="X39" t="str">
            <v>c</v>
          </cell>
          <cell r="Y39" t="str">
            <v>g</v>
          </cell>
          <cell r="Z39" t="str">
            <v>c</v>
          </cell>
          <cell r="AA39">
            <v>0.89999999999999858</v>
          </cell>
          <cell r="AB39">
            <v>0.85000000000000142</v>
          </cell>
          <cell r="AC39">
            <v>30592965.332987607</v>
          </cell>
          <cell r="AD39">
            <v>1722931.2124115787</v>
          </cell>
          <cell r="AE39">
            <v>1711024.5979413688</v>
          </cell>
          <cell r="AF39">
            <v>0</v>
          </cell>
          <cell r="AG39">
            <v>12993.600000000006</v>
          </cell>
          <cell r="AH39">
            <v>840.00500000000011</v>
          </cell>
          <cell r="AI39">
            <v>834.19999999999982</v>
          </cell>
          <cell r="AJ39">
            <v>0</v>
          </cell>
          <cell r="AK39">
            <v>197496953.68800825</v>
          </cell>
          <cell r="AL39">
            <v>12704800.708951114</v>
          </cell>
          <cell r="AM39">
            <v>10715014.58423363</v>
          </cell>
          <cell r="AN39">
            <v>0</v>
          </cell>
          <cell r="AO39">
            <v>85604.650000000009</v>
          </cell>
          <cell r="AP39">
            <v>6201.2549999999992</v>
          </cell>
          <cell r="AQ39">
            <v>5221.7000000000007</v>
          </cell>
          <cell r="AR39">
            <v>0</v>
          </cell>
          <cell r="AS39"/>
          <cell r="AT39">
            <v>39783</v>
          </cell>
          <cell r="AU39" t="str">
            <v>DINAMITAS</v>
          </cell>
          <cell r="AV39">
            <v>25854397.260000005</v>
          </cell>
          <cell r="AW39">
            <v>30592965.332987577</v>
          </cell>
          <cell r="AX39">
            <v>0</v>
          </cell>
          <cell r="AY39">
            <v>4738568.0729875714</v>
          </cell>
          <cell r="AZ39">
            <v>0.18327899990609064</v>
          </cell>
          <cell r="BA39">
            <v>30592965.332987577</v>
          </cell>
          <cell r="BB39" t="e">
            <v>#DIV/0!</v>
          </cell>
          <cell r="BC39"/>
          <cell r="BD39">
            <v>13133.5</v>
          </cell>
          <cell r="BE39">
            <v>12993.599999999991</v>
          </cell>
          <cell r="BF39">
            <v>0</v>
          </cell>
          <cell r="BG39">
            <v>-139.90000000000873</v>
          </cell>
          <cell r="BH39">
            <v>-1.0652149084403151E-2</v>
          </cell>
          <cell r="BI39">
            <v>12993.599999999991</v>
          </cell>
          <cell r="BJ39">
            <v>-1</v>
          </cell>
          <cell r="BK39"/>
          <cell r="BL39">
            <v>151949481.43000001</v>
          </cell>
          <cell r="BM39">
            <v>122336498.74335569</v>
          </cell>
          <cell r="BN39">
            <v>0</v>
          </cell>
          <cell r="BO39">
            <v>-29612982.686644316</v>
          </cell>
          <cell r="BP39">
            <v>-0.19488702697736027</v>
          </cell>
          <cell r="BQ39">
            <v>122336498.74335569</v>
          </cell>
          <cell r="BR39" t="e">
            <v>#DIV/0!</v>
          </cell>
          <cell r="BS39">
            <v>0</v>
          </cell>
          <cell r="BT39" t="e">
            <v>#DIV/0!</v>
          </cell>
          <cell r="BU39">
            <v>80943.090000000011</v>
          </cell>
          <cell r="BV39">
            <v>53363.074999999997</v>
          </cell>
          <cell r="BW39">
            <v>0</v>
          </cell>
          <cell r="BX39">
            <v>-27580.015000000014</v>
          </cell>
          <cell r="BY39">
            <v>-0.34073340911497219</v>
          </cell>
          <cell r="BZ39">
            <v>53363.074999999997</v>
          </cell>
          <cell r="CA39" t="e">
            <v>#DIV/0!</v>
          </cell>
          <cell r="CB39">
            <v>0</v>
          </cell>
          <cell r="CC39" t="e">
            <v>#DIV/0!</v>
          </cell>
        </row>
        <row r="40">
          <cell r="B40">
            <v>39814</v>
          </cell>
          <cell r="C40"/>
          <cell r="D40" t="str">
            <v>DINAMITAS</v>
          </cell>
          <cell r="E40" t="str">
            <v/>
          </cell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  <cell r="L40" t="str">
            <v/>
          </cell>
          <cell r="M40" t="str">
            <v/>
          </cell>
          <cell r="N40" t="str">
            <v/>
          </cell>
          <cell r="O40" t="str">
            <v/>
          </cell>
          <cell r="P40" t="str">
            <v/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 t="str">
            <v/>
          </cell>
          <cell r="AA40" t="str">
            <v/>
          </cell>
          <cell r="AB40" t="str">
            <v/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 t="str">
            <v/>
          </cell>
          <cell r="AJ40" t="str">
            <v/>
          </cell>
          <cell r="AK40" t="str">
            <v/>
          </cell>
          <cell r="AL40" t="str">
            <v/>
          </cell>
          <cell r="AM40" t="str">
            <v/>
          </cell>
          <cell r="AN40" t="str">
            <v/>
          </cell>
          <cell r="AO40" t="str">
            <v/>
          </cell>
          <cell r="AP40" t="str">
            <v/>
          </cell>
          <cell r="AQ40" t="str">
            <v/>
          </cell>
          <cell r="AR40" t="str">
            <v/>
          </cell>
          <cell r="AS40"/>
          <cell r="AT40">
            <v>39814</v>
          </cell>
          <cell r="AU40" t="str">
            <v>DINAMITAS</v>
          </cell>
          <cell r="AV40">
            <v>2405435</v>
          </cell>
          <cell r="AW40" t="str">
            <v/>
          </cell>
          <cell r="AX40" t="str">
            <v/>
          </cell>
          <cell r="AY40" t="str">
            <v/>
          </cell>
          <cell r="AZ40" t="str">
            <v/>
          </cell>
          <cell r="BA40" t="str">
            <v/>
          </cell>
          <cell r="BB40" t="str">
            <v/>
          </cell>
          <cell r="BC40"/>
          <cell r="BD40">
            <v>1119</v>
          </cell>
          <cell r="BE40" t="str">
            <v/>
          </cell>
          <cell r="BF40" t="str">
            <v/>
          </cell>
          <cell r="BG40" t="str">
            <v/>
          </cell>
          <cell r="BH40" t="str">
            <v/>
          </cell>
          <cell r="BI40" t="str">
            <v/>
          </cell>
          <cell r="BJ40" t="str">
            <v/>
          </cell>
          <cell r="BK40"/>
          <cell r="BL40">
            <v>2405435</v>
          </cell>
          <cell r="BM40" t="str">
            <v/>
          </cell>
          <cell r="BN40" t="str">
            <v/>
          </cell>
          <cell r="BO40" t="str">
            <v/>
          </cell>
          <cell r="BP40" t="str">
            <v/>
          </cell>
          <cell r="BQ40" t="str">
            <v/>
          </cell>
          <cell r="BR40" t="str">
            <v/>
          </cell>
          <cell r="BS40">
            <v>0</v>
          </cell>
          <cell r="BT40" t="str">
            <v/>
          </cell>
          <cell r="BU40">
            <v>1119</v>
          </cell>
          <cell r="BV40" t="str">
            <v/>
          </cell>
          <cell r="BW40" t="str">
            <v/>
          </cell>
          <cell r="BX40" t="str">
            <v/>
          </cell>
          <cell r="BY40" t="str">
            <v/>
          </cell>
          <cell r="BZ40" t="str">
            <v/>
          </cell>
          <cell r="CA40" t="str">
            <v/>
          </cell>
          <cell r="CB40">
            <v>0</v>
          </cell>
          <cell r="CC40" t="str">
            <v/>
          </cell>
        </row>
        <row r="41">
          <cell r="B41">
            <v>39845</v>
          </cell>
          <cell r="C41"/>
          <cell r="D41" t="str">
            <v>DINAMITAS</v>
          </cell>
          <cell r="E41" t="str">
            <v/>
          </cell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  <cell r="J41" t="str">
            <v/>
          </cell>
          <cell r="K41" t="str">
            <v/>
          </cell>
          <cell r="L41" t="str">
            <v/>
          </cell>
          <cell r="M41" t="str">
            <v/>
          </cell>
          <cell r="N41" t="str">
            <v/>
          </cell>
          <cell r="O41" t="str">
            <v/>
          </cell>
          <cell r="P41" t="str">
            <v/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/>
          <cell r="V41"/>
          <cell r="W41" t="str">
            <v/>
          </cell>
          <cell r="X41" t="str">
            <v/>
          </cell>
          <cell r="Y41" t="str">
            <v/>
          </cell>
          <cell r="Z41" t="str">
            <v/>
          </cell>
          <cell r="AA41"/>
          <cell r="AB41"/>
          <cell r="AC41"/>
          <cell r="AD41"/>
          <cell r="AE41"/>
          <cell r="AF41"/>
          <cell r="AG41"/>
          <cell r="AH41"/>
          <cell r="AI41"/>
          <cell r="AJ41"/>
          <cell r="AK41" t="str">
            <v/>
          </cell>
          <cell r="AL41" t="str">
            <v/>
          </cell>
          <cell r="AM41" t="str">
            <v/>
          </cell>
          <cell r="AN41" t="str">
            <v/>
          </cell>
          <cell r="AO41" t="str">
            <v/>
          </cell>
          <cell r="AP41" t="str">
            <v/>
          </cell>
          <cell r="AQ41" t="str">
            <v/>
          </cell>
          <cell r="AR41" t="str">
            <v/>
          </cell>
          <cell r="AS41"/>
          <cell r="AT41">
            <v>39845</v>
          </cell>
          <cell r="AU41" t="str">
            <v>DINAMITAS</v>
          </cell>
          <cell r="AV41">
            <v>4512075</v>
          </cell>
          <cell r="AW41" t="str">
            <v/>
          </cell>
          <cell r="AX41" t="str">
            <v/>
          </cell>
          <cell r="AY41" t="str">
            <v/>
          </cell>
          <cell r="AZ41" t="str">
            <v/>
          </cell>
          <cell r="BA41" t="str">
            <v/>
          </cell>
          <cell r="BB41" t="str">
            <v/>
          </cell>
          <cell r="BC41"/>
          <cell r="BD41">
            <v>2064</v>
          </cell>
          <cell r="BE41" t="str">
            <v/>
          </cell>
          <cell r="BF41" t="str">
            <v/>
          </cell>
          <cell r="BG41" t="str">
            <v/>
          </cell>
          <cell r="BH41" t="str">
            <v/>
          </cell>
          <cell r="BI41" t="str">
            <v/>
          </cell>
          <cell r="BJ41" t="str">
            <v/>
          </cell>
          <cell r="BK41"/>
          <cell r="BL41">
            <v>6917510</v>
          </cell>
          <cell r="BM41" t="str">
            <v/>
          </cell>
          <cell r="BN41" t="str">
            <v/>
          </cell>
          <cell r="BO41" t="str">
            <v/>
          </cell>
          <cell r="BP41" t="str">
            <v/>
          </cell>
          <cell r="BQ41" t="str">
            <v/>
          </cell>
          <cell r="BR41" t="str">
            <v/>
          </cell>
          <cell r="BS41">
            <v>0</v>
          </cell>
          <cell r="BT41"/>
          <cell r="BU41">
            <v>3183</v>
          </cell>
          <cell r="BV41" t="str">
            <v/>
          </cell>
          <cell r="BW41" t="str">
            <v/>
          </cell>
          <cell r="BX41" t="str">
            <v/>
          </cell>
          <cell r="BY41" t="str">
            <v/>
          </cell>
          <cell r="BZ41" t="str">
            <v/>
          </cell>
          <cell r="CA41" t="str">
            <v/>
          </cell>
          <cell r="CB41">
            <v>0</v>
          </cell>
          <cell r="CC41"/>
        </row>
        <row r="42">
          <cell r="B42">
            <v>39873</v>
          </cell>
          <cell r="C42"/>
          <cell r="D42" t="str">
            <v>DINAMITAS</v>
          </cell>
          <cell r="E42" t="str">
            <v/>
          </cell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  <cell r="J42" t="str">
            <v/>
          </cell>
          <cell r="K42" t="str">
            <v/>
          </cell>
          <cell r="L42" t="str">
            <v/>
          </cell>
          <cell r="M42" t="str">
            <v/>
          </cell>
          <cell r="N42" t="str">
            <v/>
          </cell>
          <cell r="O42" t="str">
            <v/>
          </cell>
          <cell r="P42" t="str">
            <v/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/>
          <cell r="V42"/>
          <cell r="W42" t="str">
            <v/>
          </cell>
          <cell r="X42" t="str">
            <v/>
          </cell>
          <cell r="Y42" t="str">
            <v/>
          </cell>
          <cell r="Z42" t="str">
            <v/>
          </cell>
          <cell r="AA42"/>
          <cell r="AB42"/>
          <cell r="AC42"/>
          <cell r="AD42"/>
          <cell r="AE42"/>
          <cell r="AF42"/>
          <cell r="AG42"/>
          <cell r="AH42"/>
          <cell r="AI42"/>
          <cell r="AJ42"/>
          <cell r="AK42" t="str">
            <v/>
          </cell>
          <cell r="AL42" t="str">
            <v/>
          </cell>
          <cell r="AM42" t="str">
            <v/>
          </cell>
          <cell r="AN42" t="str">
            <v/>
          </cell>
          <cell r="AO42" t="str">
            <v/>
          </cell>
          <cell r="AP42" t="str">
            <v/>
          </cell>
          <cell r="AQ42" t="str">
            <v/>
          </cell>
          <cell r="AR42" t="str">
            <v/>
          </cell>
          <cell r="AS42"/>
          <cell r="AT42">
            <v>39873</v>
          </cell>
          <cell r="AU42" t="str">
            <v>DINAMITAS</v>
          </cell>
          <cell r="AV42">
            <v>6651215</v>
          </cell>
          <cell r="AW42" t="str">
            <v/>
          </cell>
          <cell r="AX42" t="str">
            <v/>
          </cell>
          <cell r="AY42" t="str">
            <v/>
          </cell>
          <cell r="AZ42" t="str">
            <v/>
          </cell>
          <cell r="BA42" t="str">
            <v/>
          </cell>
          <cell r="BB42" t="str">
            <v/>
          </cell>
          <cell r="BC42"/>
          <cell r="BD42">
            <v>3081</v>
          </cell>
          <cell r="BE42" t="str">
            <v/>
          </cell>
          <cell r="BF42" t="str">
            <v/>
          </cell>
          <cell r="BG42" t="str">
            <v/>
          </cell>
          <cell r="BH42" t="str">
            <v/>
          </cell>
          <cell r="BI42" t="str">
            <v/>
          </cell>
          <cell r="BJ42" t="str">
            <v/>
          </cell>
          <cell r="BK42"/>
          <cell r="BL42">
            <v>13568725</v>
          </cell>
          <cell r="BM42" t="str">
            <v/>
          </cell>
          <cell r="BN42" t="str">
            <v/>
          </cell>
          <cell r="BO42" t="str">
            <v/>
          </cell>
          <cell r="BP42" t="str">
            <v/>
          </cell>
          <cell r="BQ42" t="str">
            <v/>
          </cell>
          <cell r="BR42" t="str">
            <v/>
          </cell>
          <cell r="BS42">
            <v>0</v>
          </cell>
          <cell r="BT42"/>
          <cell r="BU42">
            <v>6264</v>
          </cell>
          <cell r="BV42" t="str">
            <v/>
          </cell>
          <cell r="BW42" t="str">
            <v/>
          </cell>
          <cell r="BX42" t="str">
            <v/>
          </cell>
          <cell r="BY42" t="str">
            <v/>
          </cell>
          <cell r="BZ42" t="str">
            <v/>
          </cell>
          <cell r="CA42" t="str">
            <v/>
          </cell>
          <cell r="CB42">
            <v>0</v>
          </cell>
          <cell r="CC42"/>
        </row>
        <row r="43">
          <cell r="B43">
            <v>39904</v>
          </cell>
          <cell r="C43"/>
          <cell r="D43" t="str">
            <v>DINAMITAS</v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 t="str">
            <v/>
          </cell>
          <cell r="L43" t="str">
            <v/>
          </cell>
          <cell r="M43" t="str">
            <v/>
          </cell>
          <cell r="N43" t="str">
            <v/>
          </cell>
          <cell r="O43" t="str">
            <v/>
          </cell>
          <cell r="P43" t="str">
            <v/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/>
          <cell r="V43"/>
          <cell r="W43" t="str">
            <v/>
          </cell>
          <cell r="X43" t="str">
            <v/>
          </cell>
          <cell r="Y43" t="str">
            <v/>
          </cell>
          <cell r="Z43" t="str">
            <v/>
          </cell>
          <cell r="AA43"/>
          <cell r="AB43"/>
          <cell r="AC43"/>
          <cell r="AD43"/>
          <cell r="AE43"/>
          <cell r="AF43"/>
          <cell r="AG43"/>
          <cell r="AH43"/>
          <cell r="AI43"/>
          <cell r="AJ43"/>
          <cell r="AK43" t="str">
            <v/>
          </cell>
          <cell r="AL43" t="str">
            <v/>
          </cell>
          <cell r="AM43" t="str">
            <v/>
          </cell>
          <cell r="AN43" t="str">
            <v/>
          </cell>
          <cell r="AO43" t="str">
            <v/>
          </cell>
          <cell r="AP43" t="str">
            <v/>
          </cell>
          <cell r="AQ43" t="str">
            <v/>
          </cell>
          <cell r="AR43" t="str">
            <v/>
          </cell>
          <cell r="AS43"/>
          <cell r="AT43">
            <v>39904</v>
          </cell>
          <cell r="AU43" t="str">
            <v>DINAMITAS</v>
          </cell>
          <cell r="AV43">
            <v>9540473.1999999881</v>
          </cell>
          <cell r="AW43" t="str">
            <v/>
          </cell>
          <cell r="AX43" t="str">
            <v/>
          </cell>
          <cell r="AY43" t="str">
            <v/>
          </cell>
          <cell r="AZ43" t="str">
            <v/>
          </cell>
          <cell r="BA43" t="str">
            <v/>
          </cell>
          <cell r="BB43" t="str">
            <v/>
          </cell>
          <cell r="BC43"/>
          <cell r="BD43">
            <v>4271.25</v>
          </cell>
          <cell r="BE43" t="str">
            <v/>
          </cell>
          <cell r="BF43" t="str">
            <v/>
          </cell>
          <cell r="BG43" t="str">
            <v/>
          </cell>
          <cell r="BH43" t="str">
            <v/>
          </cell>
          <cell r="BI43" t="str">
            <v/>
          </cell>
          <cell r="BJ43" t="str">
            <v/>
          </cell>
          <cell r="BK43"/>
          <cell r="BL43">
            <v>23109198.199999988</v>
          </cell>
          <cell r="BM43" t="str">
            <v/>
          </cell>
          <cell r="BN43" t="str">
            <v/>
          </cell>
          <cell r="BO43" t="str">
            <v/>
          </cell>
          <cell r="BP43" t="str">
            <v/>
          </cell>
          <cell r="BQ43" t="str">
            <v/>
          </cell>
          <cell r="BR43" t="str">
            <v/>
          </cell>
          <cell r="BS43">
            <v>0</v>
          </cell>
          <cell r="BT43"/>
          <cell r="BU43">
            <v>10535.25</v>
          </cell>
          <cell r="BV43" t="str">
            <v/>
          </cell>
          <cell r="BW43" t="str">
            <v/>
          </cell>
          <cell r="BX43" t="str">
            <v/>
          </cell>
          <cell r="BY43" t="str">
            <v/>
          </cell>
          <cell r="BZ43" t="str">
            <v/>
          </cell>
          <cell r="CA43" t="str">
            <v/>
          </cell>
          <cell r="CB43">
            <v>0</v>
          </cell>
          <cell r="CC43"/>
        </row>
        <row r="44">
          <cell r="B44">
            <v>39934</v>
          </cell>
          <cell r="C44"/>
          <cell r="D44" t="str">
            <v>DINAMITAS</v>
          </cell>
          <cell r="E44" t="str">
            <v/>
          </cell>
          <cell r="F44" t="str">
            <v/>
          </cell>
          <cell r="G44" t="str">
            <v/>
          </cell>
          <cell r="H44" t="str">
            <v/>
          </cell>
          <cell r="I44" t="str">
            <v/>
          </cell>
          <cell r="J44" t="str">
            <v/>
          </cell>
          <cell r="K44" t="str">
            <v/>
          </cell>
          <cell r="L44" t="str">
            <v/>
          </cell>
          <cell r="M44" t="str">
            <v/>
          </cell>
          <cell r="N44" t="str">
            <v/>
          </cell>
          <cell r="O44" t="str">
            <v/>
          </cell>
          <cell r="P44" t="str">
            <v/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/>
          <cell r="V44"/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  <cell r="AK44" t="str">
            <v/>
          </cell>
          <cell r="AL44" t="str">
            <v/>
          </cell>
          <cell r="AM44" t="str">
            <v/>
          </cell>
          <cell r="AN44" t="str">
            <v/>
          </cell>
          <cell r="AO44" t="str">
            <v/>
          </cell>
          <cell r="AP44" t="str">
            <v/>
          </cell>
          <cell r="AQ44" t="str">
            <v/>
          </cell>
          <cell r="AR44" t="str">
            <v/>
          </cell>
          <cell r="AS44"/>
          <cell r="AT44">
            <v>39934</v>
          </cell>
          <cell r="AU44" t="str">
            <v>DINAMITAS</v>
          </cell>
          <cell r="AV44">
            <v>12327535</v>
          </cell>
          <cell r="AW44" t="str">
            <v/>
          </cell>
          <cell r="AX44" t="str">
            <v/>
          </cell>
          <cell r="AY44" t="str">
            <v/>
          </cell>
          <cell r="AZ44" t="str">
            <v/>
          </cell>
          <cell r="BA44" t="str">
            <v/>
          </cell>
          <cell r="BB44" t="str">
            <v/>
          </cell>
          <cell r="BC44"/>
          <cell r="BD44">
            <v>5417</v>
          </cell>
          <cell r="BE44" t="str">
            <v/>
          </cell>
          <cell r="BF44" t="str">
            <v/>
          </cell>
          <cell r="BG44" t="str">
            <v/>
          </cell>
          <cell r="BH44" t="str">
            <v/>
          </cell>
          <cell r="BI44" t="str">
            <v/>
          </cell>
          <cell r="BJ44" t="str">
            <v/>
          </cell>
          <cell r="BK44"/>
          <cell r="BL44">
            <v>35436733.199999988</v>
          </cell>
          <cell r="BM44" t="str">
            <v/>
          </cell>
          <cell r="BN44" t="str">
            <v/>
          </cell>
          <cell r="BO44" t="str">
            <v/>
          </cell>
          <cell r="BP44" t="str">
            <v/>
          </cell>
          <cell r="BQ44" t="str">
            <v/>
          </cell>
          <cell r="BR44" t="str">
            <v/>
          </cell>
          <cell r="BS44">
            <v>0</v>
          </cell>
          <cell r="BT44"/>
          <cell r="BU44">
            <v>15952.25</v>
          </cell>
          <cell r="BV44" t="str">
            <v/>
          </cell>
          <cell r="BW44" t="str">
            <v/>
          </cell>
          <cell r="BX44" t="str">
            <v/>
          </cell>
          <cell r="BY44" t="str">
            <v/>
          </cell>
          <cell r="BZ44" t="str">
            <v/>
          </cell>
          <cell r="CA44" t="str">
            <v/>
          </cell>
          <cell r="CB44">
            <v>0</v>
          </cell>
          <cell r="CC44"/>
        </row>
        <row r="45">
          <cell r="B45">
            <v>39965</v>
          </cell>
          <cell r="C45"/>
          <cell r="D45" t="str">
            <v>DINAMITAS</v>
          </cell>
          <cell r="E45" t="str">
            <v/>
          </cell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  <cell r="M45" t="str">
            <v/>
          </cell>
          <cell r="N45" t="str">
            <v/>
          </cell>
          <cell r="O45" t="str">
            <v/>
          </cell>
          <cell r="P45" t="str">
            <v/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/>
          <cell r="V45"/>
          <cell r="W45" t="str">
            <v/>
          </cell>
          <cell r="X45" t="str">
            <v/>
          </cell>
          <cell r="Y45" t="str">
            <v/>
          </cell>
          <cell r="Z45" t="str">
            <v/>
          </cell>
          <cell r="AA45"/>
          <cell r="AB45"/>
          <cell r="AC45"/>
          <cell r="AD45"/>
          <cell r="AE45"/>
          <cell r="AF45"/>
          <cell r="AG45"/>
          <cell r="AH45"/>
          <cell r="AI45"/>
          <cell r="AJ45"/>
          <cell r="AK45" t="str">
            <v/>
          </cell>
          <cell r="AL45" t="str">
            <v/>
          </cell>
          <cell r="AM45" t="str">
            <v/>
          </cell>
          <cell r="AN45" t="str">
            <v/>
          </cell>
          <cell r="AO45" t="str">
            <v/>
          </cell>
          <cell r="AP45" t="str">
            <v/>
          </cell>
          <cell r="AQ45" t="str">
            <v/>
          </cell>
          <cell r="AR45" t="str">
            <v/>
          </cell>
          <cell r="AS45"/>
          <cell r="AT45">
            <v>39965</v>
          </cell>
          <cell r="AU45" t="str">
            <v>DINAMITAS</v>
          </cell>
          <cell r="AV45">
            <v>15012795.602849424</v>
          </cell>
          <cell r="AW45" t="str">
            <v/>
          </cell>
          <cell r="AX45" t="str">
            <v/>
          </cell>
          <cell r="AY45" t="str">
            <v/>
          </cell>
          <cell r="AZ45" t="str">
            <v/>
          </cell>
          <cell r="BA45" t="str">
            <v/>
          </cell>
          <cell r="BB45" t="str">
            <v/>
          </cell>
          <cell r="BC45"/>
          <cell r="BD45">
            <v>6552.25</v>
          </cell>
          <cell r="BE45" t="str">
            <v/>
          </cell>
          <cell r="BF45" t="str">
            <v/>
          </cell>
          <cell r="BG45" t="str">
            <v/>
          </cell>
          <cell r="BH45" t="str">
            <v/>
          </cell>
          <cell r="BI45" t="str">
            <v/>
          </cell>
          <cell r="BJ45" t="str">
            <v/>
          </cell>
          <cell r="BK45"/>
          <cell r="BL45">
            <v>50449528.802849412</v>
          </cell>
          <cell r="BM45" t="str">
            <v/>
          </cell>
          <cell r="BN45" t="str">
            <v/>
          </cell>
          <cell r="BO45" t="str">
            <v/>
          </cell>
          <cell r="BP45" t="str">
            <v/>
          </cell>
          <cell r="BQ45" t="str">
            <v/>
          </cell>
          <cell r="BR45" t="str">
            <v/>
          </cell>
          <cell r="BS45">
            <v>0</v>
          </cell>
          <cell r="BT45"/>
          <cell r="BU45">
            <v>22504.5</v>
          </cell>
          <cell r="BV45" t="str">
            <v/>
          </cell>
          <cell r="BW45" t="str">
            <v/>
          </cell>
          <cell r="BX45" t="str">
            <v/>
          </cell>
          <cell r="BY45" t="str">
            <v/>
          </cell>
          <cell r="BZ45" t="str">
            <v/>
          </cell>
          <cell r="CA45" t="str">
            <v/>
          </cell>
          <cell r="CB45">
            <v>0</v>
          </cell>
          <cell r="CC45"/>
        </row>
        <row r="46">
          <cell r="B46">
            <v>39995</v>
          </cell>
          <cell r="C46"/>
          <cell r="D46" t="str">
            <v>DINAMITAS</v>
          </cell>
          <cell r="E46" t="str">
            <v/>
          </cell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  <cell r="M46" t="str">
            <v/>
          </cell>
          <cell r="N46" t="str">
            <v/>
          </cell>
          <cell r="O46" t="str">
            <v/>
          </cell>
          <cell r="P46" t="str">
            <v/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/>
          <cell r="V46"/>
          <cell r="W46" t="str">
            <v/>
          </cell>
          <cell r="X46" t="str">
            <v/>
          </cell>
          <cell r="Y46" t="str">
            <v/>
          </cell>
          <cell r="Z46" t="str">
            <v/>
          </cell>
          <cell r="AA46"/>
          <cell r="AB46"/>
          <cell r="AC46"/>
          <cell r="AD46"/>
          <cell r="AE46"/>
          <cell r="AF46"/>
          <cell r="AG46"/>
          <cell r="AH46"/>
          <cell r="AI46"/>
          <cell r="AJ46"/>
          <cell r="AK46" t="str">
            <v/>
          </cell>
          <cell r="AL46" t="str">
            <v/>
          </cell>
          <cell r="AM46" t="str">
            <v/>
          </cell>
          <cell r="AN46" t="str">
            <v/>
          </cell>
          <cell r="AO46" t="str">
            <v/>
          </cell>
          <cell r="AP46" t="str">
            <v/>
          </cell>
          <cell r="AQ46" t="str">
            <v/>
          </cell>
          <cell r="AR46" t="str">
            <v/>
          </cell>
          <cell r="AS46"/>
          <cell r="AT46">
            <v>39995</v>
          </cell>
          <cell r="AU46" t="str">
            <v>DINAMITAS</v>
          </cell>
          <cell r="AV46">
            <v>17875206.883697659</v>
          </cell>
          <cell r="AW46" t="str">
            <v/>
          </cell>
          <cell r="AX46" t="str">
            <v/>
          </cell>
          <cell r="AY46" t="str">
            <v/>
          </cell>
          <cell r="AZ46" t="str">
            <v/>
          </cell>
          <cell r="BA46" t="str">
            <v/>
          </cell>
          <cell r="BB46" t="str">
            <v/>
          </cell>
          <cell r="BC46"/>
          <cell r="BD46">
            <v>7750.9250000000029</v>
          </cell>
          <cell r="BE46" t="str">
            <v/>
          </cell>
          <cell r="BF46" t="str">
            <v/>
          </cell>
          <cell r="BG46" t="str">
            <v/>
          </cell>
          <cell r="BH46" t="str">
            <v/>
          </cell>
          <cell r="BI46" t="str">
            <v/>
          </cell>
          <cell r="BJ46" t="str">
            <v/>
          </cell>
          <cell r="BK46"/>
          <cell r="BL46">
            <v>68324735.686547071</v>
          </cell>
          <cell r="BM46" t="str">
            <v/>
          </cell>
          <cell r="BN46" t="str">
            <v/>
          </cell>
          <cell r="BO46" t="str">
            <v/>
          </cell>
          <cell r="BP46" t="str">
            <v/>
          </cell>
          <cell r="BQ46" t="str">
            <v/>
          </cell>
          <cell r="BR46" t="str">
            <v/>
          </cell>
          <cell r="BS46">
            <v>0</v>
          </cell>
          <cell r="BT46"/>
          <cell r="BU46">
            <v>30255.425000000003</v>
          </cell>
          <cell r="BV46" t="str">
            <v/>
          </cell>
          <cell r="BW46" t="str">
            <v/>
          </cell>
          <cell r="BX46" t="str">
            <v/>
          </cell>
          <cell r="BY46" t="str">
            <v/>
          </cell>
          <cell r="BZ46" t="str">
            <v/>
          </cell>
          <cell r="CA46" t="str">
            <v/>
          </cell>
          <cell r="CB46">
            <v>0</v>
          </cell>
          <cell r="CC46"/>
        </row>
        <row r="47">
          <cell r="B47">
            <v>40026</v>
          </cell>
          <cell r="C47"/>
          <cell r="D47" t="str">
            <v>DINAMITAS</v>
          </cell>
          <cell r="E47" t="str">
            <v/>
          </cell>
          <cell r="F47" t="str">
            <v/>
          </cell>
          <cell r="G47" t="str">
            <v/>
          </cell>
          <cell r="H47" t="str">
            <v/>
          </cell>
          <cell r="I47" t="str">
            <v/>
          </cell>
          <cell r="J47" t="str">
            <v/>
          </cell>
          <cell r="K47" t="str">
            <v/>
          </cell>
          <cell r="L47" t="str">
            <v/>
          </cell>
          <cell r="M47" t="str">
            <v/>
          </cell>
          <cell r="N47" t="str">
            <v/>
          </cell>
          <cell r="O47" t="str">
            <v/>
          </cell>
          <cell r="P47" t="str">
            <v/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/>
          <cell r="V47"/>
          <cell r="W47" t="str">
            <v/>
          </cell>
          <cell r="X47" t="str">
            <v/>
          </cell>
          <cell r="Y47" t="str">
            <v/>
          </cell>
          <cell r="Z47" t="str">
            <v/>
          </cell>
          <cell r="AA47"/>
          <cell r="AB47"/>
          <cell r="AC47"/>
          <cell r="AD47"/>
          <cell r="AE47"/>
          <cell r="AF47"/>
          <cell r="AG47"/>
          <cell r="AH47"/>
          <cell r="AI47"/>
          <cell r="AJ47"/>
          <cell r="AK47" t="str">
            <v/>
          </cell>
          <cell r="AL47" t="str">
            <v/>
          </cell>
          <cell r="AM47" t="str">
            <v/>
          </cell>
          <cell r="AN47" t="str">
            <v/>
          </cell>
          <cell r="AO47" t="str">
            <v/>
          </cell>
          <cell r="AP47" t="str">
            <v/>
          </cell>
          <cell r="AQ47" t="str">
            <v/>
          </cell>
          <cell r="AR47" t="str">
            <v/>
          </cell>
          <cell r="AS47"/>
          <cell r="AT47">
            <v>40026</v>
          </cell>
          <cell r="AU47" t="str">
            <v>DINAMITAS</v>
          </cell>
          <cell r="AV47">
            <v>0</v>
          </cell>
          <cell r="AW47" t="str">
            <v/>
          </cell>
          <cell r="AX47" t="str">
            <v/>
          </cell>
          <cell r="AY47" t="str">
            <v/>
          </cell>
          <cell r="AZ47" t="str">
            <v/>
          </cell>
          <cell r="BA47" t="str">
            <v/>
          </cell>
          <cell r="BB47" t="str">
            <v/>
          </cell>
          <cell r="BC47"/>
          <cell r="BD47">
            <v>0</v>
          </cell>
          <cell r="BE47" t="str">
            <v/>
          </cell>
          <cell r="BF47" t="str">
            <v/>
          </cell>
          <cell r="BG47" t="str">
            <v/>
          </cell>
          <cell r="BH47" t="str">
            <v/>
          </cell>
          <cell r="BI47" t="str">
            <v/>
          </cell>
          <cell r="BJ47" t="str">
            <v/>
          </cell>
          <cell r="BK47"/>
          <cell r="BL47">
            <v>68324735.686547071</v>
          </cell>
          <cell r="BM47" t="str">
            <v/>
          </cell>
          <cell r="BN47" t="str">
            <v/>
          </cell>
          <cell r="BO47" t="str">
            <v/>
          </cell>
          <cell r="BP47" t="str">
            <v/>
          </cell>
          <cell r="BQ47" t="str">
            <v/>
          </cell>
          <cell r="BR47" t="str">
            <v/>
          </cell>
          <cell r="BS47">
            <v>0</v>
          </cell>
          <cell r="BT47"/>
          <cell r="BU47">
            <v>30255.425000000003</v>
          </cell>
          <cell r="BV47" t="str">
            <v/>
          </cell>
          <cell r="BW47" t="str">
            <v/>
          </cell>
          <cell r="BX47" t="str">
            <v/>
          </cell>
          <cell r="BY47" t="str">
            <v/>
          </cell>
          <cell r="BZ47" t="str">
            <v/>
          </cell>
          <cell r="CA47" t="str">
            <v/>
          </cell>
          <cell r="CB47">
            <v>0</v>
          </cell>
          <cell r="CC47"/>
        </row>
        <row r="48">
          <cell r="B48">
            <v>40057</v>
          </cell>
          <cell r="C48"/>
          <cell r="D48" t="str">
            <v>DINAMITAS</v>
          </cell>
          <cell r="E48" t="str">
            <v/>
          </cell>
          <cell r="F48" t="str">
            <v/>
          </cell>
          <cell r="G48" t="str">
            <v/>
          </cell>
          <cell r="H48" t="str">
            <v/>
          </cell>
          <cell r="I48" t="str">
            <v/>
          </cell>
          <cell r="J48" t="str">
            <v/>
          </cell>
          <cell r="K48" t="str">
            <v/>
          </cell>
          <cell r="L48" t="str">
            <v/>
          </cell>
          <cell r="M48" t="str">
            <v/>
          </cell>
          <cell r="N48" t="str">
            <v/>
          </cell>
          <cell r="O48" t="str">
            <v/>
          </cell>
          <cell r="P48" t="str">
            <v/>
          </cell>
          <cell r="Q48" t="str">
            <v/>
          </cell>
          <cell r="R48" t="str">
            <v/>
          </cell>
          <cell r="S48" t="str">
            <v/>
          </cell>
          <cell r="T48" t="str">
            <v/>
          </cell>
          <cell r="U48"/>
          <cell r="V48"/>
          <cell r="W48" t="str">
            <v/>
          </cell>
          <cell r="X48" t="str">
            <v/>
          </cell>
          <cell r="Y48" t="str">
            <v/>
          </cell>
          <cell r="Z48" t="str">
            <v/>
          </cell>
          <cell r="AA48"/>
          <cell r="AB48"/>
          <cell r="AC48"/>
          <cell r="AD48"/>
          <cell r="AE48"/>
          <cell r="AF48"/>
          <cell r="AG48"/>
          <cell r="AH48"/>
          <cell r="AI48"/>
          <cell r="AJ48"/>
          <cell r="AK48" t="str">
            <v/>
          </cell>
          <cell r="AL48" t="str">
            <v/>
          </cell>
          <cell r="AM48" t="str">
            <v/>
          </cell>
          <cell r="AN48" t="str">
            <v/>
          </cell>
          <cell r="AO48" t="str">
            <v/>
          </cell>
          <cell r="AP48" t="str">
            <v/>
          </cell>
          <cell r="AQ48" t="str">
            <v/>
          </cell>
          <cell r="AR48" t="str">
            <v/>
          </cell>
          <cell r="AS48"/>
          <cell r="AT48">
            <v>40057</v>
          </cell>
          <cell r="AU48" t="str">
            <v>DINAMITAS</v>
          </cell>
          <cell r="AV48">
            <v>23418797.723821044</v>
          </cell>
          <cell r="AW48" t="str">
            <v/>
          </cell>
          <cell r="AX48" t="str">
            <v/>
          </cell>
          <cell r="AY48" t="str">
            <v/>
          </cell>
          <cell r="AZ48" t="str">
            <v/>
          </cell>
          <cell r="BA48" t="str">
            <v/>
          </cell>
          <cell r="BB48" t="str">
            <v/>
          </cell>
          <cell r="BC48"/>
          <cell r="BD48">
            <v>10114.050000000003</v>
          </cell>
          <cell r="BE48" t="str">
            <v/>
          </cell>
          <cell r="BF48" t="str">
            <v/>
          </cell>
          <cell r="BG48" t="str">
            <v/>
          </cell>
          <cell r="BH48" t="str">
            <v/>
          </cell>
          <cell r="BI48" t="str">
            <v/>
          </cell>
          <cell r="BJ48" t="str">
            <v/>
          </cell>
          <cell r="BK48"/>
          <cell r="BL48">
            <v>91743533.410368115</v>
          </cell>
          <cell r="BM48" t="str">
            <v/>
          </cell>
          <cell r="BN48" t="str">
            <v/>
          </cell>
          <cell r="BO48" t="str">
            <v/>
          </cell>
          <cell r="BP48" t="str">
            <v/>
          </cell>
          <cell r="BQ48" t="str">
            <v/>
          </cell>
          <cell r="BR48" t="str">
            <v/>
          </cell>
          <cell r="BS48">
            <v>0</v>
          </cell>
          <cell r="BT48"/>
          <cell r="BU48">
            <v>40369.475000000006</v>
          </cell>
          <cell r="BV48" t="str">
            <v/>
          </cell>
          <cell r="BW48" t="str">
            <v/>
          </cell>
          <cell r="BX48" t="str">
            <v/>
          </cell>
          <cell r="BY48" t="str">
            <v/>
          </cell>
          <cell r="BZ48" t="str">
            <v/>
          </cell>
          <cell r="CA48" t="str">
            <v/>
          </cell>
          <cell r="CB48">
            <v>0</v>
          </cell>
          <cell r="CC48"/>
        </row>
        <row r="49">
          <cell r="B49">
            <v>40087</v>
          </cell>
          <cell r="C49"/>
          <cell r="D49" t="str">
            <v>DINAMITAS</v>
          </cell>
          <cell r="E49" t="str">
            <v/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  <cell r="L49" t="str">
            <v/>
          </cell>
          <cell r="M49" t="str">
            <v/>
          </cell>
          <cell r="N49" t="str">
            <v/>
          </cell>
          <cell r="O49" t="str">
            <v/>
          </cell>
          <cell r="P49" t="str">
            <v/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  <cell r="U49"/>
          <cell r="V49"/>
          <cell r="W49" t="str">
            <v/>
          </cell>
          <cell r="X49" t="str">
            <v/>
          </cell>
          <cell r="Y49" t="str">
            <v/>
          </cell>
          <cell r="Z49" t="str">
            <v/>
          </cell>
          <cell r="AA49"/>
          <cell r="AB49"/>
          <cell r="AC49"/>
          <cell r="AD49"/>
          <cell r="AE49"/>
          <cell r="AF49"/>
          <cell r="AG49"/>
          <cell r="AH49"/>
          <cell r="AI49"/>
          <cell r="AJ49"/>
          <cell r="AK49" t="str">
            <v/>
          </cell>
          <cell r="AL49" t="str">
            <v/>
          </cell>
          <cell r="AM49" t="str">
            <v/>
          </cell>
          <cell r="AN49" t="str">
            <v/>
          </cell>
          <cell r="AO49" t="str">
            <v/>
          </cell>
          <cell r="AP49" t="str">
            <v/>
          </cell>
          <cell r="AQ49" t="str">
            <v/>
          </cell>
          <cell r="AR49" t="str">
            <v/>
          </cell>
          <cell r="AS49"/>
          <cell r="AT49">
            <v>40087</v>
          </cell>
          <cell r="AU49" t="str">
            <v>DINAMITAS</v>
          </cell>
          <cell r="AV49">
            <v>0</v>
          </cell>
          <cell r="AW49" t="str">
            <v/>
          </cell>
          <cell r="AX49" t="str">
            <v/>
          </cell>
          <cell r="AY49" t="str">
            <v/>
          </cell>
          <cell r="AZ49" t="str">
            <v/>
          </cell>
          <cell r="BA49" t="str">
            <v/>
          </cell>
          <cell r="BB49" t="str">
            <v/>
          </cell>
          <cell r="BC49"/>
          <cell r="BD49">
            <v>0</v>
          </cell>
          <cell r="BE49" t="str">
            <v/>
          </cell>
          <cell r="BF49" t="str">
            <v/>
          </cell>
          <cell r="BG49" t="str">
            <v/>
          </cell>
          <cell r="BH49" t="str">
            <v/>
          </cell>
          <cell r="BI49" t="str">
            <v/>
          </cell>
          <cell r="BJ49" t="str">
            <v/>
          </cell>
          <cell r="BK49"/>
          <cell r="BL49">
            <v>91743533.410368115</v>
          </cell>
          <cell r="BM49" t="str">
            <v/>
          </cell>
          <cell r="BN49" t="str">
            <v/>
          </cell>
          <cell r="BO49" t="str">
            <v/>
          </cell>
          <cell r="BP49" t="str">
            <v/>
          </cell>
          <cell r="BQ49" t="str">
            <v/>
          </cell>
          <cell r="BR49" t="str">
            <v/>
          </cell>
          <cell r="BS49">
            <v>0</v>
          </cell>
          <cell r="BT49"/>
          <cell r="BU49">
            <v>40369.475000000006</v>
          </cell>
          <cell r="BV49" t="str">
            <v/>
          </cell>
          <cell r="BW49" t="str">
            <v/>
          </cell>
          <cell r="BX49" t="str">
            <v/>
          </cell>
          <cell r="BY49" t="str">
            <v/>
          </cell>
          <cell r="BZ49" t="str">
            <v/>
          </cell>
          <cell r="CA49" t="str">
            <v/>
          </cell>
          <cell r="CB49">
            <v>0</v>
          </cell>
          <cell r="CC49"/>
        </row>
      </sheetData>
      <sheetData sheetId="89">
        <row r="12">
          <cell r="W12"/>
          <cell r="X12"/>
          <cell r="Y12"/>
        </row>
        <row r="14">
          <cell r="W14"/>
          <cell r="X14" t="str">
            <v>U$</v>
          </cell>
          <cell r="Y14"/>
          <cell r="Z14" t="str">
            <v>TM</v>
          </cell>
          <cell r="AA14"/>
        </row>
        <row r="15">
          <cell r="D15" t="str">
            <v>Fecha</v>
          </cell>
          <cell r="E15" t="str">
            <v>Venta Total $</v>
          </cell>
          <cell r="F15" t="str">
            <v>Venta Empresa  EXSA $</v>
          </cell>
          <cell r="G15" t="str">
            <v>Venta Total TM</v>
          </cell>
          <cell r="H15" t="str">
            <v>Venta Empresa EXSATM</v>
          </cell>
          <cell r="I15" t="str">
            <v>Programado $</v>
          </cell>
          <cell r="J15" t="str">
            <v>Programado TM</v>
          </cell>
          <cell r="K15" t="str">
            <v>Lim. Sup  U$</v>
          </cell>
          <cell r="L15" t="str">
            <v>Lim. Inf U$</v>
          </cell>
          <cell r="M15" t="str">
            <v>Lim. Sup TM</v>
          </cell>
          <cell r="N15" t="str">
            <v>Lim.  Inf TM</v>
          </cell>
          <cell r="W15" t="str">
            <v>Fecha</v>
          </cell>
          <cell r="X15" t="str">
            <v>LIM SUP</v>
          </cell>
          <cell r="Y15" t="str">
            <v>LIM INF</v>
          </cell>
          <cell r="Z15" t="str">
            <v>LIM SUP</v>
          </cell>
          <cell r="AA15" t="str">
            <v>LIM INF</v>
          </cell>
        </row>
        <row r="16">
          <cell r="D16">
            <v>39083</v>
          </cell>
          <cell r="E16">
            <v>1774022</v>
          </cell>
          <cell r="F16">
            <v>1745942</v>
          </cell>
          <cell r="G16">
            <v>936</v>
          </cell>
          <cell r="H16">
            <v>919</v>
          </cell>
          <cell r="I16">
            <v>0</v>
          </cell>
          <cell r="J16">
            <v>0</v>
          </cell>
          <cell r="K16">
            <v>0.95</v>
          </cell>
          <cell r="L16">
            <v>0.9</v>
          </cell>
          <cell r="M16">
            <v>0.95</v>
          </cell>
          <cell r="N16">
            <v>0.9</v>
          </cell>
          <cell r="W16">
            <v>39083</v>
          </cell>
          <cell r="X16">
            <v>0.45</v>
          </cell>
          <cell r="Y16">
            <v>0.35</v>
          </cell>
          <cell r="Z16">
            <v>0.3</v>
          </cell>
          <cell r="AA16">
            <v>0.2</v>
          </cell>
        </row>
        <row r="17">
          <cell r="D17">
            <v>39114</v>
          </cell>
          <cell r="E17">
            <v>3120213</v>
          </cell>
          <cell r="F17">
            <v>2988995</v>
          </cell>
          <cell r="G17">
            <v>1687</v>
          </cell>
          <cell r="H17">
            <v>1603</v>
          </cell>
          <cell r="I17">
            <v>0</v>
          </cell>
          <cell r="J17">
            <v>0</v>
          </cell>
          <cell r="K17">
            <v>0.95</v>
          </cell>
          <cell r="L17">
            <v>0.9</v>
          </cell>
          <cell r="M17">
            <v>0.95</v>
          </cell>
          <cell r="N17">
            <v>0.9</v>
          </cell>
          <cell r="W17">
            <v>39114</v>
          </cell>
          <cell r="X17">
            <v>0.45</v>
          </cell>
          <cell r="Y17">
            <v>0.35</v>
          </cell>
          <cell r="Z17">
            <v>0.3</v>
          </cell>
          <cell r="AA17">
            <v>0.2</v>
          </cell>
        </row>
        <row r="18">
          <cell r="D18">
            <v>39142</v>
          </cell>
          <cell r="E18">
            <v>5405328</v>
          </cell>
          <cell r="F18">
            <v>5135313</v>
          </cell>
          <cell r="G18">
            <v>3147</v>
          </cell>
          <cell r="H18">
            <v>2972</v>
          </cell>
          <cell r="I18">
            <v>0</v>
          </cell>
          <cell r="J18">
            <v>0</v>
          </cell>
          <cell r="K18">
            <v>0.95</v>
          </cell>
          <cell r="L18">
            <v>0.9</v>
          </cell>
          <cell r="M18">
            <v>0.95</v>
          </cell>
          <cell r="N18">
            <v>0.9</v>
          </cell>
          <cell r="W18">
            <v>39142</v>
          </cell>
          <cell r="X18">
            <v>0.45</v>
          </cell>
          <cell r="Y18">
            <v>0.35</v>
          </cell>
          <cell r="Z18">
            <v>0.3</v>
          </cell>
          <cell r="AA18">
            <v>0.2</v>
          </cell>
        </row>
        <row r="19">
          <cell r="D19">
            <v>39173</v>
          </cell>
          <cell r="E19">
            <v>7141876</v>
          </cell>
          <cell r="F19">
            <v>6788061</v>
          </cell>
          <cell r="G19">
            <v>4081.83</v>
          </cell>
          <cell r="H19">
            <v>3853.98</v>
          </cell>
          <cell r="I19">
            <v>0</v>
          </cell>
          <cell r="J19">
            <v>0</v>
          </cell>
          <cell r="K19">
            <v>0.95</v>
          </cell>
          <cell r="L19">
            <v>0.9</v>
          </cell>
          <cell r="M19">
            <v>0.95</v>
          </cell>
          <cell r="N19">
            <v>0.9</v>
          </cell>
          <cell r="W19">
            <v>39173</v>
          </cell>
          <cell r="X19">
            <v>0.45</v>
          </cell>
          <cell r="Y19">
            <v>0.35</v>
          </cell>
          <cell r="Z19">
            <v>0.3</v>
          </cell>
          <cell r="AA19">
            <v>0.2</v>
          </cell>
        </row>
        <row r="20">
          <cell r="D20">
            <v>39203</v>
          </cell>
          <cell r="E20">
            <v>9439935.9199999999</v>
          </cell>
          <cell r="F20">
            <v>8990836.9199999999</v>
          </cell>
          <cell r="G20">
            <v>5209.4799999999996</v>
          </cell>
          <cell r="H20">
            <v>5061.18</v>
          </cell>
          <cell r="I20">
            <v>0</v>
          </cell>
          <cell r="J20">
            <v>0</v>
          </cell>
          <cell r="K20">
            <v>0.95</v>
          </cell>
          <cell r="L20">
            <v>0.9</v>
          </cell>
          <cell r="M20">
            <v>0.95</v>
          </cell>
          <cell r="N20">
            <v>0.9</v>
          </cell>
          <cell r="W20">
            <v>39203</v>
          </cell>
          <cell r="X20">
            <v>0.45</v>
          </cell>
          <cell r="Y20">
            <v>0.35</v>
          </cell>
          <cell r="Z20">
            <v>0.3</v>
          </cell>
          <cell r="AA20">
            <v>0.2</v>
          </cell>
        </row>
        <row r="21">
          <cell r="D21">
            <v>39234</v>
          </cell>
          <cell r="E21">
            <v>11693407.780000001</v>
          </cell>
          <cell r="F21">
            <v>11134585.98</v>
          </cell>
          <cell r="G21">
            <v>6215.4549999999999</v>
          </cell>
          <cell r="H21">
            <v>6150.1549999999997</v>
          </cell>
          <cell r="I21">
            <v>0</v>
          </cell>
          <cell r="J21">
            <v>0</v>
          </cell>
          <cell r="K21">
            <v>0.95</v>
          </cell>
          <cell r="L21">
            <v>0.9</v>
          </cell>
          <cell r="M21">
            <v>0.95</v>
          </cell>
          <cell r="N21">
            <v>0.9</v>
          </cell>
          <cell r="W21">
            <v>39234</v>
          </cell>
          <cell r="X21">
            <v>0.45</v>
          </cell>
          <cell r="Y21">
            <v>0.35</v>
          </cell>
          <cell r="Z21">
            <v>0.3</v>
          </cell>
          <cell r="AA21">
            <v>0.2</v>
          </cell>
        </row>
        <row r="22">
          <cell r="D22">
            <v>39264</v>
          </cell>
          <cell r="E22">
            <v>13154805.800000001</v>
          </cell>
          <cell r="F22">
            <v>12482444</v>
          </cell>
          <cell r="G22">
            <v>7652.4</v>
          </cell>
          <cell r="H22">
            <v>7220</v>
          </cell>
          <cell r="I22">
            <v>0</v>
          </cell>
          <cell r="J22">
            <v>0</v>
          </cell>
          <cell r="K22">
            <v>0.95</v>
          </cell>
          <cell r="L22">
            <v>0.9</v>
          </cell>
          <cell r="M22">
            <v>0.95</v>
          </cell>
          <cell r="N22">
            <v>0.9</v>
          </cell>
          <cell r="W22">
            <v>39264</v>
          </cell>
          <cell r="X22">
            <v>0.45</v>
          </cell>
          <cell r="Y22">
            <v>0.35</v>
          </cell>
          <cell r="Z22">
            <v>0.3</v>
          </cell>
          <cell r="AA22">
            <v>0.2</v>
          </cell>
        </row>
        <row r="23">
          <cell r="D23">
            <v>39295</v>
          </cell>
          <cell r="E23">
            <v>16349679.140000001</v>
          </cell>
          <cell r="F23">
            <v>15575906.34</v>
          </cell>
          <cell r="G23">
            <v>8791.75</v>
          </cell>
          <cell r="H23">
            <v>8296.1</v>
          </cell>
          <cell r="I23">
            <v>0</v>
          </cell>
          <cell r="J23">
            <v>0</v>
          </cell>
          <cell r="K23">
            <v>0.95</v>
          </cell>
          <cell r="L23">
            <v>0.9</v>
          </cell>
          <cell r="M23">
            <v>0.95</v>
          </cell>
          <cell r="N23">
            <v>0.9</v>
          </cell>
          <cell r="W23">
            <v>39295</v>
          </cell>
          <cell r="X23">
            <v>0.45</v>
          </cell>
          <cell r="Y23">
            <v>0.35</v>
          </cell>
          <cell r="Z23">
            <v>0.3</v>
          </cell>
          <cell r="AA23">
            <v>0.2</v>
          </cell>
        </row>
        <row r="24">
          <cell r="D24">
            <v>39326</v>
          </cell>
          <cell r="E24">
            <v>18739598.800000001</v>
          </cell>
          <cell r="F24">
            <v>17873387.800000001</v>
          </cell>
          <cell r="G24">
            <v>9935.9750000000004</v>
          </cell>
          <cell r="H24">
            <v>9379.7000000000007</v>
          </cell>
          <cell r="I24">
            <v>0</v>
          </cell>
          <cell r="J24">
            <v>0</v>
          </cell>
          <cell r="K24">
            <v>0.95</v>
          </cell>
          <cell r="L24">
            <v>0.9</v>
          </cell>
          <cell r="M24">
            <v>0.95</v>
          </cell>
          <cell r="N24">
            <v>0.9</v>
          </cell>
          <cell r="W24">
            <v>39326</v>
          </cell>
          <cell r="X24">
            <v>0.45</v>
          </cell>
          <cell r="Y24">
            <v>0.35</v>
          </cell>
          <cell r="Z24">
            <v>0.3</v>
          </cell>
          <cell r="AA24">
            <v>0.2</v>
          </cell>
        </row>
        <row r="25">
          <cell r="D25">
            <v>39356</v>
          </cell>
          <cell r="E25">
            <v>21755956.539999999</v>
          </cell>
          <cell r="F25">
            <v>20434026.399999999</v>
          </cell>
          <cell r="G25">
            <v>11420.17</v>
          </cell>
          <cell r="H25">
            <v>10588.174999999999</v>
          </cell>
          <cell r="I25">
            <v>0</v>
          </cell>
          <cell r="J25">
            <v>0</v>
          </cell>
          <cell r="K25">
            <v>0.95</v>
          </cell>
          <cell r="L25">
            <v>0.9</v>
          </cell>
          <cell r="M25">
            <v>0.95</v>
          </cell>
          <cell r="N25">
            <v>0.9</v>
          </cell>
          <cell r="W25">
            <v>39356</v>
          </cell>
          <cell r="X25">
            <v>0.45</v>
          </cell>
          <cell r="Y25">
            <v>0.35</v>
          </cell>
          <cell r="Z25">
            <v>0.3</v>
          </cell>
          <cell r="AA25">
            <v>0.2</v>
          </cell>
        </row>
        <row r="26">
          <cell r="D26">
            <v>39387</v>
          </cell>
          <cell r="E26">
            <v>24218349.550000001</v>
          </cell>
          <cell r="F26">
            <v>22945585.73</v>
          </cell>
          <cell r="G26">
            <v>12572.002999999999</v>
          </cell>
          <cell r="H26">
            <v>11766.3</v>
          </cell>
          <cell r="I26">
            <v>0</v>
          </cell>
          <cell r="J26">
            <v>0</v>
          </cell>
          <cell r="K26">
            <v>0.95</v>
          </cell>
          <cell r="L26">
            <v>0.9</v>
          </cell>
          <cell r="M26">
            <v>0.95</v>
          </cell>
          <cell r="N26">
            <v>0.9</v>
          </cell>
          <cell r="W26">
            <v>39387</v>
          </cell>
          <cell r="X26">
            <v>0.45</v>
          </cell>
          <cell r="Y26">
            <v>0.35</v>
          </cell>
          <cell r="Z26">
            <v>0.3</v>
          </cell>
          <cell r="AA26">
            <v>0.2</v>
          </cell>
        </row>
        <row r="27">
          <cell r="D27">
            <v>39417</v>
          </cell>
          <cell r="E27">
            <v>27191059.079999998</v>
          </cell>
          <cell r="F27">
            <v>25854397.259999998</v>
          </cell>
          <cell r="G27">
            <v>13978.934999999999</v>
          </cell>
          <cell r="H27">
            <v>13133.5</v>
          </cell>
          <cell r="I27">
            <v>0</v>
          </cell>
          <cell r="J27">
            <v>0</v>
          </cell>
          <cell r="K27">
            <v>0.95</v>
          </cell>
          <cell r="L27">
            <v>0.9</v>
          </cell>
          <cell r="M27">
            <v>0.95</v>
          </cell>
          <cell r="N27">
            <v>0.9</v>
          </cell>
          <cell r="W27">
            <v>39417</v>
          </cell>
          <cell r="X27">
            <v>0.45</v>
          </cell>
          <cell r="Y27">
            <v>0.35</v>
          </cell>
          <cell r="Z27">
            <v>0.3</v>
          </cell>
          <cell r="AA27">
            <v>0.2</v>
          </cell>
        </row>
        <row r="28">
          <cell r="D28">
            <v>39448</v>
          </cell>
          <cell r="E28">
            <v>2479830</v>
          </cell>
          <cell r="F28">
            <v>2405435</v>
          </cell>
          <cell r="G28">
            <v>1166</v>
          </cell>
          <cell r="H28">
            <v>1119</v>
          </cell>
          <cell r="I28">
            <v>0</v>
          </cell>
          <cell r="J28">
            <v>0</v>
          </cell>
          <cell r="K28">
            <v>0.9</v>
          </cell>
          <cell r="L28">
            <v>0.85</v>
          </cell>
          <cell r="M28">
            <v>0.9</v>
          </cell>
          <cell r="N28">
            <v>0.85</v>
          </cell>
          <cell r="W28">
            <v>39448</v>
          </cell>
          <cell r="X28">
            <v>0.45</v>
          </cell>
          <cell r="Y28">
            <v>0.35</v>
          </cell>
          <cell r="Z28">
            <v>0.3</v>
          </cell>
          <cell r="AA28">
            <v>0.2</v>
          </cell>
        </row>
        <row r="29">
          <cell r="D29">
            <v>39479</v>
          </cell>
          <cell r="E29">
            <v>4959375</v>
          </cell>
          <cell r="F29">
            <v>4512075</v>
          </cell>
          <cell r="G29">
            <v>2277</v>
          </cell>
          <cell r="H29">
            <v>2064</v>
          </cell>
          <cell r="I29">
            <v>0</v>
          </cell>
          <cell r="J29">
            <v>0</v>
          </cell>
          <cell r="K29">
            <v>0.9</v>
          </cell>
          <cell r="L29">
            <v>0.85</v>
          </cell>
          <cell r="M29">
            <v>0.9</v>
          </cell>
          <cell r="N29">
            <v>0.85</v>
          </cell>
          <cell r="W29">
            <v>39479</v>
          </cell>
          <cell r="X29">
            <v>0.45</v>
          </cell>
          <cell r="Y29">
            <v>0.35</v>
          </cell>
          <cell r="Z29">
            <v>0.3</v>
          </cell>
          <cell r="AA29">
            <v>0.2</v>
          </cell>
        </row>
        <row r="30">
          <cell r="D30">
            <v>39508</v>
          </cell>
          <cell r="E30">
            <v>7613978</v>
          </cell>
          <cell r="F30">
            <v>6651215</v>
          </cell>
          <cell r="G30">
            <v>3551</v>
          </cell>
          <cell r="H30">
            <v>3081</v>
          </cell>
          <cell r="I30">
            <v>0</v>
          </cell>
          <cell r="J30">
            <v>0</v>
          </cell>
          <cell r="K30">
            <v>0.9</v>
          </cell>
          <cell r="L30">
            <v>0.85</v>
          </cell>
          <cell r="M30">
            <v>0.9</v>
          </cell>
          <cell r="N30">
            <v>0.85</v>
          </cell>
          <cell r="W30">
            <v>39508</v>
          </cell>
          <cell r="X30">
            <v>0.45</v>
          </cell>
          <cell r="Y30">
            <v>0.35</v>
          </cell>
          <cell r="Z30">
            <v>0.3</v>
          </cell>
          <cell r="AA30">
            <v>0.2</v>
          </cell>
        </row>
        <row r="31">
          <cell r="D31">
            <v>39539</v>
          </cell>
          <cell r="E31">
            <v>10679857.237588599</v>
          </cell>
          <cell r="F31">
            <v>9540473.1999999993</v>
          </cell>
          <cell r="G31">
            <v>4826.5</v>
          </cell>
          <cell r="H31">
            <v>4271.25</v>
          </cell>
          <cell r="I31">
            <v>0</v>
          </cell>
          <cell r="J31">
            <v>0</v>
          </cell>
          <cell r="K31">
            <v>0.9</v>
          </cell>
          <cell r="L31">
            <v>0.85</v>
          </cell>
          <cell r="M31">
            <v>0.9</v>
          </cell>
          <cell r="N31">
            <v>0.85</v>
          </cell>
          <cell r="W31">
            <v>39539</v>
          </cell>
          <cell r="X31">
            <v>0.45</v>
          </cell>
          <cell r="Y31">
            <v>0.35</v>
          </cell>
          <cell r="Z31">
            <v>0.3</v>
          </cell>
          <cell r="AA31">
            <v>0.2</v>
          </cell>
        </row>
        <row r="32">
          <cell r="D32">
            <v>39569</v>
          </cell>
          <cell r="E32">
            <v>13819697</v>
          </cell>
          <cell r="F32">
            <v>12327535</v>
          </cell>
          <cell r="G32">
            <v>6144</v>
          </cell>
          <cell r="H32">
            <v>5417</v>
          </cell>
          <cell r="I32">
            <v>0</v>
          </cell>
          <cell r="J32">
            <v>0</v>
          </cell>
          <cell r="K32">
            <v>0.9</v>
          </cell>
          <cell r="L32">
            <v>0.85</v>
          </cell>
          <cell r="M32">
            <v>0.9</v>
          </cell>
          <cell r="N32">
            <v>0.85</v>
          </cell>
          <cell r="W32">
            <v>39569</v>
          </cell>
          <cell r="X32">
            <v>0.45</v>
          </cell>
          <cell r="Y32">
            <v>0.35</v>
          </cell>
          <cell r="Z32">
            <v>0.3</v>
          </cell>
          <cell r="AA32">
            <v>0.2</v>
          </cell>
        </row>
        <row r="33">
          <cell r="D33">
            <v>39600</v>
          </cell>
          <cell r="E33">
            <v>16843604.229224961</v>
          </cell>
          <cell r="F33">
            <v>15012795.602849431</v>
          </cell>
          <cell r="G33">
            <v>7444.85</v>
          </cell>
          <cell r="H33">
            <v>6552.25</v>
          </cell>
          <cell r="I33">
            <v>0</v>
          </cell>
          <cell r="J33">
            <v>0</v>
          </cell>
          <cell r="K33">
            <v>0.9</v>
          </cell>
          <cell r="L33">
            <v>0.85</v>
          </cell>
          <cell r="M33">
            <v>0.9</v>
          </cell>
          <cell r="N33">
            <v>0.85</v>
          </cell>
          <cell r="W33">
            <v>39600</v>
          </cell>
          <cell r="X33">
            <v>0.45</v>
          </cell>
          <cell r="Y33">
            <v>0.35</v>
          </cell>
          <cell r="Z33">
            <v>0.3</v>
          </cell>
          <cell r="AA33">
            <v>0.2</v>
          </cell>
        </row>
        <row r="34">
          <cell r="D34">
            <v>39630</v>
          </cell>
          <cell r="E34">
            <v>19993845.864699312</v>
          </cell>
          <cell r="F34">
            <v>17875206.883697659</v>
          </cell>
          <cell r="G34">
            <v>8783.8549999999996</v>
          </cell>
          <cell r="H34">
            <v>7750.9250000000002</v>
          </cell>
          <cell r="I34">
            <v>0</v>
          </cell>
          <cell r="J34">
            <v>0</v>
          </cell>
          <cell r="K34">
            <v>0.9</v>
          </cell>
          <cell r="L34">
            <v>0.85</v>
          </cell>
          <cell r="M34">
            <v>0.9</v>
          </cell>
          <cell r="N34">
            <v>0.85</v>
          </cell>
          <cell r="W34">
            <v>39630</v>
          </cell>
          <cell r="X34">
            <v>0.45</v>
          </cell>
          <cell r="Y34">
            <v>0.35</v>
          </cell>
          <cell r="Z34">
            <v>0.3</v>
          </cell>
          <cell r="AA34">
            <v>0.2</v>
          </cell>
        </row>
        <row r="35">
          <cell r="D35">
            <v>39661</v>
          </cell>
          <cell r="E35">
            <v>23076051.268459212</v>
          </cell>
          <cell r="F35">
            <v>20627185.770712703</v>
          </cell>
          <cell r="G35">
            <v>10112.629999999999</v>
          </cell>
          <cell r="H35">
            <v>8918.7000000000007</v>
          </cell>
          <cell r="I35">
            <v>0</v>
          </cell>
          <cell r="J35">
            <v>0</v>
          </cell>
          <cell r="K35">
            <v>0.9</v>
          </cell>
          <cell r="L35">
            <v>0.85</v>
          </cell>
          <cell r="M35">
            <v>0.9</v>
          </cell>
          <cell r="N35">
            <v>0.85</v>
          </cell>
          <cell r="W35">
            <v>39661</v>
          </cell>
          <cell r="X35">
            <v>0.45</v>
          </cell>
          <cell r="Y35">
            <v>0.35</v>
          </cell>
          <cell r="Z35">
            <v>0.3</v>
          </cell>
          <cell r="AA35">
            <v>0.2</v>
          </cell>
        </row>
        <row r="36">
          <cell r="D36">
            <v>39692</v>
          </cell>
          <cell r="E36">
            <v>26196659.080486041</v>
          </cell>
          <cell r="F36">
            <v>23418797.723821051</v>
          </cell>
          <cell r="G36">
            <v>11468.38</v>
          </cell>
          <cell r="H36">
            <v>10114.049999999999</v>
          </cell>
          <cell r="I36">
            <v>0</v>
          </cell>
          <cell r="J36">
            <v>0</v>
          </cell>
          <cell r="K36">
            <v>0.9</v>
          </cell>
          <cell r="L36">
            <v>0.85</v>
          </cell>
          <cell r="M36">
            <v>0.9</v>
          </cell>
          <cell r="N36">
            <v>0.85</v>
          </cell>
          <cell r="W36">
            <v>39692</v>
          </cell>
          <cell r="X36">
            <v>0.45</v>
          </cell>
          <cell r="Y36">
            <v>0.35</v>
          </cell>
          <cell r="Z36">
            <v>0.3</v>
          </cell>
          <cell r="AA36">
            <v>0.2</v>
          </cell>
        </row>
        <row r="37">
          <cell r="D37">
            <v>39722</v>
          </cell>
          <cell r="E37">
            <v>29578281.781438459</v>
          </cell>
          <cell r="F37">
            <v>26348051.11876056</v>
          </cell>
          <cell r="G37">
            <v>12869.53</v>
          </cell>
          <cell r="H37">
            <v>11294.65</v>
          </cell>
          <cell r="I37">
            <v>0</v>
          </cell>
          <cell r="J37">
            <v>0</v>
          </cell>
          <cell r="K37">
            <v>0.9</v>
          </cell>
          <cell r="L37">
            <v>0.85</v>
          </cell>
          <cell r="M37">
            <v>0.9</v>
          </cell>
          <cell r="N37">
            <v>0.85</v>
          </cell>
          <cell r="W37">
            <v>39722</v>
          </cell>
          <cell r="X37">
            <v>0.45</v>
          </cell>
          <cell r="Y37">
            <v>0.35</v>
          </cell>
          <cell r="Z37">
            <v>0.3</v>
          </cell>
          <cell r="AA37">
            <v>0.2</v>
          </cell>
        </row>
        <row r="38">
          <cell r="D38">
            <v>39753</v>
          </cell>
          <cell r="E38">
            <v>31648658.375955816</v>
          </cell>
          <cell r="F38">
            <v>28185218.05517922</v>
          </cell>
          <cell r="G38">
            <v>13716.805</v>
          </cell>
          <cell r="H38">
            <v>12028.225</v>
          </cell>
          <cell r="I38">
            <v>0</v>
          </cell>
          <cell r="J38">
            <v>0</v>
          </cell>
          <cell r="K38">
            <v>0.9</v>
          </cell>
          <cell r="L38">
            <v>0.85</v>
          </cell>
          <cell r="M38">
            <v>0.9</v>
          </cell>
          <cell r="N38">
            <v>0.85</v>
          </cell>
          <cell r="W38">
            <v>39753</v>
          </cell>
          <cell r="X38">
            <v>0.45</v>
          </cell>
          <cell r="Y38">
            <v>0.35</v>
          </cell>
          <cell r="Z38">
            <v>0.3</v>
          </cell>
          <cell r="AA38">
            <v>0.2</v>
          </cell>
        </row>
        <row r="39">
          <cell r="D39">
            <v>39783</v>
          </cell>
          <cell r="E39">
            <v>34026921.14334055</v>
          </cell>
          <cell r="F39">
            <v>30592965.332987603</v>
          </cell>
          <cell r="G39">
            <v>14667.805</v>
          </cell>
          <cell r="H39">
            <v>12993.6</v>
          </cell>
          <cell r="I39">
            <v>0</v>
          </cell>
          <cell r="J39">
            <v>0</v>
          </cell>
          <cell r="K39">
            <v>0.9</v>
          </cell>
          <cell r="L39">
            <v>0.85</v>
          </cell>
          <cell r="M39">
            <v>0.9</v>
          </cell>
          <cell r="N39">
            <v>0.85</v>
          </cell>
          <cell r="W39">
            <v>39783</v>
          </cell>
          <cell r="X39">
            <v>0.45</v>
          </cell>
          <cell r="Y39">
            <v>0.35</v>
          </cell>
          <cell r="Z39">
            <v>0.3</v>
          </cell>
          <cell r="AA39">
            <v>0.2</v>
          </cell>
        </row>
        <row r="40">
          <cell r="D40">
            <v>39083</v>
          </cell>
          <cell r="E40">
            <v>266997</v>
          </cell>
          <cell r="F40">
            <v>161547</v>
          </cell>
          <cell r="G40">
            <v>160</v>
          </cell>
          <cell r="H40">
            <v>90</v>
          </cell>
          <cell r="I40">
            <v>0</v>
          </cell>
          <cell r="J40">
            <v>0</v>
          </cell>
          <cell r="K40">
            <v>0.5</v>
          </cell>
          <cell r="L40">
            <v>0.4</v>
          </cell>
          <cell r="M40">
            <v>0.5</v>
          </cell>
          <cell r="N40">
            <v>0.4</v>
          </cell>
          <cell r="W40"/>
          <cell r="X40"/>
          <cell r="Y40"/>
          <cell r="Z40"/>
          <cell r="AA40"/>
        </row>
        <row r="41">
          <cell r="D41">
            <v>39114</v>
          </cell>
          <cell r="E41">
            <v>1151342</v>
          </cell>
          <cell r="F41">
            <v>527679</v>
          </cell>
          <cell r="G41">
            <v>702</v>
          </cell>
          <cell r="H41">
            <v>287</v>
          </cell>
          <cell r="I41">
            <v>0</v>
          </cell>
          <cell r="J41">
            <v>0</v>
          </cell>
          <cell r="K41">
            <v>0.5</v>
          </cell>
          <cell r="L41">
            <v>0.4</v>
          </cell>
          <cell r="M41">
            <v>0.5</v>
          </cell>
          <cell r="N41">
            <v>0.4</v>
          </cell>
          <cell r="W41"/>
          <cell r="X41"/>
          <cell r="Y41"/>
          <cell r="Z41"/>
          <cell r="AA41"/>
        </row>
        <row r="42">
          <cell r="D42">
            <v>39142</v>
          </cell>
          <cell r="E42">
            <v>1384271</v>
          </cell>
          <cell r="F42">
            <v>758448</v>
          </cell>
          <cell r="G42">
            <v>867</v>
          </cell>
          <cell r="H42">
            <v>450</v>
          </cell>
          <cell r="I42">
            <v>0</v>
          </cell>
          <cell r="J42">
            <v>0</v>
          </cell>
          <cell r="K42">
            <v>0.5</v>
          </cell>
          <cell r="L42">
            <v>0.4</v>
          </cell>
          <cell r="M42">
            <v>0.5</v>
          </cell>
          <cell r="N42">
            <v>0.4</v>
          </cell>
          <cell r="W42"/>
          <cell r="X42"/>
          <cell r="Y42"/>
          <cell r="Z42"/>
          <cell r="AA42"/>
        </row>
        <row r="43">
          <cell r="D43">
            <v>39173</v>
          </cell>
          <cell r="E43">
            <v>2116525.5</v>
          </cell>
          <cell r="F43">
            <v>1024953</v>
          </cell>
          <cell r="G43">
            <v>1269.7149999999999</v>
          </cell>
          <cell r="H43">
            <v>617</v>
          </cell>
          <cell r="I43">
            <v>0</v>
          </cell>
          <cell r="J43">
            <v>0</v>
          </cell>
          <cell r="K43">
            <v>0.5</v>
          </cell>
          <cell r="L43">
            <v>0.4</v>
          </cell>
          <cell r="M43">
            <v>0.5</v>
          </cell>
          <cell r="N43">
            <v>0.4</v>
          </cell>
          <cell r="W43"/>
          <cell r="X43"/>
          <cell r="Y43"/>
          <cell r="Z43"/>
          <cell r="AA43"/>
        </row>
        <row r="44">
          <cell r="D44">
            <v>39203</v>
          </cell>
          <cell r="E44">
            <v>2489265.06</v>
          </cell>
          <cell r="F44">
            <v>1309192.56</v>
          </cell>
          <cell r="G44">
            <v>856.75</v>
          </cell>
          <cell r="H44">
            <v>781.75</v>
          </cell>
          <cell r="I44">
            <v>0</v>
          </cell>
          <cell r="J44">
            <v>0</v>
          </cell>
          <cell r="K44">
            <v>0.5</v>
          </cell>
          <cell r="L44">
            <v>0.4</v>
          </cell>
          <cell r="M44">
            <v>0.5</v>
          </cell>
          <cell r="N44">
            <v>0.4</v>
          </cell>
          <cell r="W44"/>
          <cell r="X44"/>
          <cell r="Y44"/>
          <cell r="Z44"/>
          <cell r="AA44"/>
        </row>
        <row r="45">
          <cell r="D45">
            <v>39234</v>
          </cell>
          <cell r="E45">
            <v>3134696</v>
          </cell>
          <cell r="F45">
            <v>1536498.5</v>
          </cell>
          <cell r="G45">
            <v>1041.1500000000001</v>
          </cell>
          <cell r="H45">
            <v>910</v>
          </cell>
          <cell r="I45">
            <v>0</v>
          </cell>
          <cell r="J45">
            <v>0</v>
          </cell>
          <cell r="K45">
            <v>0.5</v>
          </cell>
          <cell r="L45">
            <v>0.4</v>
          </cell>
          <cell r="M45">
            <v>0.5</v>
          </cell>
          <cell r="N45">
            <v>0.4</v>
          </cell>
          <cell r="W45"/>
          <cell r="X45"/>
          <cell r="Y45"/>
          <cell r="Z45"/>
          <cell r="AA45"/>
        </row>
        <row r="46">
          <cell r="D46">
            <v>39264</v>
          </cell>
          <cell r="E46">
            <v>4113299.5</v>
          </cell>
          <cell r="F46">
            <v>1787782</v>
          </cell>
          <cell r="G46">
            <v>2640.3450000000003</v>
          </cell>
          <cell r="H46">
            <v>1090</v>
          </cell>
          <cell r="I46">
            <v>0</v>
          </cell>
          <cell r="J46">
            <v>0</v>
          </cell>
          <cell r="K46">
            <v>0.5</v>
          </cell>
          <cell r="L46">
            <v>0.4</v>
          </cell>
          <cell r="M46">
            <v>0.5</v>
          </cell>
          <cell r="N46">
            <v>0.4</v>
          </cell>
          <cell r="W46"/>
          <cell r="X46"/>
          <cell r="Y46"/>
          <cell r="Z46"/>
          <cell r="AA46"/>
        </row>
        <row r="47">
          <cell r="D47">
            <v>39295</v>
          </cell>
          <cell r="E47">
            <v>5480376</v>
          </cell>
          <cell r="F47">
            <v>2129421</v>
          </cell>
          <cell r="G47">
            <v>3481.67</v>
          </cell>
          <cell r="H47">
            <v>1247.7</v>
          </cell>
          <cell r="I47">
            <v>0</v>
          </cell>
          <cell r="J47">
            <v>0</v>
          </cell>
          <cell r="K47">
            <v>0.5</v>
          </cell>
          <cell r="L47">
            <v>0.4</v>
          </cell>
          <cell r="M47">
            <v>0.5</v>
          </cell>
          <cell r="N47">
            <v>0.4</v>
          </cell>
          <cell r="W47"/>
          <cell r="X47"/>
          <cell r="Y47"/>
          <cell r="Z47"/>
          <cell r="AA47"/>
        </row>
        <row r="48">
          <cell r="D48">
            <v>39326</v>
          </cell>
          <cell r="E48">
            <v>6294810.7000000002</v>
          </cell>
          <cell r="F48">
            <v>2470980.7000000002</v>
          </cell>
          <cell r="G48">
            <v>3975.42</v>
          </cell>
          <cell r="H48">
            <v>1426.2</v>
          </cell>
          <cell r="I48">
            <v>0</v>
          </cell>
          <cell r="J48">
            <v>0</v>
          </cell>
          <cell r="K48">
            <v>0.5</v>
          </cell>
          <cell r="L48">
            <v>0.4</v>
          </cell>
          <cell r="M48">
            <v>0.5</v>
          </cell>
          <cell r="N48">
            <v>0.4</v>
          </cell>
          <cell r="W48"/>
          <cell r="X48"/>
          <cell r="Y48"/>
          <cell r="Z48"/>
          <cell r="AA48"/>
        </row>
        <row r="49">
          <cell r="D49">
            <v>39356</v>
          </cell>
          <cell r="E49">
            <v>7154467.1600000001</v>
          </cell>
          <cell r="F49">
            <v>2773462.16</v>
          </cell>
          <cell r="G49">
            <v>4507.2449999999999</v>
          </cell>
          <cell r="H49">
            <v>1586.575</v>
          </cell>
          <cell r="I49">
            <v>0</v>
          </cell>
          <cell r="J49">
            <v>0</v>
          </cell>
          <cell r="K49">
            <v>0.5</v>
          </cell>
          <cell r="L49">
            <v>0.4</v>
          </cell>
          <cell r="M49">
            <v>0.5</v>
          </cell>
          <cell r="N49">
            <v>0.4</v>
          </cell>
          <cell r="W49"/>
          <cell r="X49"/>
          <cell r="Y49"/>
          <cell r="Z49"/>
          <cell r="AA49"/>
        </row>
        <row r="50">
          <cell r="D50">
            <v>39387</v>
          </cell>
          <cell r="E50">
            <v>7934162.1600000001</v>
          </cell>
          <cell r="F50">
            <v>3138863.16</v>
          </cell>
          <cell r="G50">
            <v>4986.0009999999993</v>
          </cell>
          <cell r="H50">
            <v>1789.135</v>
          </cell>
          <cell r="I50">
            <v>0</v>
          </cell>
          <cell r="J50">
            <v>0</v>
          </cell>
          <cell r="K50">
            <v>0.5</v>
          </cell>
          <cell r="L50">
            <v>0.4</v>
          </cell>
          <cell r="M50">
            <v>0.5</v>
          </cell>
          <cell r="N50">
            <v>0.4</v>
          </cell>
          <cell r="W50"/>
          <cell r="X50"/>
          <cell r="Y50"/>
          <cell r="Z50"/>
          <cell r="AA50"/>
        </row>
        <row r="51">
          <cell r="D51">
            <v>39417</v>
          </cell>
          <cell r="E51">
            <v>8946368.42090909</v>
          </cell>
          <cell r="F51">
            <v>3616099.33</v>
          </cell>
          <cell r="G51">
            <v>5597.9977272727265</v>
          </cell>
          <cell r="H51">
            <v>2044.4849999999999</v>
          </cell>
          <cell r="I51">
            <v>0</v>
          </cell>
          <cell r="J51">
            <v>0</v>
          </cell>
          <cell r="K51">
            <v>0.5</v>
          </cell>
          <cell r="L51">
            <v>0.4</v>
          </cell>
          <cell r="M51">
            <v>0.5</v>
          </cell>
          <cell r="N51">
            <v>0.4</v>
          </cell>
          <cell r="W51"/>
          <cell r="X51"/>
          <cell r="Y51"/>
          <cell r="Z51"/>
          <cell r="AA51"/>
        </row>
        <row r="52">
          <cell r="D52">
            <v>39448</v>
          </cell>
          <cell r="E52">
            <v>656524</v>
          </cell>
          <cell r="F52">
            <v>269175</v>
          </cell>
          <cell r="G52">
            <v>397</v>
          </cell>
          <cell r="H52">
            <v>147</v>
          </cell>
          <cell r="I52">
            <v>0</v>
          </cell>
          <cell r="J52">
            <v>0</v>
          </cell>
          <cell r="K52">
            <v>0.35</v>
          </cell>
          <cell r="L52">
            <v>0.25</v>
          </cell>
          <cell r="M52">
            <v>0.35</v>
          </cell>
          <cell r="N52">
            <v>0.25</v>
          </cell>
          <cell r="W52"/>
          <cell r="X52"/>
          <cell r="Y52"/>
          <cell r="Z52"/>
          <cell r="AA52"/>
        </row>
        <row r="53">
          <cell r="D53">
            <v>39479</v>
          </cell>
          <cell r="E53">
            <v>1689370</v>
          </cell>
          <cell r="F53">
            <v>576270</v>
          </cell>
          <cell r="G53">
            <v>924</v>
          </cell>
          <cell r="H53">
            <v>307</v>
          </cell>
          <cell r="I53">
            <v>0</v>
          </cell>
          <cell r="J53">
            <v>0</v>
          </cell>
          <cell r="K53">
            <v>0.35</v>
          </cell>
          <cell r="L53">
            <v>0.25</v>
          </cell>
          <cell r="M53">
            <v>0.35</v>
          </cell>
          <cell r="N53">
            <v>0.25</v>
          </cell>
        </row>
        <row r="54">
          <cell r="D54">
            <v>39508</v>
          </cell>
          <cell r="E54">
            <v>2396560</v>
          </cell>
          <cell r="F54">
            <v>698413</v>
          </cell>
          <cell r="G54">
            <v>1387</v>
          </cell>
          <cell r="H54">
            <v>361</v>
          </cell>
          <cell r="I54">
            <v>0</v>
          </cell>
          <cell r="J54">
            <v>0</v>
          </cell>
          <cell r="K54">
            <v>0.35</v>
          </cell>
          <cell r="L54">
            <v>0.25</v>
          </cell>
          <cell r="M54">
            <v>0.35</v>
          </cell>
          <cell r="N54">
            <v>0.25</v>
          </cell>
        </row>
        <row r="55">
          <cell r="D55">
            <v>39539</v>
          </cell>
          <cell r="E55">
            <v>3115717.941815</v>
          </cell>
          <cell r="F55">
            <v>937068.9</v>
          </cell>
          <cell r="G55">
            <v>1793.38</v>
          </cell>
          <cell r="H55">
            <v>475.18</v>
          </cell>
          <cell r="I55">
            <v>0</v>
          </cell>
          <cell r="J55">
            <v>0</v>
          </cell>
          <cell r="K55">
            <v>0.35</v>
          </cell>
          <cell r="L55">
            <v>0.25</v>
          </cell>
          <cell r="M55">
            <v>0.35</v>
          </cell>
          <cell r="N55">
            <v>0.25</v>
          </cell>
        </row>
        <row r="56">
          <cell r="D56">
            <v>39569</v>
          </cell>
          <cell r="E56">
            <v>4072455</v>
          </cell>
          <cell r="F56">
            <v>1214060</v>
          </cell>
          <cell r="G56">
            <v>2334</v>
          </cell>
          <cell r="H56">
            <v>608</v>
          </cell>
          <cell r="I56">
            <v>0</v>
          </cell>
          <cell r="J56">
            <v>0</v>
          </cell>
          <cell r="K56">
            <v>0.35</v>
          </cell>
          <cell r="L56">
            <v>0.25</v>
          </cell>
          <cell r="M56">
            <v>0.35</v>
          </cell>
          <cell r="N56">
            <v>0.25</v>
          </cell>
        </row>
        <row r="57">
          <cell r="D57">
            <v>39600</v>
          </cell>
          <cell r="E57">
            <v>5174971.6955892593</v>
          </cell>
          <cell r="F57">
            <v>1680524.3560551214</v>
          </cell>
          <cell r="G57">
            <v>2950.54</v>
          </cell>
          <cell r="H57">
            <v>840.09</v>
          </cell>
          <cell r="I57">
            <v>0</v>
          </cell>
          <cell r="J57">
            <v>0</v>
          </cell>
          <cell r="K57">
            <v>0.35</v>
          </cell>
          <cell r="L57">
            <v>0.25</v>
          </cell>
          <cell r="M57">
            <v>0.35</v>
          </cell>
          <cell r="N57">
            <v>0.25</v>
          </cell>
        </row>
        <row r="58">
          <cell r="D58">
            <v>39630</v>
          </cell>
          <cell r="E58">
            <v>6591237.2212840412</v>
          </cell>
          <cell r="F58">
            <v>2116235.3644101443</v>
          </cell>
          <cell r="G58">
            <v>3759.355</v>
          </cell>
          <cell r="H58">
            <v>1065.8150000000001</v>
          </cell>
          <cell r="I58">
            <v>0</v>
          </cell>
          <cell r="J58">
            <v>0</v>
          </cell>
          <cell r="K58">
            <v>0.35</v>
          </cell>
          <cell r="L58">
            <v>0.25</v>
          </cell>
          <cell r="M58">
            <v>0.35</v>
          </cell>
          <cell r="N58">
            <v>0.25</v>
          </cell>
        </row>
        <row r="59">
          <cell r="D59">
            <v>39661</v>
          </cell>
          <cell r="E59">
            <v>7944561.616864549</v>
          </cell>
          <cell r="F59">
            <v>2617314.5062363236</v>
          </cell>
          <cell r="G59">
            <v>4519.3549999999996</v>
          </cell>
          <cell r="H59">
            <v>1318.3150000000001</v>
          </cell>
          <cell r="I59">
            <v>0</v>
          </cell>
          <cell r="J59">
            <v>0</v>
          </cell>
          <cell r="K59">
            <v>0.35</v>
          </cell>
          <cell r="L59">
            <v>0.25</v>
          </cell>
          <cell r="M59">
            <v>0.35</v>
          </cell>
          <cell r="N59">
            <v>0.25</v>
          </cell>
        </row>
        <row r="60">
          <cell r="D60">
            <v>39692</v>
          </cell>
          <cell r="E60">
            <v>9367927.1972839143</v>
          </cell>
          <cell r="F60">
            <v>3147299.9629675578</v>
          </cell>
          <cell r="G60">
            <v>5318.88</v>
          </cell>
          <cell r="H60">
            <v>1585.44</v>
          </cell>
          <cell r="I60">
            <v>0</v>
          </cell>
          <cell r="J60">
            <v>0</v>
          </cell>
          <cell r="K60">
            <v>0.35</v>
          </cell>
          <cell r="L60">
            <v>0.25</v>
          </cell>
          <cell r="M60">
            <v>0.35</v>
          </cell>
          <cell r="N60">
            <v>0.25</v>
          </cell>
        </row>
        <row r="61">
          <cell r="D61">
            <v>39722</v>
          </cell>
          <cell r="E61">
            <v>11017347.729537796</v>
          </cell>
          <cell r="F61">
            <v>3783291.9338144325</v>
          </cell>
          <cell r="G61">
            <v>6240.8050000000003</v>
          </cell>
          <cell r="H61">
            <v>1895.365</v>
          </cell>
          <cell r="I61">
            <v>0</v>
          </cell>
          <cell r="J61">
            <v>0</v>
          </cell>
          <cell r="K61">
            <v>0.35</v>
          </cell>
          <cell r="L61">
            <v>0.25</v>
          </cell>
          <cell r="M61">
            <v>0.35</v>
          </cell>
          <cell r="N61">
            <v>0.25</v>
          </cell>
        </row>
        <row r="62">
          <cell r="D62">
            <v>39753</v>
          </cell>
          <cell r="E62">
            <v>12096084.739178009</v>
          </cell>
          <cell r="F62">
            <v>4319799.2048633145</v>
          </cell>
          <cell r="G62">
            <v>6817.53</v>
          </cell>
          <cell r="H62">
            <v>2147.4899999999998</v>
          </cell>
          <cell r="I62">
            <v>0</v>
          </cell>
          <cell r="J62">
            <v>0</v>
          </cell>
          <cell r="K62">
            <v>0.35</v>
          </cell>
          <cell r="L62">
            <v>0.25</v>
          </cell>
          <cell r="M62">
            <v>0.35</v>
          </cell>
          <cell r="N62">
            <v>0.25</v>
          </cell>
        </row>
        <row r="63">
          <cell r="D63">
            <v>39783</v>
          </cell>
          <cell r="E63">
            <v>13391812.413926782</v>
          </cell>
          <cell r="F63">
            <v>4983398.1546439109</v>
          </cell>
          <cell r="G63">
            <v>7503.3449999999993</v>
          </cell>
          <cell r="H63">
            <v>2452.4650000000001</v>
          </cell>
          <cell r="I63">
            <v>0</v>
          </cell>
          <cell r="J63">
            <v>0</v>
          </cell>
          <cell r="K63">
            <v>0.35</v>
          </cell>
          <cell r="L63">
            <v>0.25</v>
          </cell>
          <cell r="M63">
            <v>0.35</v>
          </cell>
          <cell r="N63">
            <v>0.25</v>
          </cell>
        </row>
        <row r="64">
          <cell r="D64">
            <v>39083</v>
          </cell>
          <cell r="E64">
            <v>1491998</v>
          </cell>
          <cell r="F64">
            <v>470773</v>
          </cell>
          <cell r="G64">
            <v>3924</v>
          </cell>
          <cell r="H64">
            <v>1317</v>
          </cell>
          <cell r="I64">
            <v>0</v>
          </cell>
          <cell r="J64">
            <v>0</v>
          </cell>
          <cell r="K64">
            <v>0.25</v>
          </cell>
          <cell r="L64">
            <v>0.2</v>
          </cell>
          <cell r="M64">
            <v>0.25</v>
          </cell>
          <cell r="N64">
            <v>0.2</v>
          </cell>
        </row>
        <row r="65">
          <cell r="D65">
            <v>39114</v>
          </cell>
          <cell r="E65">
            <v>2983170</v>
          </cell>
          <cell r="F65">
            <v>955340</v>
          </cell>
          <cell r="G65">
            <v>7584</v>
          </cell>
          <cell r="H65">
            <v>2593</v>
          </cell>
          <cell r="I65">
            <v>0</v>
          </cell>
          <cell r="J65">
            <v>0</v>
          </cell>
          <cell r="K65">
            <v>0.25</v>
          </cell>
          <cell r="L65">
            <v>0.2</v>
          </cell>
          <cell r="M65">
            <v>0.25</v>
          </cell>
          <cell r="N65">
            <v>0.2</v>
          </cell>
        </row>
        <row r="66">
          <cell r="D66">
            <v>39142</v>
          </cell>
          <cell r="E66">
            <v>5806797</v>
          </cell>
          <cell r="F66">
            <v>1185453</v>
          </cell>
          <cell r="G66">
            <v>14547</v>
          </cell>
          <cell r="H66">
            <v>3140</v>
          </cell>
          <cell r="I66">
            <v>0</v>
          </cell>
          <cell r="J66">
            <v>0</v>
          </cell>
          <cell r="K66">
            <v>0.25</v>
          </cell>
          <cell r="L66">
            <v>0.2</v>
          </cell>
          <cell r="M66">
            <v>0.25</v>
          </cell>
          <cell r="N66">
            <v>0.2</v>
          </cell>
        </row>
        <row r="67">
          <cell r="D67">
            <v>39173</v>
          </cell>
          <cell r="E67">
            <v>7358562.4800000004</v>
          </cell>
          <cell r="F67">
            <v>1472676</v>
          </cell>
          <cell r="G67">
            <v>18316.02</v>
          </cell>
          <cell r="H67">
            <v>3814.21</v>
          </cell>
          <cell r="I67">
            <v>0</v>
          </cell>
          <cell r="J67">
            <v>0</v>
          </cell>
          <cell r="K67">
            <v>0.25</v>
          </cell>
          <cell r="L67">
            <v>0.2</v>
          </cell>
          <cell r="M67">
            <v>0.25</v>
          </cell>
          <cell r="N67">
            <v>0.2</v>
          </cell>
        </row>
        <row r="68">
          <cell r="D68">
            <v>39203</v>
          </cell>
          <cell r="E68">
            <v>9738124.5599999987</v>
          </cell>
          <cell r="F68">
            <v>1670854.08</v>
          </cell>
          <cell r="G68">
            <v>20359.8</v>
          </cell>
          <cell r="H68">
            <v>4285.99</v>
          </cell>
          <cell r="I68">
            <v>0</v>
          </cell>
          <cell r="J68">
            <v>0</v>
          </cell>
          <cell r="K68">
            <v>0.25</v>
          </cell>
          <cell r="L68">
            <v>0.2</v>
          </cell>
          <cell r="M68">
            <v>0.25</v>
          </cell>
          <cell r="N68">
            <v>0.2</v>
          </cell>
        </row>
        <row r="69">
          <cell r="D69">
            <v>39234</v>
          </cell>
          <cell r="E69">
            <v>11075646.140000001</v>
          </cell>
          <cell r="F69">
            <v>1898483.66</v>
          </cell>
          <cell r="G69">
            <v>4828.2700000000004</v>
          </cell>
          <cell r="H69">
            <v>4828.2700000000004</v>
          </cell>
          <cell r="I69">
            <v>0</v>
          </cell>
          <cell r="J69">
            <v>0</v>
          </cell>
          <cell r="K69">
            <v>0.25</v>
          </cell>
          <cell r="L69">
            <v>0.2</v>
          </cell>
          <cell r="M69">
            <v>0.25</v>
          </cell>
          <cell r="N69">
            <v>0.2</v>
          </cell>
        </row>
        <row r="70">
          <cell r="D70">
            <v>39264</v>
          </cell>
          <cell r="E70">
            <v>13585286.48</v>
          </cell>
          <cell r="F70">
            <v>2486748</v>
          </cell>
          <cell r="G70">
            <v>33496.976666666669</v>
          </cell>
          <cell r="H70">
            <v>6150</v>
          </cell>
          <cell r="I70">
            <v>0</v>
          </cell>
          <cell r="J70">
            <v>0</v>
          </cell>
          <cell r="K70">
            <v>0.25</v>
          </cell>
          <cell r="L70">
            <v>0.2</v>
          </cell>
          <cell r="M70">
            <v>0.25</v>
          </cell>
          <cell r="N70">
            <v>0.2</v>
          </cell>
        </row>
        <row r="71">
          <cell r="D71">
            <v>39295</v>
          </cell>
          <cell r="E71">
            <v>16390018.68</v>
          </cell>
          <cell r="F71">
            <v>2960815</v>
          </cell>
          <cell r="G71">
            <v>40498.07166666667</v>
          </cell>
          <cell r="H71">
            <v>7277.415</v>
          </cell>
          <cell r="I71">
            <v>0</v>
          </cell>
          <cell r="J71">
            <v>0</v>
          </cell>
          <cell r="K71">
            <v>0.25</v>
          </cell>
          <cell r="L71">
            <v>0.2</v>
          </cell>
          <cell r="M71">
            <v>0.25</v>
          </cell>
          <cell r="N71">
            <v>0.2</v>
          </cell>
        </row>
        <row r="72">
          <cell r="D72">
            <v>39326</v>
          </cell>
          <cell r="E72">
            <v>19175452.960000001</v>
          </cell>
          <cell r="F72">
            <v>3460855.28</v>
          </cell>
          <cell r="G72">
            <v>47300.521666666667</v>
          </cell>
          <cell r="H72">
            <v>8437.8649999999998</v>
          </cell>
          <cell r="I72">
            <v>0</v>
          </cell>
          <cell r="J72">
            <v>0</v>
          </cell>
          <cell r="K72">
            <v>0.25</v>
          </cell>
          <cell r="L72">
            <v>0.2</v>
          </cell>
          <cell r="M72">
            <v>0.25</v>
          </cell>
          <cell r="N72">
            <v>0.2</v>
          </cell>
        </row>
        <row r="73">
          <cell r="D73">
            <v>39356</v>
          </cell>
          <cell r="E73">
            <v>22554575.560000002</v>
          </cell>
          <cell r="F73">
            <v>3840192.68</v>
          </cell>
          <cell r="G73">
            <v>55567.08666666667</v>
          </cell>
          <cell r="H73">
            <v>9308.7800000000007</v>
          </cell>
          <cell r="I73">
            <v>0</v>
          </cell>
          <cell r="J73">
            <v>0</v>
          </cell>
          <cell r="K73">
            <v>0.25</v>
          </cell>
          <cell r="L73">
            <v>0.2</v>
          </cell>
          <cell r="M73">
            <v>0.25</v>
          </cell>
          <cell r="N73">
            <v>0.2</v>
          </cell>
        </row>
        <row r="74">
          <cell r="D74">
            <v>39387</v>
          </cell>
          <cell r="E74">
            <v>22917717.359999999</v>
          </cell>
          <cell r="F74">
            <v>4323035.68</v>
          </cell>
          <cell r="G74">
            <v>56445.936666666668</v>
          </cell>
          <cell r="H74">
            <v>10437.780000000001</v>
          </cell>
          <cell r="I74">
            <v>0</v>
          </cell>
          <cell r="J74">
            <v>0</v>
          </cell>
          <cell r="K74">
            <v>0.25</v>
          </cell>
          <cell r="L74">
            <v>0.2</v>
          </cell>
          <cell r="M74">
            <v>0.25</v>
          </cell>
          <cell r="N74">
            <v>0.2</v>
          </cell>
        </row>
        <row r="75">
          <cell r="D75">
            <v>39417</v>
          </cell>
          <cell r="E75">
            <v>25358437.733636364</v>
          </cell>
          <cell r="F75">
            <v>4762071.29</v>
          </cell>
          <cell r="G75">
            <v>62396.509393939392</v>
          </cell>
          <cell r="H75">
            <v>11460.55</v>
          </cell>
          <cell r="I75">
            <v>0</v>
          </cell>
          <cell r="J75">
            <v>0</v>
          </cell>
          <cell r="K75">
            <v>0.25</v>
          </cell>
          <cell r="L75">
            <v>0.2</v>
          </cell>
          <cell r="M75">
            <v>0.25</v>
          </cell>
          <cell r="N75">
            <v>0.2</v>
          </cell>
        </row>
        <row r="76">
          <cell r="D76">
            <v>39448</v>
          </cell>
          <cell r="E76">
            <v>3524237.04</v>
          </cell>
          <cell r="F76">
            <v>467837</v>
          </cell>
          <cell r="G76">
            <v>7856</v>
          </cell>
          <cell r="H76">
            <v>1055</v>
          </cell>
          <cell r="I76">
            <v>0</v>
          </cell>
          <cell r="J76">
            <v>0</v>
          </cell>
          <cell r="K76">
            <v>0.2</v>
          </cell>
          <cell r="L76">
            <v>0.15</v>
          </cell>
          <cell r="M76">
            <v>0.2</v>
          </cell>
          <cell r="N76">
            <v>0.15</v>
          </cell>
        </row>
        <row r="77">
          <cell r="D77">
            <v>39479</v>
          </cell>
          <cell r="E77">
            <v>7135109.5099999998</v>
          </cell>
          <cell r="F77">
            <v>1079759</v>
          </cell>
          <cell r="G77">
            <v>15711</v>
          </cell>
          <cell r="H77">
            <v>2383</v>
          </cell>
          <cell r="I77">
            <v>0</v>
          </cell>
          <cell r="J77">
            <v>0</v>
          </cell>
          <cell r="K77">
            <v>0.2</v>
          </cell>
          <cell r="L77">
            <v>0.15</v>
          </cell>
          <cell r="M77">
            <v>0.2</v>
          </cell>
          <cell r="N77">
            <v>0.15</v>
          </cell>
        </row>
        <row r="78">
          <cell r="D78">
            <v>39508</v>
          </cell>
          <cell r="E78">
            <v>10933106.58</v>
          </cell>
          <cell r="F78">
            <v>1784756</v>
          </cell>
          <cell r="G78">
            <v>23567</v>
          </cell>
          <cell r="H78">
            <v>3800</v>
          </cell>
          <cell r="I78">
            <v>0</v>
          </cell>
          <cell r="J78">
            <v>0</v>
          </cell>
          <cell r="K78">
            <v>0.2</v>
          </cell>
          <cell r="L78">
            <v>0.15</v>
          </cell>
          <cell r="M78">
            <v>0.2</v>
          </cell>
          <cell r="N78">
            <v>0.15</v>
          </cell>
        </row>
        <row r="79">
          <cell r="D79">
            <v>39539</v>
          </cell>
          <cell r="E79">
            <v>14756818.77</v>
          </cell>
          <cell r="F79">
            <v>2555818.77</v>
          </cell>
          <cell r="G79">
            <v>31423</v>
          </cell>
          <cell r="H79">
            <v>5247.78</v>
          </cell>
          <cell r="I79">
            <v>0</v>
          </cell>
          <cell r="J79">
            <v>0</v>
          </cell>
          <cell r="K79">
            <v>0.2</v>
          </cell>
          <cell r="L79">
            <v>0.15</v>
          </cell>
          <cell r="M79">
            <v>0.2</v>
          </cell>
          <cell r="N79">
            <v>0.15</v>
          </cell>
        </row>
        <row r="80">
          <cell r="D80">
            <v>39569</v>
          </cell>
          <cell r="E80">
            <v>22248453.755845234</v>
          </cell>
          <cell r="F80">
            <v>3246173</v>
          </cell>
          <cell r="G80">
            <v>39280</v>
          </cell>
          <cell r="H80">
            <v>6549</v>
          </cell>
          <cell r="I80">
            <v>0</v>
          </cell>
          <cell r="J80">
            <v>0</v>
          </cell>
          <cell r="K80">
            <v>0.2</v>
          </cell>
          <cell r="L80">
            <v>0.15</v>
          </cell>
          <cell r="M80">
            <v>0.2</v>
          </cell>
          <cell r="N80">
            <v>0.15</v>
          </cell>
        </row>
        <row r="81">
          <cell r="D81">
            <v>39600</v>
          </cell>
          <cell r="E81">
            <v>21832953.755845234</v>
          </cell>
          <cell r="F81">
            <v>3926603.7558452343</v>
          </cell>
          <cell r="G81">
            <v>47134.889000000003</v>
          </cell>
          <cell r="H81">
            <v>7797.8890000000001</v>
          </cell>
          <cell r="I81">
            <v>0</v>
          </cell>
          <cell r="J81">
            <v>0</v>
          </cell>
          <cell r="K81">
            <v>0.2</v>
          </cell>
          <cell r="L81">
            <v>0.15</v>
          </cell>
          <cell r="M81">
            <v>0.2</v>
          </cell>
          <cell r="N81">
            <v>0.15</v>
          </cell>
        </row>
        <row r="82">
          <cell r="D82">
            <v>39630</v>
          </cell>
          <cell r="E82">
            <v>26880992.535845239</v>
          </cell>
          <cell r="F82">
            <v>4806009.5358452396</v>
          </cell>
          <cell r="G82">
            <v>57664.306000000004</v>
          </cell>
          <cell r="H82">
            <v>9241.7459999999992</v>
          </cell>
          <cell r="I82">
            <v>0</v>
          </cell>
          <cell r="J82">
            <v>0</v>
          </cell>
          <cell r="K82">
            <v>0.2</v>
          </cell>
          <cell r="L82">
            <v>0.15</v>
          </cell>
          <cell r="M82">
            <v>0.2</v>
          </cell>
          <cell r="N82">
            <v>0.15</v>
          </cell>
        </row>
        <row r="83">
          <cell r="D83">
            <v>39661</v>
          </cell>
          <cell r="E83">
            <v>30280300.835845236</v>
          </cell>
          <cell r="F83">
            <v>5605217.8358452357</v>
          </cell>
          <cell r="G83">
            <v>64781.786000000007</v>
          </cell>
          <cell r="H83">
            <v>10571.226000000001</v>
          </cell>
          <cell r="I83">
            <v>0</v>
          </cell>
          <cell r="J83">
            <v>0</v>
          </cell>
          <cell r="K83">
            <v>0.2</v>
          </cell>
          <cell r="L83">
            <v>0.15</v>
          </cell>
          <cell r="M83">
            <v>0.2</v>
          </cell>
          <cell r="N83">
            <v>0.15</v>
          </cell>
        </row>
        <row r="84">
          <cell r="D84">
            <v>39692</v>
          </cell>
          <cell r="E84">
            <v>34801324.455845237</v>
          </cell>
          <cell r="F84">
            <v>6305441.4558452331</v>
          </cell>
          <cell r="G84">
            <v>74254.275999999998</v>
          </cell>
          <cell r="H84">
            <v>11727.716</v>
          </cell>
          <cell r="I84">
            <v>0</v>
          </cell>
          <cell r="J84">
            <v>0</v>
          </cell>
          <cell r="K84">
            <v>0.2</v>
          </cell>
          <cell r="L84">
            <v>0.15</v>
          </cell>
          <cell r="M84">
            <v>0.2</v>
          </cell>
          <cell r="N84">
            <v>0.15</v>
          </cell>
        </row>
        <row r="85">
          <cell r="D85">
            <v>39722</v>
          </cell>
          <cell r="E85">
            <v>38417743.245845228</v>
          </cell>
          <cell r="F85">
            <v>7232510.2458452312</v>
          </cell>
          <cell r="G85">
            <v>81514.12</v>
          </cell>
          <cell r="H85">
            <v>13004.56</v>
          </cell>
          <cell r="I85">
            <v>0</v>
          </cell>
          <cell r="J85">
            <v>0</v>
          </cell>
          <cell r="K85">
            <v>0.2</v>
          </cell>
          <cell r="L85">
            <v>0.15</v>
          </cell>
          <cell r="M85">
            <v>0.2</v>
          </cell>
          <cell r="N85">
            <v>0.15</v>
          </cell>
        </row>
        <row r="86">
          <cell r="D86">
            <v>39753</v>
          </cell>
          <cell r="E86">
            <v>42537326.945845231</v>
          </cell>
          <cell r="F86">
            <v>7965993.9458452333</v>
          </cell>
          <cell r="G86">
            <v>89875.34</v>
          </cell>
          <cell r="H86">
            <v>14005.78</v>
          </cell>
          <cell r="I86">
            <v>0</v>
          </cell>
          <cell r="J86">
            <v>0</v>
          </cell>
          <cell r="K86">
            <v>0.2</v>
          </cell>
          <cell r="L86">
            <v>0.15</v>
          </cell>
          <cell r="M86">
            <v>0.2</v>
          </cell>
          <cell r="N86">
            <v>0.15</v>
          </cell>
        </row>
        <row r="87">
          <cell r="D87">
            <v>39783</v>
          </cell>
          <cell r="E87">
            <v>47302842.835845232</v>
          </cell>
          <cell r="F87">
            <v>9076359.8358452339</v>
          </cell>
          <cell r="G87">
            <v>99447.02</v>
          </cell>
          <cell r="H87">
            <v>15543.86</v>
          </cell>
          <cell r="I87">
            <v>0</v>
          </cell>
          <cell r="J87">
            <v>0</v>
          </cell>
          <cell r="K87">
            <v>0.2</v>
          </cell>
          <cell r="L87">
            <v>0.15</v>
          </cell>
          <cell r="M87">
            <v>0.2</v>
          </cell>
          <cell r="N87">
            <v>0.15</v>
          </cell>
        </row>
        <row r="88">
          <cell r="D88">
            <v>39083</v>
          </cell>
          <cell r="E88">
            <v>720924</v>
          </cell>
          <cell r="F88">
            <v>538409</v>
          </cell>
          <cell r="G88">
            <v>1290</v>
          </cell>
          <cell r="H88">
            <v>885</v>
          </cell>
          <cell r="I88">
            <v>0</v>
          </cell>
          <cell r="J88">
            <v>0</v>
          </cell>
          <cell r="K88">
            <v>0.6</v>
          </cell>
          <cell r="L88">
            <v>0.5</v>
          </cell>
          <cell r="M88">
            <v>0.6</v>
          </cell>
          <cell r="N88">
            <v>0.5</v>
          </cell>
        </row>
        <row r="89">
          <cell r="D89">
            <v>39114</v>
          </cell>
          <cell r="E89">
            <v>1491616</v>
          </cell>
          <cell r="F89">
            <v>909011</v>
          </cell>
          <cell r="G89">
            <v>2533</v>
          </cell>
          <cell r="H89">
            <v>1529</v>
          </cell>
          <cell r="I89">
            <v>0</v>
          </cell>
          <cell r="J89">
            <v>0</v>
          </cell>
          <cell r="K89">
            <v>0.6</v>
          </cell>
          <cell r="L89">
            <v>0.5</v>
          </cell>
          <cell r="M89">
            <v>0.6</v>
          </cell>
          <cell r="N89">
            <v>0.5</v>
          </cell>
        </row>
        <row r="90">
          <cell r="D90">
            <v>39142</v>
          </cell>
          <cell r="E90">
            <v>1992913</v>
          </cell>
          <cell r="F90">
            <v>1361025</v>
          </cell>
          <cell r="G90">
            <v>3398</v>
          </cell>
          <cell r="H90">
            <v>2309</v>
          </cell>
          <cell r="I90">
            <v>0</v>
          </cell>
          <cell r="J90">
            <v>0</v>
          </cell>
          <cell r="K90">
            <v>0.6</v>
          </cell>
          <cell r="L90">
            <v>0.5</v>
          </cell>
          <cell r="M90">
            <v>0.6</v>
          </cell>
          <cell r="N90">
            <v>0.5</v>
          </cell>
        </row>
        <row r="91">
          <cell r="D91">
            <v>39173</v>
          </cell>
          <cell r="E91">
            <v>2671154</v>
          </cell>
          <cell r="F91">
            <v>1826754</v>
          </cell>
          <cell r="G91">
            <v>4537.6549999999997</v>
          </cell>
          <cell r="H91">
            <v>3082.6749999999997</v>
          </cell>
          <cell r="I91">
            <v>0</v>
          </cell>
          <cell r="J91">
            <v>0</v>
          </cell>
          <cell r="K91">
            <v>0.6</v>
          </cell>
          <cell r="L91">
            <v>0.5</v>
          </cell>
          <cell r="M91">
            <v>0.6</v>
          </cell>
          <cell r="N91">
            <v>0.5</v>
          </cell>
        </row>
        <row r="92">
          <cell r="D92">
            <v>39203</v>
          </cell>
          <cell r="E92">
            <v>3517129.38</v>
          </cell>
          <cell r="F92">
            <v>2310549.38</v>
          </cell>
          <cell r="G92">
            <v>3916.18</v>
          </cell>
          <cell r="H92">
            <v>3864.6</v>
          </cell>
          <cell r="I92">
            <v>0</v>
          </cell>
          <cell r="J92">
            <v>0</v>
          </cell>
          <cell r="K92">
            <v>0.6</v>
          </cell>
          <cell r="L92">
            <v>0.5</v>
          </cell>
          <cell r="M92">
            <v>0.6</v>
          </cell>
          <cell r="N92">
            <v>0.5</v>
          </cell>
        </row>
        <row r="93">
          <cell r="D93">
            <v>39234</v>
          </cell>
          <cell r="E93">
            <v>4324244.88</v>
          </cell>
          <cell r="F93">
            <v>2817204.88</v>
          </cell>
          <cell r="G93">
            <v>4625.192</v>
          </cell>
          <cell r="H93">
            <v>4612.192</v>
          </cell>
          <cell r="I93">
            <v>0</v>
          </cell>
          <cell r="J93">
            <v>0</v>
          </cell>
          <cell r="K93">
            <v>0.6</v>
          </cell>
          <cell r="L93">
            <v>0.5</v>
          </cell>
          <cell r="M93">
            <v>0.6</v>
          </cell>
          <cell r="N93">
            <v>0.5</v>
          </cell>
        </row>
        <row r="94">
          <cell r="D94">
            <v>39264</v>
          </cell>
          <cell r="E94">
            <v>5283216</v>
          </cell>
          <cell r="F94">
            <v>3420346</v>
          </cell>
          <cell r="G94">
            <v>8744.48</v>
          </cell>
          <cell r="H94">
            <v>5534</v>
          </cell>
          <cell r="I94">
            <v>0</v>
          </cell>
          <cell r="J94">
            <v>0</v>
          </cell>
          <cell r="K94">
            <v>0.6</v>
          </cell>
          <cell r="L94">
            <v>0.5</v>
          </cell>
          <cell r="M94">
            <v>0.6</v>
          </cell>
          <cell r="N94">
            <v>0.5</v>
          </cell>
        </row>
        <row r="95">
          <cell r="D95">
            <v>39295</v>
          </cell>
          <cell r="E95">
            <v>6228138.7999999998</v>
          </cell>
          <cell r="F95">
            <v>3986320</v>
          </cell>
          <cell r="G95">
            <v>10280.424999999999</v>
          </cell>
          <cell r="H95">
            <v>6416.585</v>
          </cell>
          <cell r="I95">
            <v>0</v>
          </cell>
          <cell r="J95">
            <v>0</v>
          </cell>
          <cell r="K95">
            <v>0.6</v>
          </cell>
          <cell r="L95">
            <v>0.5</v>
          </cell>
          <cell r="M95">
            <v>0.6</v>
          </cell>
          <cell r="N95">
            <v>0.5</v>
          </cell>
        </row>
        <row r="96">
          <cell r="D96">
            <v>39326</v>
          </cell>
          <cell r="E96">
            <v>7157262.3399999999</v>
          </cell>
          <cell r="F96">
            <v>4535939.54</v>
          </cell>
          <cell r="G96">
            <v>11783.74</v>
          </cell>
          <cell r="H96">
            <v>7267.1</v>
          </cell>
          <cell r="I96">
            <v>0</v>
          </cell>
          <cell r="J96">
            <v>0</v>
          </cell>
          <cell r="K96">
            <v>0.6</v>
          </cell>
          <cell r="L96">
            <v>0.5</v>
          </cell>
          <cell r="M96">
            <v>0.6</v>
          </cell>
          <cell r="N96">
            <v>0.5</v>
          </cell>
        </row>
        <row r="97">
          <cell r="D97">
            <v>39356</v>
          </cell>
          <cell r="E97">
            <v>8350864.7799999993</v>
          </cell>
          <cell r="F97">
            <v>5214094.18</v>
          </cell>
          <cell r="G97">
            <v>13746.915000000001</v>
          </cell>
          <cell r="H97">
            <v>8343.3649999999998</v>
          </cell>
          <cell r="I97">
            <v>0</v>
          </cell>
          <cell r="J97">
            <v>0</v>
          </cell>
          <cell r="K97">
            <v>0.6</v>
          </cell>
          <cell r="L97">
            <v>0.5</v>
          </cell>
          <cell r="M97">
            <v>0.6</v>
          </cell>
          <cell r="N97">
            <v>0.5</v>
          </cell>
        </row>
        <row r="98">
          <cell r="D98">
            <v>39387</v>
          </cell>
          <cell r="E98">
            <v>9430550.1699999999</v>
          </cell>
          <cell r="F98">
            <v>5863341.8499999996</v>
          </cell>
          <cell r="G98">
            <v>15358.814</v>
          </cell>
          <cell r="H98">
            <v>9217.3050000000003</v>
          </cell>
          <cell r="I98">
            <v>0</v>
          </cell>
          <cell r="J98">
            <v>0</v>
          </cell>
          <cell r="K98">
            <v>0.6</v>
          </cell>
          <cell r="L98">
            <v>0.5</v>
          </cell>
          <cell r="M98">
            <v>0.6</v>
          </cell>
          <cell r="N98">
            <v>0.5</v>
          </cell>
        </row>
        <row r="99">
          <cell r="D99">
            <v>39417</v>
          </cell>
          <cell r="E99">
            <v>10772745.74</v>
          </cell>
          <cell r="F99">
            <v>6583589.29</v>
          </cell>
          <cell r="G99">
            <v>17471.927500000002</v>
          </cell>
          <cell r="H99">
            <v>10259.870000000001</v>
          </cell>
          <cell r="I99">
            <v>0</v>
          </cell>
          <cell r="J99">
            <v>0</v>
          </cell>
          <cell r="K99">
            <v>0.6</v>
          </cell>
          <cell r="L99">
            <v>0.5</v>
          </cell>
          <cell r="M99">
            <v>0.6</v>
          </cell>
          <cell r="N99">
            <v>0.5</v>
          </cell>
        </row>
        <row r="100">
          <cell r="D100">
            <v>39448</v>
          </cell>
          <cell r="E100">
            <v>834588</v>
          </cell>
          <cell r="F100">
            <v>500753</v>
          </cell>
          <cell r="G100">
            <v>1200</v>
          </cell>
          <cell r="H100">
            <v>720</v>
          </cell>
          <cell r="I100">
            <v>0</v>
          </cell>
          <cell r="J100">
            <v>0</v>
          </cell>
          <cell r="K100">
            <v>0.6</v>
          </cell>
          <cell r="L100">
            <v>0.5</v>
          </cell>
          <cell r="M100">
            <v>0.6</v>
          </cell>
          <cell r="N100">
            <v>0.5</v>
          </cell>
        </row>
        <row r="101">
          <cell r="D101">
            <v>39479</v>
          </cell>
          <cell r="E101">
            <v>1822906</v>
          </cell>
          <cell r="F101">
            <v>987536</v>
          </cell>
          <cell r="G101">
            <v>2668</v>
          </cell>
          <cell r="H101">
            <v>1446</v>
          </cell>
          <cell r="I101">
            <v>0</v>
          </cell>
          <cell r="J101">
            <v>0</v>
          </cell>
          <cell r="K101">
            <v>0.6</v>
          </cell>
          <cell r="L101">
            <v>0.5</v>
          </cell>
          <cell r="M101">
            <v>0.6</v>
          </cell>
          <cell r="N101">
            <v>0.5</v>
          </cell>
        </row>
        <row r="102">
          <cell r="D102">
            <v>39508</v>
          </cell>
          <cell r="E102">
            <v>2650445</v>
          </cell>
          <cell r="F102">
            <v>1565055</v>
          </cell>
          <cell r="G102">
            <v>3910</v>
          </cell>
          <cell r="H102">
            <v>2158</v>
          </cell>
          <cell r="I102">
            <v>0</v>
          </cell>
          <cell r="J102">
            <v>0</v>
          </cell>
          <cell r="K102">
            <v>0.6</v>
          </cell>
          <cell r="L102">
            <v>0.5</v>
          </cell>
          <cell r="M102">
            <v>0.6</v>
          </cell>
          <cell r="N102">
            <v>0.5</v>
          </cell>
        </row>
        <row r="103">
          <cell r="D103">
            <v>39539</v>
          </cell>
          <cell r="E103">
            <v>3719824.842958</v>
          </cell>
          <cell r="F103">
            <v>2220288.62</v>
          </cell>
          <cell r="G103">
            <v>5321.56</v>
          </cell>
          <cell r="H103">
            <v>2897.76</v>
          </cell>
          <cell r="I103">
            <v>0</v>
          </cell>
          <cell r="J103">
            <v>0</v>
          </cell>
          <cell r="K103">
            <v>0.6</v>
          </cell>
          <cell r="L103">
            <v>0.5</v>
          </cell>
          <cell r="M103">
            <v>0.6</v>
          </cell>
          <cell r="N103">
            <v>0.5</v>
          </cell>
        </row>
        <row r="104">
          <cell r="D104">
            <v>39569</v>
          </cell>
          <cell r="E104">
            <v>4945566</v>
          </cell>
          <cell r="F104">
            <v>2780343</v>
          </cell>
          <cell r="G104">
            <v>7046</v>
          </cell>
          <cell r="H104">
            <v>3542</v>
          </cell>
          <cell r="I104">
            <v>0</v>
          </cell>
          <cell r="J104">
            <v>0</v>
          </cell>
          <cell r="K104">
            <v>0.6</v>
          </cell>
          <cell r="L104">
            <v>0.5</v>
          </cell>
          <cell r="M104">
            <v>0.6</v>
          </cell>
          <cell r="N104">
            <v>0.5</v>
          </cell>
        </row>
        <row r="105">
          <cell r="D105">
            <v>39600</v>
          </cell>
          <cell r="E105">
            <v>6144695.3747627139</v>
          </cell>
          <cell r="F105">
            <v>3422486.2096164748</v>
          </cell>
          <cell r="G105">
            <v>8688.2150000000001</v>
          </cell>
          <cell r="H105">
            <v>4296.7150000000001</v>
          </cell>
          <cell r="I105">
            <v>0</v>
          </cell>
          <cell r="J105">
            <v>0</v>
          </cell>
          <cell r="K105">
            <v>0.6</v>
          </cell>
          <cell r="L105">
            <v>0.5</v>
          </cell>
          <cell r="M105">
            <v>0.6</v>
          </cell>
          <cell r="N105">
            <v>0.5</v>
          </cell>
        </row>
        <row r="106">
          <cell r="D106">
            <v>39630</v>
          </cell>
          <cell r="E106">
            <v>7402206.604558479</v>
          </cell>
          <cell r="F106">
            <v>4136317.309412959</v>
          </cell>
          <cell r="G106">
            <v>10418.200000000001</v>
          </cell>
          <cell r="H106">
            <v>5146.79</v>
          </cell>
          <cell r="I106">
            <v>0</v>
          </cell>
          <cell r="J106">
            <v>0</v>
          </cell>
          <cell r="K106">
            <v>0.6</v>
          </cell>
          <cell r="L106">
            <v>0.5</v>
          </cell>
          <cell r="M106">
            <v>0.6</v>
          </cell>
          <cell r="N106">
            <v>0.5</v>
          </cell>
        </row>
        <row r="107">
          <cell r="D107">
            <v>39661</v>
          </cell>
          <cell r="E107">
            <v>8420100.9015080035</v>
          </cell>
          <cell r="F107">
            <v>4756864.38082923</v>
          </cell>
          <cell r="G107">
            <v>11779.475</v>
          </cell>
          <cell r="H107">
            <v>5872.0650000000005</v>
          </cell>
          <cell r="I107">
            <v>0</v>
          </cell>
          <cell r="J107">
            <v>0</v>
          </cell>
          <cell r="K107">
            <v>0.6</v>
          </cell>
          <cell r="L107">
            <v>0.5</v>
          </cell>
          <cell r="M107">
            <v>0.6</v>
          </cell>
          <cell r="N107">
            <v>0.5</v>
          </cell>
        </row>
        <row r="108">
          <cell r="D108">
            <v>39692</v>
          </cell>
          <cell r="E108">
            <v>9712661.523187872</v>
          </cell>
          <cell r="F108">
            <v>5491833.7316421745</v>
          </cell>
          <cell r="G108">
            <v>13523.5</v>
          </cell>
          <cell r="H108">
            <v>6716.09</v>
          </cell>
          <cell r="I108">
            <v>0</v>
          </cell>
          <cell r="J108">
            <v>0</v>
          </cell>
          <cell r="K108">
            <v>0.6</v>
          </cell>
          <cell r="L108">
            <v>0.5</v>
          </cell>
          <cell r="M108">
            <v>0.6</v>
          </cell>
          <cell r="N108">
            <v>0.5</v>
          </cell>
        </row>
        <row r="109">
          <cell r="D109">
            <v>39722</v>
          </cell>
          <cell r="E109">
            <v>11163602.862588324</v>
          </cell>
          <cell r="F109">
            <v>6421873.1607815111</v>
          </cell>
          <cell r="G109">
            <v>15330.775</v>
          </cell>
          <cell r="H109">
            <v>7687.3649999999998</v>
          </cell>
          <cell r="I109">
            <v>0</v>
          </cell>
          <cell r="J109">
            <v>0</v>
          </cell>
          <cell r="K109">
            <v>0.6</v>
          </cell>
          <cell r="L109">
            <v>0.5</v>
          </cell>
          <cell r="M109">
            <v>0.6</v>
          </cell>
          <cell r="N109">
            <v>0.5</v>
          </cell>
        </row>
        <row r="110">
          <cell r="D110">
            <v>39753</v>
          </cell>
          <cell r="E110">
            <v>12248537.374228574</v>
          </cell>
          <cell r="F110">
            <v>7177353.8911637003</v>
          </cell>
          <cell r="G110">
            <v>16622.475000000002</v>
          </cell>
          <cell r="H110">
            <v>8446.1650000000009</v>
          </cell>
          <cell r="I110">
            <v>0</v>
          </cell>
          <cell r="J110">
            <v>0</v>
          </cell>
          <cell r="K110">
            <v>0.6</v>
          </cell>
          <cell r="L110">
            <v>0.5</v>
          </cell>
          <cell r="M110">
            <v>0.6</v>
          </cell>
          <cell r="N110">
            <v>0.5</v>
          </cell>
        </row>
        <row r="111">
          <cell r="D111">
            <v>39783</v>
          </cell>
          <cell r="E111">
            <v>13438416.064960469</v>
          </cell>
          <cell r="F111">
            <v>7977953.39026473</v>
          </cell>
          <cell r="G111">
            <v>18117.59</v>
          </cell>
          <cell r="H111">
            <v>9330.9</v>
          </cell>
          <cell r="I111">
            <v>0</v>
          </cell>
          <cell r="J111">
            <v>0</v>
          </cell>
          <cell r="K111">
            <v>0.6</v>
          </cell>
          <cell r="L111">
            <v>0.5</v>
          </cell>
          <cell r="M111">
            <v>0.6</v>
          </cell>
          <cell r="N111">
            <v>0.5</v>
          </cell>
        </row>
        <row r="112">
          <cell r="D112">
            <v>39083</v>
          </cell>
          <cell r="E112">
            <v>2144606</v>
          </cell>
          <cell r="F112">
            <v>1073448</v>
          </cell>
          <cell r="G112">
            <v>1</v>
          </cell>
          <cell r="H112">
            <v>0</v>
          </cell>
          <cell r="I112">
            <v>0</v>
          </cell>
          <cell r="J112">
            <v>0</v>
          </cell>
          <cell r="K112">
            <v>0.5</v>
          </cell>
          <cell r="L112">
            <v>0.4</v>
          </cell>
          <cell r="M112">
            <v>0.5</v>
          </cell>
          <cell r="N112">
            <v>0.4</v>
          </cell>
        </row>
        <row r="113">
          <cell r="D113">
            <v>39114</v>
          </cell>
          <cell r="E113">
            <v>4221692</v>
          </cell>
          <cell r="F113">
            <v>2079376</v>
          </cell>
          <cell r="G113">
            <v>1</v>
          </cell>
          <cell r="H113">
            <v>0</v>
          </cell>
          <cell r="I113">
            <v>0</v>
          </cell>
          <cell r="J113">
            <v>0</v>
          </cell>
          <cell r="K113">
            <v>0.5</v>
          </cell>
          <cell r="L113">
            <v>0.4</v>
          </cell>
          <cell r="M113">
            <v>0.5</v>
          </cell>
          <cell r="N113">
            <v>0.4</v>
          </cell>
        </row>
        <row r="114">
          <cell r="D114">
            <v>39142</v>
          </cell>
          <cell r="E114">
            <v>6493462</v>
          </cell>
          <cell r="F114">
            <v>3279988</v>
          </cell>
          <cell r="G114">
            <v>1</v>
          </cell>
          <cell r="H114">
            <v>0</v>
          </cell>
          <cell r="I114">
            <v>0</v>
          </cell>
          <cell r="J114">
            <v>0</v>
          </cell>
          <cell r="K114">
            <v>0.5</v>
          </cell>
          <cell r="L114">
            <v>0.4</v>
          </cell>
          <cell r="M114">
            <v>0.5</v>
          </cell>
          <cell r="N114">
            <v>0.4</v>
          </cell>
        </row>
        <row r="115">
          <cell r="D115">
            <v>39173</v>
          </cell>
          <cell r="E115">
            <v>8597411.1681333333</v>
          </cell>
          <cell r="F115">
            <v>4312780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0.5</v>
          </cell>
          <cell r="L115">
            <v>0.4</v>
          </cell>
          <cell r="M115">
            <v>0.5</v>
          </cell>
          <cell r="N115">
            <v>0.4</v>
          </cell>
        </row>
        <row r="116">
          <cell r="D116">
            <v>39203</v>
          </cell>
          <cell r="E116">
            <v>10569576.290166665</v>
          </cell>
          <cell r="F116">
            <v>5213787.33</v>
          </cell>
          <cell r="G116">
            <v>1</v>
          </cell>
          <cell r="H116">
            <v>0</v>
          </cell>
          <cell r="I116">
            <v>0</v>
          </cell>
          <cell r="J116">
            <v>0</v>
          </cell>
          <cell r="K116">
            <v>0.5</v>
          </cell>
          <cell r="L116">
            <v>0.4</v>
          </cell>
          <cell r="M116">
            <v>0.5</v>
          </cell>
          <cell r="N116">
            <v>0.4</v>
          </cell>
        </row>
        <row r="117">
          <cell r="D117">
            <v>39234</v>
          </cell>
          <cell r="E117">
            <v>12980502.607898001</v>
          </cell>
          <cell r="F117">
            <v>6171819.3499999996</v>
          </cell>
          <cell r="G117">
            <v>1</v>
          </cell>
          <cell r="H117">
            <v>0</v>
          </cell>
          <cell r="I117">
            <v>0</v>
          </cell>
          <cell r="J117">
            <v>0</v>
          </cell>
          <cell r="K117">
            <v>0.5</v>
          </cell>
          <cell r="L117">
            <v>0.4</v>
          </cell>
          <cell r="M117">
            <v>0.5</v>
          </cell>
          <cell r="N117">
            <v>0.4</v>
          </cell>
        </row>
        <row r="118">
          <cell r="D118">
            <v>39264</v>
          </cell>
          <cell r="E118">
            <v>15214973</v>
          </cell>
          <cell r="F118">
            <v>7271513</v>
          </cell>
          <cell r="G118">
            <v>1</v>
          </cell>
          <cell r="H118">
            <v>0</v>
          </cell>
          <cell r="I118">
            <v>0</v>
          </cell>
          <cell r="J118">
            <v>0</v>
          </cell>
          <cell r="K118">
            <v>0.5</v>
          </cell>
          <cell r="L118">
            <v>0.4</v>
          </cell>
          <cell r="M118">
            <v>0.5</v>
          </cell>
          <cell r="N118">
            <v>0.4</v>
          </cell>
        </row>
        <row r="119">
          <cell r="D119">
            <v>39295</v>
          </cell>
          <cell r="E119">
            <v>17795541.343864001</v>
          </cell>
          <cell r="F119">
            <v>8717297</v>
          </cell>
          <cell r="G119">
            <v>1</v>
          </cell>
          <cell r="H119">
            <v>0</v>
          </cell>
          <cell r="I119">
            <v>0</v>
          </cell>
          <cell r="J119">
            <v>0</v>
          </cell>
          <cell r="K119">
            <v>0.5</v>
          </cell>
          <cell r="L119">
            <v>0.4</v>
          </cell>
          <cell r="M119">
            <v>0.5</v>
          </cell>
          <cell r="N119">
            <v>0.4</v>
          </cell>
        </row>
        <row r="120">
          <cell r="D120">
            <v>39326</v>
          </cell>
          <cell r="E120">
            <v>20240617.446846999</v>
          </cell>
          <cell r="F120">
            <v>10027592.560000001</v>
          </cell>
          <cell r="G120">
            <v>1</v>
          </cell>
          <cell r="H120">
            <v>0</v>
          </cell>
          <cell r="I120">
            <v>0</v>
          </cell>
          <cell r="J120">
            <v>0</v>
          </cell>
          <cell r="K120">
            <v>0.5</v>
          </cell>
          <cell r="L120">
            <v>0.4</v>
          </cell>
          <cell r="M120">
            <v>0.5</v>
          </cell>
          <cell r="N120">
            <v>0.4</v>
          </cell>
        </row>
        <row r="121">
          <cell r="D121">
            <v>39356</v>
          </cell>
          <cell r="E121">
            <v>22632708.56983</v>
          </cell>
          <cell r="F121">
            <v>11284903.140000001</v>
          </cell>
          <cell r="G121">
            <v>1</v>
          </cell>
          <cell r="H121">
            <v>0</v>
          </cell>
          <cell r="I121">
            <v>0</v>
          </cell>
          <cell r="J121">
            <v>0</v>
          </cell>
          <cell r="K121">
            <v>0.5</v>
          </cell>
          <cell r="L121">
            <v>0.4</v>
          </cell>
          <cell r="M121">
            <v>0.5</v>
          </cell>
          <cell r="N121">
            <v>0.4</v>
          </cell>
        </row>
        <row r="122">
          <cell r="D122">
            <v>39387</v>
          </cell>
          <cell r="E122">
            <v>25042973.112813003</v>
          </cell>
          <cell r="F122">
            <v>12560387.140000001</v>
          </cell>
          <cell r="G122">
            <v>1</v>
          </cell>
          <cell r="H122">
            <v>0</v>
          </cell>
          <cell r="I122">
            <v>0</v>
          </cell>
          <cell r="J122">
            <v>0</v>
          </cell>
          <cell r="K122">
            <v>0.5</v>
          </cell>
          <cell r="L122">
            <v>0.4</v>
          </cell>
          <cell r="M122">
            <v>0.5</v>
          </cell>
          <cell r="N122">
            <v>0.4</v>
          </cell>
        </row>
        <row r="123">
          <cell r="D123">
            <v>39417</v>
          </cell>
          <cell r="E123">
            <v>27578839.115796</v>
          </cell>
          <cell r="F123">
            <v>13961472.600000001</v>
          </cell>
          <cell r="G123">
            <v>1</v>
          </cell>
          <cell r="H123">
            <v>0</v>
          </cell>
          <cell r="I123">
            <v>0</v>
          </cell>
          <cell r="J123">
            <v>0</v>
          </cell>
          <cell r="K123">
            <v>0.5</v>
          </cell>
          <cell r="L123">
            <v>0.4</v>
          </cell>
          <cell r="M123">
            <v>0.5</v>
          </cell>
          <cell r="N123">
            <v>0.4</v>
          </cell>
        </row>
        <row r="124">
          <cell r="D124">
            <v>39448</v>
          </cell>
          <cell r="E124">
            <v>2122580</v>
          </cell>
          <cell r="F124">
            <v>1040064</v>
          </cell>
          <cell r="G124">
            <v>1</v>
          </cell>
          <cell r="H124">
            <v>0</v>
          </cell>
          <cell r="I124">
            <v>0</v>
          </cell>
          <cell r="J124">
            <v>0</v>
          </cell>
          <cell r="K124">
            <v>0.5</v>
          </cell>
          <cell r="L124">
            <v>0.4</v>
          </cell>
          <cell r="M124">
            <v>0.5</v>
          </cell>
          <cell r="N124">
            <v>0.4</v>
          </cell>
        </row>
        <row r="125">
          <cell r="D125">
            <v>39479</v>
          </cell>
          <cell r="E125">
            <v>4506972</v>
          </cell>
          <cell r="F125">
            <v>2269746</v>
          </cell>
          <cell r="G125">
            <v>1</v>
          </cell>
          <cell r="H125">
            <v>0</v>
          </cell>
          <cell r="I125">
            <v>0</v>
          </cell>
          <cell r="J125">
            <v>0</v>
          </cell>
          <cell r="K125">
            <v>0.5</v>
          </cell>
          <cell r="L125">
            <v>0.4</v>
          </cell>
          <cell r="M125">
            <v>0.5</v>
          </cell>
          <cell r="N125">
            <v>0.4</v>
          </cell>
        </row>
        <row r="126">
          <cell r="D126">
            <v>39508</v>
          </cell>
          <cell r="E126">
            <v>7299873</v>
          </cell>
          <cell r="F126">
            <v>3439865</v>
          </cell>
          <cell r="G126">
            <v>1</v>
          </cell>
          <cell r="H126">
            <v>0</v>
          </cell>
          <cell r="I126">
            <v>0</v>
          </cell>
          <cell r="J126">
            <v>0</v>
          </cell>
          <cell r="K126">
            <v>0.5</v>
          </cell>
          <cell r="L126">
            <v>0.4</v>
          </cell>
          <cell r="M126">
            <v>0.5</v>
          </cell>
          <cell r="N126">
            <v>0.4</v>
          </cell>
        </row>
        <row r="127">
          <cell r="D127">
            <v>39539</v>
          </cell>
          <cell r="E127">
            <v>9684128.4299999997</v>
          </cell>
          <cell r="F127">
            <v>4537451.43</v>
          </cell>
          <cell r="G127">
            <v>1</v>
          </cell>
          <cell r="H127">
            <v>0</v>
          </cell>
          <cell r="I127">
            <v>0</v>
          </cell>
          <cell r="J127">
            <v>0</v>
          </cell>
          <cell r="K127">
            <v>0.5</v>
          </cell>
          <cell r="L127">
            <v>0.4</v>
          </cell>
          <cell r="M127">
            <v>0.5</v>
          </cell>
          <cell r="N127">
            <v>0.4</v>
          </cell>
        </row>
        <row r="128">
          <cell r="D128">
            <v>39569</v>
          </cell>
          <cell r="E128">
            <v>12312882</v>
          </cell>
          <cell r="F128">
            <v>5879536</v>
          </cell>
          <cell r="G128">
            <v>1</v>
          </cell>
          <cell r="H128">
            <v>0</v>
          </cell>
          <cell r="I128">
            <v>0</v>
          </cell>
          <cell r="J128">
            <v>0</v>
          </cell>
          <cell r="K128">
            <v>0.5</v>
          </cell>
          <cell r="L128">
            <v>0.4</v>
          </cell>
          <cell r="M128">
            <v>0.5</v>
          </cell>
          <cell r="N128">
            <v>0.4</v>
          </cell>
        </row>
        <row r="129">
          <cell r="D129">
            <v>39600</v>
          </cell>
          <cell r="E129">
            <v>14965123.95577025</v>
          </cell>
          <cell r="F129">
            <v>7245108.4557702504</v>
          </cell>
          <cell r="G129">
            <v>1</v>
          </cell>
          <cell r="H129">
            <v>0</v>
          </cell>
          <cell r="I129">
            <v>0</v>
          </cell>
          <cell r="J129">
            <v>0</v>
          </cell>
          <cell r="K129">
            <v>0.5</v>
          </cell>
          <cell r="L129">
            <v>0.4</v>
          </cell>
          <cell r="M129">
            <v>0.5</v>
          </cell>
          <cell r="N129">
            <v>0.4</v>
          </cell>
        </row>
        <row r="130">
          <cell r="D130">
            <v>39630</v>
          </cell>
          <cell r="E130">
            <v>18770822.033888932</v>
          </cell>
          <cell r="F130">
            <v>8413133.9005556013</v>
          </cell>
          <cell r="G130">
            <v>1</v>
          </cell>
          <cell r="H130">
            <v>0</v>
          </cell>
          <cell r="I130">
            <v>0</v>
          </cell>
          <cell r="J130">
            <v>0</v>
          </cell>
          <cell r="K130">
            <v>0.5</v>
          </cell>
          <cell r="L130">
            <v>0.4</v>
          </cell>
          <cell r="M130">
            <v>0.5</v>
          </cell>
          <cell r="N130">
            <v>0.4</v>
          </cell>
        </row>
        <row r="131">
          <cell r="D131">
            <v>39661</v>
          </cell>
          <cell r="E131">
            <v>21925861.166556321</v>
          </cell>
          <cell r="F131">
            <v>10088503.299889656</v>
          </cell>
          <cell r="G131">
            <v>1</v>
          </cell>
          <cell r="H131">
            <v>0</v>
          </cell>
          <cell r="I131">
            <v>0</v>
          </cell>
          <cell r="J131">
            <v>0</v>
          </cell>
          <cell r="K131">
            <v>0.5</v>
          </cell>
          <cell r="L131">
            <v>0.4</v>
          </cell>
          <cell r="M131">
            <v>0.5</v>
          </cell>
          <cell r="N131">
            <v>0.4</v>
          </cell>
        </row>
        <row r="132">
          <cell r="D132">
            <v>39692</v>
          </cell>
          <cell r="E132">
            <v>24781892.280625891</v>
          </cell>
          <cell r="F132">
            <v>11464864.680625893</v>
          </cell>
          <cell r="G132">
            <v>1</v>
          </cell>
          <cell r="H132">
            <v>0</v>
          </cell>
          <cell r="I132">
            <v>0</v>
          </cell>
          <cell r="J132">
            <v>0</v>
          </cell>
          <cell r="K132">
            <v>0.5</v>
          </cell>
          <cell r="L132">
            <v>0.4</v>
          </cell>
          <cell r="M132">
            <v>0.5</v>
          </cell>
          <cell r="N132">
            <v>0.4</v>
          </cell>
        </row>
        <row r="133">
          <cell r="D133">
            <v>39722</v>
          </cell>
          <cell r="E133">
            <v>27551838.120906685</v>
          </cell>
          <cell r="F133">
            <v>12755140.787573352</v>
          </cell>
          <cell r="G133">
            <v>1</v>
          </cell>
          <cell r="H133">
            <v>0</v>
          </cell>
          <cell r="I133">
            <v>0</v>
          </cell>
          <cell r="J133">
            <v>0</v>
          </cell>
          <cell r="K133">
            <v>0.5</v>
          </cell>
          <cell r="L133">
            <v>0.4</v>
          </cell>
          <cell r="M133">
            <v>0.5</v>
          </cell>
          <cell r="N133">
            <v>0.4</v>
          </cell>
        </row>
        <row r="134">
          <cell r="D134">
            <v>39753</v>
          </cell>
          <cell r="E134">
            <v>30014179.005715266</v>
          </cell>
          <cell r="F134">
            <v>13737811.939048601</v>
          </cell>
          <cell r="G134">
            <v>1</v>
          </cell>
          <cell r="H134">
            <v>0</v>
          </cell>
          <cell r="I134">
            <v>0</v>
          </cell>
          <cell r="J134">
            <v>0</v>
          </cell>
          <cell r="K134">
            <v>0.5</v>
          </cell>
          <cell r="L134">
            <v>0.4</v>
          </cell>
          <cell r="M134">
            <v>0.5</v>
          </cell>
          <cell r="N134">
            <v>0.4</v>
          </cell>
        </row>
        <row r="135">
          <cell r="D135">
            <v>39783</v>
          </cell>
          <cell r="E135">
            <v>33068780.442979548</v>
          </cell>
          <cell r="F135">
            <v>15312743.642979553</v>
          </cell>
          <cell r="G135">
            <v>1</v>
          </cell>
          <cell r="H135">
            <v>0</v>
          </cell>
          <cell r="I135">
            <v>0</v>
          </cell>
          <cell r="J135">
            <v>0</v>
          </cell>
          <cell r="K135">
            <v>0.5</v>
          </cell>
          <cell r="L135">
            <v>0.4</v>
          </cell>
          <cell r="M135">
            <v>0.5</v>
          </cell>
          <cell r="N135">
            <v>0.4</v>
          </cell>
        </row>
        <row r="136">
          <cell r="D136">
            <v>39083</v>
          </cell>
          <cell r="E136">
            <v>3186194</v>
          </cell>
          <cell r="F136">
            <v>207444</v>
          </cell>
          <cell r="G136">
            <v>8583</v>
          </cell>
          <cell r="H136">
            <v>640</v>
          </cell>
          <cell r="I136">
            <v>0</v>
          </cell>
          <cell r="J136">
            <v>0</v>
          </cell>
          <cell r="K136">
            <v>0.2</v>
          </cell>
          <cell r="L136">
            <v>0.1</v>
          </cell>
          <cell r="M136">
            <v>0.2</v>
          </cell>
          <cell r="N136">
            <v>0.1</v>
          </cell>
        </row>
        <row r="137">
          <cell r="D137">
            <v>39114</v>
          </cell>
          <cell r="E137">
            <v>6977944</v>
          </cell>
          <cell r="F137">
            <v>1020444</v>
          </cell>
          <cell r="G137">
            <v>19552</v>
          </cell>
          <cell r="H137">
            <v>3665</v>
          </cell>
          <cell r="I137">
            <v>0</v>
          </cell>
          <cell r="J137">
            <v>0</v>
          </cell>
          <cell r="K137">
            <v>0.2</v>
          </cell>
          <cell r="L137">
            <v>0.1</v>
          </cell>
          <cell r="M137">
            <v>0.2</v>
          </cell>
          <cell r="N137">
            <v>0.1</v>
          </cell>
        </row>
        <row r="138">
          <cell r="D138">
            <v>39142</v>
          </cell>
          <cell r="E138">
            <v>9956763</v>
          </cell>
          <cell r="F138">
            <v>948513</v>
          </cell>
          <cell r="G138">
            <v>26345</v>
          </cell>
          <cell r="H138">
            <v>2335</v>
          </cell>
          <cell r="I138">
            <v>0</v>
          </cell>
          <cell r="J138">
            <v>0</v>
          </cell>
          <cell r="K138">
            <v>0.2</v>
          </cell>
          <cell r="L138">
            <v>0.1</v>
          </cell>
          <cell r="M138">
            <v>0.2</v>
          </cell>
          <cell r="N138">
            <v>0.1</v>
          </cell>
        </row>
        <row r="139">
          <cell r="D139">
            <v>39173</v>
          </cell>
          <cell r="E139">
            <v>13467497</v>
          </cell>
          <cell r="F139">
            <v>1391997</v>
          </cell>
          <cell r="G139">
            <v>35549.333333333336</v>
          </cell>
          <cell r="H139">
            <v>3360</v>
          </cell>
          <cell r="I139">
            <v>0</v>
          </cell>
          <cell r="J139">
            <v>0</v>
          </cell>
          <cell r="K139">
            <v>0.2</v>
          </cell>
          <cell r="L139">
            <v>0.1</v>
          </cell>
          <cell r="M139">
            <v>0.2</v>
          </cell>
          <cell r="N139">
            <v>0.1</v>
          </cell>
        </row>
        <row r="140">
          <cell r="D140">
            <v>39203</v>
          </cell>
          <cell r="E140">
            <v>17006191.890000001</v>
          </cell>
          <cell r="F140">
            <v>1761641.89</v>
          </cell>
          <cell r="G140">
            <v>44662.666666666664</v>
          </cell>
          <cell r="H140">
            <v>4210</v>
          </cell>
          <cell r="I140">
            <v>0</v>
          </cell>
          <cell r="J140">
            <v>0</v>
          </cell>
          <cell r="K140">
            <v>0.2</v>
          </cell>
          <cell r="L140">
            <v>0.1</v>
          </cell>
          <cell r="M140">
            <v>0.2</v>
          </cell>
          <cell r="N140">
            <v>0.1</v>
          </cell>
        </row>
        <row r="141">
          <cell r="D141">
            <v>39234</v>
          </cell>
          <cell r="E141">
            <v>20865013.73</v>
          </cell>
          <cell r="F141">
            <v>2227713.73</v>
          </cell>
          <cell r="G141">
            <v>5270</v>
          </cell>
          <cell r="H141">
            <v>5270</v>
          </cell>
          <cell r="I141">
            <v>0</v>
          </cell>
          <cell r="J141">
            <v>0</v>
          </cell>
          <cell r="K141">
            <v>0.2</v>
          </cell>
          <cell r="L141">
            <v>0.1</v>
          </cell>
          <cell r="M141">
            <v>0.2</v>
          </cell>
          <cell r="N141">
            <v>0.1</v>
          </cell>
        </row>
        <row r="142">
          <cell r="D142">
            <v>39264</v>
          </cell>
          <cell r="E142">
            <v>24464173</v>
          </cell>
          <cell r="F142">
            <v>2776773</v>
          </cell>
          <cell r="G142">
            <v>64362.333333333336</v>
          </cell>
          <cell r="H142">
            <v>6577</v>
          </cell>
          <cell r="I142">
            <v>0</v>
          </cell>
          <cell r="J142">
            <v>0</v>
          </cell>
          <cell r="K142">
            <v>0.2</v>
          </cell>
          <cell r="L142">
            <v>0.1</v>
          </cell>
          <cell r="M142">
            <v>0.2</v>
          </cell>
          <cell r="N142">
            <v>0.1</v>
          </cell>
        </row>
        <row r="143">
          <cell r="D143">
            <v>39295</v>
          </cell>
          <cell r="E143">
            <v>28284547</v>
          </cell>
          <cell r="F143">
            <v>3469805</v>
          </cell>
          <cell r="G143">
            <v>74178.396666666667</v>
          </cell>
          <cell r="H143">
            <v>8072</v>
          </cell>
          <cell r="I143">
            <v>0</v>
          </cell>
          <cell r="J143">
            <v>0</v>
          </cell>
          <cell r="K143">
            <v>0.2</v>
          </cell>
          <cell r="L143">
            <v>0.1</v>
          </cell>
          <cell r="M143">
            <v>0.2</v>
          </cell>
          <cell r="N143">
            <v>0.1</v>
          </cell>
        </row>
        <row r="144">
          <cell r="D144">
            <v>39326</v>
          </cell>
          <cell r="E144">
            <v>32083701.809999999</v>
          </cell>
          <cell r="F144">
            <v>4151109.81</v>
          </cell>
          <cell r="G144">
            <v>84017.81</v>
          </cell>
          <cell r="H144">
            <v>9614.08</v>
          </cell>
          <cell r="I144">
            <v>0</v>
          </cell>
          <cell r="J144">
            <v>0</v>
          </cell>
          <cell r="K144">
            <v>0.2</v>
          </cell>
          <cell r="L144">
            <v>0.1</v>
          </cell>
          <cell r="M144">
            <v>0.2</v>
          </cell>
          <cell r="N144">
            <v>0.1</v>
          </cell>
        </row>
        <row r="145">
          <cell r="D145">
            <v>39356</v>
          </cell>
          <cell r="E145">
            <v>36004784.670000002</v>
          </cell>
          <cell r="F145">
            <v>4612342.67</v>
          </cell>
          <cell r="G145">
            <v>94280.063333333324</v>
          </cell>
          <cell r="H145">
            <v>10674</v>
          </cell>
          <cell r="I145">
            <v>0</v>
          </cell>
          <cell r="J145">
            <v>0</v>
          </cell>
          <cell r="K145">
            <v>0.2</v>
          </cell>
          <cell r="L145">
            <v>0.1</v>
          </cell>
          <cell r="M145">
            <v>0.2</v>
          </cell>
          <cell r="N145">
            <v>0.1</v>
          </cell>
        </row>
        <row r="146">
          <cell r="D146">
            <v>39387</v>
          </cell>
          <cell r="E146">
            <v>40049638.669999994</v>
          </cell>
          <cell r="F146">
            <v>5244946.67</v>
          </cell>
          <cell r="G146">
            <v>104882.39666666665</v>
          </cell>
          <cell r="H146">
            <v>12193</v>
          </cell>
          <cell r="I146">
            <v>0</v>
          </cell>
          <cell r="J146">
            <v>0</v>
          </cell>
          <cell r="K146">
            <v>0.2</v>
          </cell>
          <cell r="L146">
            <v>0.1</v>
          </cell>
          <cell r="M146">
            <v>0.2</v>
          </cell>
          <cell r="N146">
            <v>0.1</v>
          </cell>
        </row>
        <row r="147">
          <cell r="D147">
            <v>39417</v>
          </cell>
          <cell r="E147">
            <v>44139817.079999991</v>
          </cell>
          <cell r="F147">
            <v>5910875.0800000001</v>
          </cell>
          <cell r="G147">
            <v>115550.73</v>
          </cell>
          <cell r="H147">
            <v>13748</v>
          </cell>
          <cell r="I147">
            <v>0</v>
          </cell>
          <cell r="J147">
            <v>0</v>
          </cell>
          <cell r="K147">
            <v>0.2</v>
          </cell>
          <cell r="L147">
            <v>0.1</v>
          </cell>
          <cell r="M147">
            <v>0.2</v>
          </cell>
          <cell r="N147">
            <v>0.1</v>
          </cell>
        </row>
        <row r="148">
          <cell r="D148">
            <v>39448</v>
          </cell>
          <cell r="E148">
            <v>5767193.6699999999</v>
          </cell>
          <cell r="F148">
            <v>465194</v>
          </cell>
          <cell r="G148">
            <v>11847.6</v>
          </cell>
          <cell r="H148">
            <v>1048</v>
          </cell>
          <cell r="I148">
            <v>0</v>
          </cell>
          <cell r="J148">
            <v>0</v>
          </cell>
          <cell r="K148">
            <v>0.2</v>
          </cell>
          <cell r="L148">
            <v>0.1</v>
          </cell>
          <cell r="M148">
            <v>0.2</v>
          </cell>
          <cell r="N148">
            <v>0.1</v>
          </cell>
        </row>
        <row r="149">
          <cell r="D149">
            <v>39479</v>
          </cell>
          <cell r="E149">
            <v>12071231.870000001</v>
          </cell>
          <cell r="F149">
            <v>1450222</v>
          </cell>
          <cell r="G149">
            <v>24715.4</v>
          </cell>
          <cell r="H149">
            <v>3081</v>
          </cell>
          <cell r="I149">
            <v>0</v>
          </cell>
          <cell r="J149">
            <v>0</v>
          </cell>
          <cell r="K149">
            <v>0.2</v>
          </cell>
          <cell r="L149">
            <v>0.1</v>
          </cell>
          <cell r="M149">
            <v>0.2</v>
          </cell>
          <cell r="N149">
            <v>0.1</v>
          </cell>
        </row>
        <row r="150">
          <cell r="D150">
            <v>39508</v>
          </cell>
          <cell r="E150">
            <v>18616069.57</v>
          </cell>
          <cell r="F150">
            <v>2794149</v>
          </cell>
          <cell r="G150">
            <v>37707.199999999997</v>
          </cell>
          <cell r="H150">
            <v>5474</v>
          </cell>
          <cell r="I150">
            <v>0</v>
          </cell>
          <cell r="J150">
            <v>0</v>
          </cell>
          <cell r="K150">
            <v>0.2</v>
          </cell>
          <cell r="L150">
            <v>0.1</v>
          </cell>
          <cell r="M150">
            <v>0.2</v>
          </cell>
          <cell r="N150">
            <v>0.1</v>
          </cell>
        </row>
        <row r="151">
          <cell r="D151">
            <v>39539</v>
          </cell>
          <cell r="E151">
            <v>24772019.330000002</v>
          </cell>
          <cell r="F151">
            <v>3543379.33</v>
          </cell>
          <cell r="G151">
            <v>50089.8</v>
          </cell>
          <cell r="H151">
            <v>6845.8</v>
          </cell>
          <cell r="I151">
            <v>0</v>
          </cell>
          <cell r="J151">
            <v>0</v>
          </cell>
          <cell r="K151">
            <v>0.2</v>
          </cell>
          <cell r="L151">
            <v>0.1</v>
          </cell>
          <cell r="M151">
            <v>0.2</v>
          </cell>
          <cell r="N151">
            <v>0.1</v>
          </cell>
        </row>
        <row r="152">
          <cell r="D152">
            <v>39569</v>
          </cell>
          <cell r="E152">
            <v>30954164</v>
          </cell>
          <cell r="F152">
            <v>4543724</v>
          </cell>
          <cell r="G152">
            <v>62293</v>
          </cell>
          <cell r="H152">
            <v>8489</v>
          </cell>
          <cell r="I152">
            <v>0</v>
          </cell>
          <cell r="J152">
            <v>0</v>
          </cell>
          <cell r="K152">
            <v>0.2</v>
          </cell>
          <cell r="L152">
            <v>0.1</v>
          </cell>
          <cell r="M152">
            <v>0.2</v>
          </cell>
          <cell r="N152">
            <v>0.1</v>
          </cell>
        </row>
        <row r="153">
          <cell r="D153">
            <v>39600</v>
          </cell>
          <cell r="E153">
            <v>37195571.122798398</v>
          </cell>
          <cell r="F153">
            <v>5562514.1227983972</v>
          </cell>
          <cell r="G153">
            <v>74499.8</v>
          </cell>
          <cell r="H153">
            <v>10052.5</v>
          </cell>
          <cell r="I153">
            <v>0</v>
          </cell>
          <cell r="J153">
            <v>0</v>
          </cell>
          <cell r="K153">
            <v>0.2</v>
          </cell>
          <cell r="L153">
            <v>0.1</v>
          </cell>
          <cell r="M153">
            <v>0.2</v>
          </cell>
          <cell r="N153">
            <v>0.1</v>
          </cell>
        </row>
        <row r="154">
          <cell r="D154">
            <v>39630</v>
          </cell>
          <cell r="E154">
            <v>44535681.762798406</v>
          </cell>
          <cell r="F154">
            <v>7048704.7627984043</v>
          </cell>
          <cell r="G154">
            <v>88643</v>
          </cell>
          <cell r="H154">
            <v>12287.7</v>
          </cell>
          <cell r="I154">
            <v>0</v>
          </cell>
          <cell r="J154">
            <v>0</v>
          </cell>
          <cell r="K154">
            <v>0.2</v>
          </cell>
          <cell r="L154">
            <v>0.1</v>
          </cell>
          <cell r="M154">
            <v>0.2</v>
          </cell>
          <cell r="N154">
            <v>0.1</v>
          </cell>
        </row>
        <row r="155">
          <cell r="D155">
            <v>39661</v>
          </cell>
          <cell r="E155">
            <v>50783818.622798398</v>
          </cell>
          <cell r="F155">
            <v>8148641.6227983963</v>
          </cell>
          <cell r="G155">
            <v>100808.3</v>
          </cell>
          <cell r="H155">
            <v>13963</v>
          </cell>
          <cell r="I155">
            <v>0</v>
          </cell>
          <cell r="J155">
            <v>0</v>
          </cell>
          <cell r="K155">
            <v>0.2</v>
          </cell>
          <cell r="L155">
            <v>0.1</v>
          </cell>
          <cell r="M155">
            <v>0.2</v>
          </cell>
          <cell r="N155">
            <v>0.1</v>
          </cell>
        </row>
        <row r="156">
          <cell r="D156">
            <v>39692</v>
          </cell>
          <cell r="E156">
            <v>57807233.512798399</v>
          </cell>
          <cell r="F156">
            <v>9394856.5127983987</v>
          </cell>
          <cell r="G156">
            <v>114406.1</v>
          </cell>
          <cell r="H156">
            <v>15812.8</v>
          </cell>
          <cell r="I156">
            <v>0</v>
          </cell>
          <cell r="J156">
            <v>0</v>
          </cell>
          <cell r="K156">
            <v>0.2</v>
          </cell>
          <cell r="L156">
            <v>0.1</v>
          </cell>
          <cell r="M156">
            <v>0.2</v>
          </cell>
          <cell r="N156">
            <v>0.1</v>
          </cell>
        </row>
        <row r="157">
          <cell r="D157">
            <v>39722</v>
          </cell>
          <cell r="E157">
            <v>63906918.012798399</v>
          </cell>
          <cell r="F157">
            <v>10276341.012798399</v>
          </cell>
          <cell r="G157">
            <v>126100.9</v>
          </cell>
          <cell r="H157">
            <v>16877.599999999999</v>
          </cell>
          <cell r="I157">
            <v>0</v>
          </cell>
          <cell r="J157">
            <v>0</v>
          </cell>
          <cell r="K157">
            <v>0.2</v>
          </cell>
          <cell r="L157">
            <v>0.1</v>
          </cell>
          <cell r="M157">
            <v>0.2</v>
          </cell>
          <cell r="N157">
            <v>0.1</v>
          </cell>
        </row>
        <row r="158">
          <cell r="D158">
            <v>39753</v>
          </cell>
          <cell r="E158">
            <v>69809304.322798401</v>
          </cell>
          <cell r="F158">
            <v>11108167.322798397</v>
          </cell>
          <cell r="G158">
            <v>137440.29999999999</v>
          </cell>
          <cell r="H158">
            <v>17883</v>
          </cell>
          <cell r="I158">
            <v>0</v>
          </cell>
          <cell r="J158">
            <v>0</v>
          </cell>
          <cell r="K158">
            <v>0.2</v>
          </cell>
          <cell r="L158">
            <v>0.1</v>
          </cell>
          <cell r="M158">
            <v>0.2</v>
          </cell>
          <cell r="N158">
            <v>0.1</v>
          </cell>
        </row>
        <row r="159">
          <cell r="D159">
            <v>39783</v>
          </cell>
          <cell r="E159">
            <v>76895733.0427984</v>
          </cell>
          <cell r="F159">
            <v>11939476.042798394</v>
          </cell>
          <cell r="G159">
            <v>151153.9</v>
          </cell>
          <cell r="H159">
            <v>18890.599999999999</v>
          </cell>
          <cell r="I159">
            <v>0</v>
          </cell>
          <cell r="J159">
            <v>0</v>
          </cell>
          <cell r="K159">
            <v>0.2</v>
          </cell>
          <cell r="L159">
            <v>0.1</v>
          </cell>
          <cell r="M159">
            <v>0.2</v>
          </cell>
          <cell r="N159">
            <v>0.1</v>
          </cell>
        </row>
        <row r="160">
          <cell r="D160">
            <v>39083</v>
          </cell>
          <cell r="E160">
            <v>1</v>
          </cell>
          <cell r="F160">
            <v>0</v>
          </cell>
          <cell r="G160">
            <v>1</v>
          </cell>
          <cell r="H160">
            <v>0</v>
          </cell>
          <cell r="I160">
            <v>0</v>
          </cell>
          <cell r="J160">
            <v>0</v>
          </cell>
          <cell r="K160"/>
          <cell r="L160"/>
          <cell r="M160"/>
          <cell r="N160"/>
        </row>
        <row r="161">
          <cell r="D161">
            <v>39114</v>
          </cell>
          <cell r="E161">
            <v>860800</v>
          </cell>
          <cell r="F161">
            <v>213800</v>
          </cell>
          <cell r="G161">
            <v>1</v>
          </cell>
          <cell r="H161">
            <v>0</v>
          </cell>
          <cell r="I161">
            <v>0</v>
          </cell>
          <cell r="J161">
            <v>0</v>
          </cell>
          <cell r="K161"/>
          <cell r="L161"/>
          <cell r="M161"/>
          <cell r="N161"/>
        </row>
        <row r="162">
          <cell r="D162">
            <v>39142</v>
          </cell>
          <cell r="E162">
            <v>1339750</v>
          </cell>
          <cell r="F162">
            <v>369250</v>
          </cell>
          <cell r="G162">
            <v>1</v>
          </cell>
          <cell r="H162">
            <v>0</v>
          </cell>
          <cell r="I162">
            <v>0</v>
          </cell>
          <cell r="J162">
            <v>0</v>
          </cell>
          <cell r="K162"/>
          <cell r="L162"/>
          <cell r="M162"/>
          <cell r="N162"/>
        </row>
        <row r="163">
          <cell r="D163">
            <v>39173</v>
          </cell>
          <cell r="E163">
            <v>1</v>
          </cell>
          <cell r="F163">
            <v>0</v>
          </cell>
          <cell r="G163">
            <v>1</v>
          </cell>
          <cell r="H163">
            <v>0</v>
          </cell>
          <cell r="I163">
            <v>0</v>
          </cell>
          <cell r="J163">
            <v>0</v>
          </cell>
          <cell r="K163"/>
          <cell r="L163"/>
          <cell r="M163"/>
          <cell r="N163"/>
        </row>
        <row r="164">
          <cell r="D164">
            <v>39203</v>
          </cell>
          <cell r="E164">
            <v>1</v>
          </cell>
          <cell r="F164">
            <v>0</v>
          </cell>
          <cell r="G164">
            <v>1</v>
          </cell>
          <cell r="H164">
            <v>0</v>
          </cell>
          <cell r="I164">
            <v>0</v>
          </cell>
          <cell r="J164">
            <v>0</v>
          </cell>
          <cell r="K164"/>
          <cell r="L164"/>
          <cell r="M164"/>
          <cell r="N164"/>
        </row>
        <row r="165">
          <cell r="D165">
            <v>39234</v>
          </cell>
          <cell r="E165">
            <v>1</v>
          </cell>
          <cell r="F165">
            <v>0</v>
          </cell>
          <cell r="G165">
            <v>1</v>
          </cell>
          <cell r="H165">
            <v>0</v>
          </cell>
          <cell r="I165">
            <v>0</v>
          </cell>
          <cell r="J165">
            <v>0</v>
          </cell>
          <cell r="K165"/>
          <cell r="L165"/>
          <cell r="M165"/>
          <cell r="N165"/>
        </row>
        <row r="166">
          <cell r="D166">
            <v>39264</v>
          </cell>
          <cell r="E166">
            <v>1</v>
          </cell>
          <cell r="F166">
            <v>0</v>
          </cell>
          <cell r="G166">
            <v>1</v>
          </cell>
          <cell r="H166">
            <v>0</v>
          </cell>
          <cell r="I166">
            <v>0</v>
          </cell>
          <cell r="J166">
            <v>0</v>
          </cell>
          <cell r="K166"/>
          <cell r="L166"/>
          <cell r="M166"/>
          <cell r="N166"/>
        </row>
        <row r="167">
          <cell r="D167">
            <v>39295</v>
          </cell>
          <cell r="E167">
            <v>1</v>
          </cell>
          <cell r="F167">
            <v>0</v>
          </cell>
          <cell r="G167">
            <v>1</v>
          </cell>
          <cell r="H167">
            <v>0</v>
          </cell>
          <cell r="I167">
            <v>0</v>
          </cell>
          <cell r="J167">
            <v>0</v>
          </cell>
          <cell r="K167"/>
          <cell r="L167"/>
          <cell r="M167"/>
          <cell r="N167"/>
        </row>
        <row r="168">
          <cell r="D168">
            <v>39326</v>
          </cell>
          <cell r="E168">
            <v>1</v>
          </cell>
          <cell r="F168">
            <v>0</v>
          </cell>
          <cell r="G168">
            <v>1</v>
          </cell>
          <cell r="H168">
            <v>0</v>
          </cell>
          <cell r="I168">
            <v>0</v>
          </cell>
          <cell r="J168">
            <v>0</v>
          </cell>
          <cell r="K168"/>
          <cell r="L168"/>
          <cell r="M168"/>
          <cell r="N168"/>
        </row>
        <row r="169">
          <cell r="D169">
            <v>39356</v>
          </cell>
          <cell r="E169">
            <v>1</v>
          </cell>
          <cell r="F169">
            <v>0</v>
          </cell>
          <cell r="G169">
            <v>1</v>
          </cell>
          <cell r="H169">
            <v>0</v>
          </cell>
          <cell r="I169">
            <v>0</v>
          </cell>
          <cell r="J169">
            <v>0</v>
          </cell>
          <cell r="K169"/>
          <cell r="L169"/>
          <cell r="M169"/>
          <cell r="N169"/>
        </row>
        <row r="170">
          <cell r="D170">
            <v>39387</v>
          </cell>
          <cell r="E170">
            <v>1</v>
          </cell>
          <cell r="F170">
            <v>0</v>
          </cell>
          <cell r="G170">
            <v>1</v>
          </cell>
          <cell r="H170">
            <v>0</v>
          </cell>
          <cell r="I170">
            <v>0</v>
          </cell>
          <cell r="J170">
            <v>0</v>
          </cell>
          <cell r="K170"/>
          <cell r="L170"/>
          <cell r="M170"/>
          <cell r="N170"/>
        </row>
        <row r="171">
          <cell r="D171">
            <v>39417</v>
          </cell>
          <cell r="E171">
            <v>1</v>
          </cell>
          <cell r="F171">
            <v>0</v>
          </cell>
          <cell r="G171">
            <v>1</v>
          </cell>
          <cell r="H171">
            <v>0</v>
          </cell>
          <cell r="I171">
            <v>0</v>
          </cell>
          <cell r="J171">
            <v>0</v>
          </cell>
          <cell r="K171"/>
          <cell r="L171"/>
          <cell r="M171"/>
          <cell r="N171"/>
        </row>
        <row r="172">
          <cell r="D172">
            <v>39448</v>
          </cell>
          <cell r="E172">
            <v>1</v>
          </cell>
          <cell r="F172">
            <v>0</v>
          </cell>
          <cell r="G172">
            <v>1</v>
          </cell>
          <cell r="H172">
            <v>0</v>
          </cell>
          <cell r="I172">
            <v>0</v>
          </cell>
          <cell r="J172">
            <v>0</v>
          </cell>
          <cell r="K172"/>
          <cell r="L172"/>
          <cell r="M172"/>
          <cell r="N172"/>
        </row>
        <row r="173">
          <cell r="D173">
            <v>39479</v>
          </cell>
          <cell r="E173">
            <v>860818</v>
          </cell>
          <cell r="F173">
            <v>301818</v>
          </cell>
          <cell r="G173">
            <v>1</v>
          </cell>
          <cell r="H173">
            <v>0</v>
          </cell>
          <cell r="I173">
            <v>0</v>
          </cell>
          <cell r="J173">
            <v>0</v>
          </cell>
          <cell r="K173"/>
          <cell r="L173"/>
          <cell r="M173"/>
          <cell r="N173"/>
        </row>
        <row r="174">
          <cell r="D174">
            <v>39508</v>
          </cell>
          <cell r="E174">
            <v>1288667</v>
          </cell>
          <cell r="F174">
            <v>450167</v>
          </cell>
          <cell r="G174">
            <v>1</v>
          </cell>
          <cell r="H174">
            <v>0</v>
          </cell>
          <cell r="I174">
            <v>0</v>
          </cell>
          <cell r="J174">
            <v>0</v>
          </cell>
          <cell r="K174"/>
          <cell r="L174"/>
          <cell r="M174"/>
          <cell r="N174"/>
        </row>
        <row r="175">
          <cell r="D175">
            <v>39539</v>
          </cell>
          <cell r="E175">
            <v>1726993.73</v>
          </cell>
          <cell r="F175">
            <v>608993.73</v>
          </cell>
          <cell r="G175">
            <v>1</v>
          </cell>
          <cell r="H175">
            <v>0</v>
          </cell>
          <cell r="I175">
            <v>0</v>
          </cell>
          <cell r="J175">
            <v>0</v>
          </cell>
          <cell r="K175"/>
          <cell r="L175"/>
          <cell r="M175"/>
          <cell r="N175"/>
        </row>
        <row r="176">
          <cell r="D176">
            <v>39569</v>
          </cell>
          <cell r="E176">
            <v>2171558</v>
          </cell>
          <cell r="F176">
            <v>759058</v>
          </cell>
          <cell r="G176">
            <v>1</v>
          </cell>
          <cell r="H176">
            <v>0</v>
          </cell>
          <cell r="I176">
            <v>0</v>
          </cell>
          <cell r="J176">
            <v>0</v>
          </cell>
          <cell r="K176"/>
          <cell r="L176"/>
          <cell r="M176"/>
          <cell r="N176"/>
        </row>
        <row r="177">
          <cell r="D177">
            <v>39600</v>
          </cell>
          <cell r="E177">
            <v>2670797</v>
          </cell>
          <cell r="F177">
            <v>922865</v>
          </cell>
          <cell r="G177">
            <v>1</v>
          </cell>
          <cell r="H177">
            <v>0</v>
          </cell>
          <cell r="I177">
            <v>0</v>
          </cell>
          <cell r="J177">
            <v>0</v>
          </cell>
          <cell r="K177"/>
          <cell r="L177"/>
          <cell r="M177"/>
          <cell r="N177"/>
        </row>
        <row r="178">
          <cell r="D178">
            <v>39630</v>
          </cell>
          <cell r="E178">
            <v>3051993.9329370912</v>
          </cell>
          <cell r="F178">
            <v>1074493.9329370912</v>
          </cell>
          <cell r="G178">
            <v>1</v>
          </cell>
          <cell r="H178">
            <v>0</v>
          </cell>
          <cell r="I178">
            <v>0</v>
          </cell>
          <cell r="J178">
            <v>0</v>
          </cell>
          <cell r="K178"/>
          <cell r="L178"/>
          <cell r="M178"/>
          <cell r="N178"/>
        </row>
        <row r="179">
          <cell r="D179">
            <v>39661</v>
          </cell>
          <cell r="E179">
            <v>3514482.7234214875</v>
          </cell>
          <cell r="F179">
            <v>1254482.7234214875</v>
          </cell>
          <cell r="G179">
            <v>1</v>
          </cell>
          <cell r="H179">
            <v>0</v>
          </cell>
          <cell r="I179">
            <v>0</v>
          </cell>
          <cell r="J179">
            <v>0</v>
          </cell>
          <cell r="K179"/>
          <cell r="L179"/>
          <cell r="M179"/>
          <cell r="N179"/>
        </row>
        <row r="180">
          <cell r="D180">
            <v>39692</v>
          </cell>
          <cell r="E180">
            <v>3958042.6574892383</v>
          </cell>
          <cell r="F180">
            <v>1415542.6574892385</v>
          </cell>
          <cell r="G180">
            <v>1</v>
          </cell>
          <cell r="H180">
            <v>0</v>
          </cell>
          <cell r="I180">
            <v>0</v>
          </cell>
          <cell r="J180">
            <v>0</v>
          </cell>
          <cell r="K180"/>
          <cell r="L180"/>
          <cell r="M180"/>
          <cell r="N180"/>
        </row>
        <row r="181">
          <cell r="D181">
            <v>39722</v>
          </cell>
          <cell r="E181">
            <v>4408194.6694911104</v>
          </cell>
          <cell r="F181">
            <v>1583194.6694911099</v>
          </cell>
          <cell r="G181">
            <v>1</v>
          </cell>
          <cell r="H181">
            <v>0</v>
          </cell>
          <cell r="I181">
            <v>0</v>
          </cell>
          <cell r="J181">
            <v>0</v>
          </cell>
          <cell r="K181"/>
          <cell r="L181"/>
          <cell r="M181"/>
          <cell r="N181"/>
        </row>
        <row r="182">
          <cell r="D182">
            <v>39753</v>
          </cell>
          <cell r="E182">
            <v>4858467.8946423391</v>
          </cell>
          <cell r="F182">
            <v>1750967.8946423389</v>
          </cell>
          <cell r="G182">
            <v>1</v>
          </cell>
          <cell r="H182">
            <v>0</v>
          </cell>
          <cell r="I182">
            <v>0</v>
          </cell>
          <cell r="J182">
            <v>0</v>
          </cell>
          <cell r="K182"/>
          <cell r="L182"/>
          <cell r="M182"/>
          <cell r="N182"/>
        </row>
        <row r="183">
          <cell r="D183">
            <v>39783</v>
          </cell>
          <cell r="E183">
            <v>5311292.8493194524</v>
          </cell>
          <cell r="F183">
            <v>1921292.8493194529</v>
          </cell>
          <cell r="G183">
            <v>1</v>
          </cell>
          <cell r="H183">
            <v>0</v>
          </cell>
          <cell r="I183">
            <v>0</v>
          </cell>
          <cell r="J183">
            <v>0</v>
          </cell>
          <cell r="K183"/>
          <cell r="L183"/>
          <cell r="M183"/>
          <cell r="N183"/>
        </row>
        <row r="184"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</row>
        <row r="185"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</row>
        <row r="186">
          <cell r="D186"/>
          <cell r="E186"/>
          <cell r="F186"/>
          <cell r="G186"/>
          <cell r="H186"/>
          <cell r="I186"/>
          <cell r="J186"/>
          <cell r="K186"/>
          <cell r="L186"/>
          <cell r="M186"/>
          <cell r="N186"/>
        </row>
        <row r="187">
          <cell r="D187"/>
          <cell r="E187"/>
          <cell r="F187"/>
          <cell r="G187"/>
          <cell r="H187"/>
          <cell r="I187"/>
          <cell r="J187"/>
          <cell r="K187"/>
          <cell r="L187"/>
          <cell r="M187"/>
          <cell r="N187"/>
        </row>
        <row r="188">
          <cell r="D188"/>
          <cell r="E188"/>
          <cell r="F188"/>
          <cell r="G188"/>
          <cell r="H188"/>
          <cell r="I188"/>
          <cell r="J188"/>
          <cell r="K188"/>
          <cell r="L188"/>
          <cell r="M188"/>
          <cell r="N188"/>
        </row>
        <row r="189">
          <cell r="D189"/>
          <cell r="E189"/>
          <cell r="F189"/>
          <cell r="G189"/>
          <cell r="H189"/>
          <cell r="I189"/>
          <cell r="J189"/>
          <cell r="K189"/>
          <cell r="L189"/>
          <cell r="M189"/>
          <cell r="N189"/>
        </row>
        <row r="190">
          <cell r="D190"/>
          <cell r="E190"/>
          <cell r="F190"/>
          <cell r="G190"/>
          <cell r="H190"/>
          <cell r="I190"/>
          <cell r="J190"/>
          <cell r="K190"/>
          <cell r="L190"/>
          <cell r="M190"/>
          <cell r="N190"/>
        </row>
        <row r="191">
          <cell r="D191"/>
          <cell r="E191"/>
          <cell r="F191"/>
          <cell r="G191"/>
          <cell r="H191"/>
          <cell r="I191"/>
          <cell r="J191"/>
          <cell r="K191"/>
          <cell r="L191"/>
          <cell r="M191"/>
          <cell r="N191"/>
        </row>
        <row r="192">
          <cell r="D192"/>
          <cell r="E192"/>
          <cell r="F192"/>
          <cell r="G192"/>
          <cell r="H192"/>
          <cell r="I192"/>
          <cell r="J192"/>
          <cell r="K192"/>
          <cell r="L192"/>
          <cell r="M192"/>
          <cell r="N192"/>
        </row>
        <row r="193">
          <cell r="D193"/>
          <cell r="E193"/>
          <cell r="F193"/>
          <cell r="G193"/>
          <cell r="H193"/>
          <cell r="I193"/>
          <cell r="J193"/>
          <cell r="K193"/>
          <cell r="L193"/>
          <cell r="M193"/>
          <cell r="N193"/>
        </row>
        <row r="194">
          <cell r="D194"/>
          <cell r="E194"/>
          <cell r="F194"/>
          <cell r="G194"/>
          <cell r="H194"/>
          <cell r="I194"/>
          <cell r="J194"/>
          <cell r="K194"/>
          <cell r="L194"/>
          <cell r="M194"/>
          <cell r="N194"/>
        </row>
        <row r="195">
          <cell r="D195"/>
          <cell r="E195"/>
          <cell r="F195"/>
          <cell r="G195"/>
          <cell r="H195"/>
          <cell r="I195"/>
          <cell r="J195"/>
          <cell r="K195"/>
          <cell r="L195"/>
          <cell r="M195"/>
          <cell r="N195"/>
        </row>
        <row r="196">
          <cell r="D196"/>
          <cell r="E196"/>
          <cell r="F196"/>
          <cell r="G196"/>
          <cell r="H196"/>
          <cell r="I196"/>
          <cell r="J196"/>
          <cell r="K196"/>
          <cell r="L196"/>
          <cell r="M196"/>
          <cell r="N196"/>
        </row>
        <row r="197">
          <cell r="D197"/>
          <cell r="E197"/>
          <cell r="F197"/>
          <cell r="G197"/>
          <cell r="H197"/>
          <cell r="I197"/>
          <cell r="J197"/>
          <cell r="K197"/>
          <cell r="L197"/>
          <cell r="M197"/>
          <cell r="N197"/>
        </row>
        <row r="198">
          <cell r="D198"/>
          <cell r="E198"/>
          <cell r="F198"/>
          <cell r="G198"/>
          <cell r="H198"/>
          <cell r="I198"/>
          <cell r="J198"/>
          <cell r="K198"/>
          <cell r="L198"/>
          <cell r="M198"/>
          <cell r="N198"/>
        </row>
        <row r="199">
          <cell r="D199"/>
          <cell r="E199"/>
          <cell r="F199"/>
          <cell r="G199"/>
          <cell r="H199"/>
          <cell r="I199"/>
          <cell r="J199"/>
          <cell r="K199"/>
          <cell r="L199"/>
          <cell r="M199"/>
          <cell r="N199"/>
        </row>
        <row r="200">
          <cell r="D200"/>
          <cell r="E200"/>
          <cell r="F200"/>
          <cell r="G200"/>
          <cell r="H200"/>
          <cell r="I200"/>
          <cell r="J200"/>
          <cell r="K200"/>
          <cell r="L200"/>
          <cell r="M200"/>
          <cell r="N200"/>
        </row>
        <row r="201">
          <cell r="D201"/>
          <cell r="E201"/>
          <cell r="F201"/>
          <cell r="G201"/>
          <cell r="H201"/>
          <cell r="I201"/>
          <cell r="J201"/>
          <cell r="K201"/>
          <cell r="L201"/>
          <cell r="M201"/>
          <cell r="N201"/>
        </row>
        <row r="202"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</row>
        <row r="203"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</row>
        <row r="204"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</row>
        <row r="205">
          <cell r="D205"/>
          <cell r="E205"/>
          <cell r="F205"/>
          <cell r="G205"/>
          <cell r="H205"/>
          <cell r="I205"/>
          <cell r="J205"/>
          <cell r="K205"/>
          <cell r="L205"/>
          <cell r="M205"/>
          <cell r="N205"/>
        </row>
        <row r="206">
          <cell r="D206"/>
          <cell r="E206"/>
          <cell r="F206"/>
          <cell r="G206"/>
          <cell r="H206"/>
          <cell r="I206"/>
          <cell r="J206"/>
          <cell r="K206"/>
          <cell r="L206"/>
          <cell r="M206"/>
          <cell r="N206"/>
        </row>
        <row r="207">
          <cell r="D207"/>
          <cell r="E207"/>
          <cell r="F207"/>
          <cell r="G207"/>
          <cell r="H207"/>
          <cell r="I207"/>
          <cell r="J207"/>
          <cell r="K207"/>
          <cell r="L207"/>
          <cell r="M207"/>
          <cell r="N207"/>
        </row>
        <row r="208">
          <cell r="D208"/>
          <cell r="E208"/>
          <cell r="F208"/>
          <cell r="G208"/>
          <cell r="H208"/>
          <cell r="I208"/>
          <cell r="J208"/>
          <cell r="K208"/>
          <cell r="L208"/>
          <cell r="M208"/>
          <cell r="N208"/>
        </row>
        <row r="209">
          <cell r="D209"/>
          <cell r="E209"/>
          <cell r="F209"/>
          <cell r="G209"/>
          <cell r="H209"/>
          <cell r="I209"/>
          <cell r="J209"/>
          <cell r="K209"/>
          <cell r="L209"/>
          <cell r="M209"/>
          <cell r="N209"/>
        </row>
        <row r="210"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</row>
        <row r="211"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</row>
        <row r="212"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</row>
        <row r="213"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</row>
        <row r="214">
          <cell r="D214"/>
          <cell r="E214"/>
          <cell r="F214"/>
          <cell r="G214"/>
          <cell r="H214"/>
          <cell r="I214"/>
          <cell r="J214"/>
          <cell r="K214"/>
          <cell r="L214"/>
          <cell r="M214"/>
          <cell r="N214"/>
        </row>
        <row r="215">
          <cell r="D215"/>
          <cell r="E215"/>
          <cell r="F215"/>
          <cell r="G215"/>
          <cell r="H215"/>
          <cell r="I215"/>
          <cell r="J215"/>
          <cell r="K215"/>
          <cell r="L215"/>
          <cell r="M215"/>
          <cell r="N215"/>
        </row>
        <row r="216">
          <cell r="D216"/>
          <cell r="E216"/>
          <cell r="F216"/>
          <cell r="G216"/>
          <cell r="H216"/>
          <cell r="I216"/>
          <cell r="J216"/>
          <cell r="K216"/>
          <cell r="L216"/>
          <cell r="M216"/>
          <cell r="N216"/>
        </row>
        <row r="217">
          <cell r="D217"/>
          <cell r="E217"/>
          <cell r="F217"/>
          <cell r="G217"/>
          <cell r="H217"/>
          <cell r="I217"/>
          <cell r="J217"/>
          <cell r="K217"/>
          <cell r="L217"/>
          <cell r="M217"/>
          <cell r="N217"/>
        </row>
        <row r="218">
          <cell r="D218"/>
          <cell r="E218"/>
          <cell r="F218"/>
          <cell r="G218"/>
          <cell r="H218"/>
          <cell r="I218"/>
          <cell r="J218"/>
          <cell r="K218"/>
          <cell r="L218"/>
          <cell r="M218"/>
          <cell r="N218"/>
        </row>
        <row r="219">
          <cell r="D219"/>
          <cell r="E219"/>
          <cell r="F219"/>
          <cell r="G219"/>
          <cell r="H219"/>
          <cell r="I219"/>
          <cell r="J219"/>
          <cell r="K219"/>
          <cell r="L219"/>
          <cell r="M219"/>
          <cell r="N219"/>
        </row>
        <row r="220">
          <cell r="D220"/>
          <cell r="E220"/>
          <cell r="F220"/>
          <cell r="G220"/>
          <cell r="H220"/>
          <cell r="I220"/>
          <cell r="J220"/>
          <cell r="K220"/>
          <cell r="L220"/>
          <cell r="M220"/>
          <cell r="N220"/>
        </row>
        <row r="221">
          <cell r="D221"/>
          <cell r="E221"/>
          <cell r="F221"/>
          <cell r="G221"/>
          <cell r="H221"/>
          <cell r="I221"/>
          <cell r="J221"/>
          <cell r="K221"/>
          <cell r="L221"/>
          <cell r="M221"/>
          <cell r="N221"/>
        </row>
        <row r="222">
          <cell r="D222"/>
          <cell r="E222"/>
          <cell r="F222"/>
          <cell r="G222"/>
          <cell r="H222"/>
          <cell r="I222"/>
          <cell r="J222"/>
          <cell r="K222"/>
          <cell r="L222"/>
          <cell r="M222"/>
          <cell r="N222"/>
        </row>
        <row r="223"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</row>
        <row r="224"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</row>
        <row r="225"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</row>
        <row r="226">
          <cell r="E226"/>
          <cell r="F226"/>
          <cell r="G226"/>
          <cell r="H226"/>
          <cell r="I226"/>
          <cell r="J226"/>
          <cell r="K226"/>
          <cell r="L226"/>
          <cell r="M226"/>
          <cell r="N226"/>
        </row>
        <row r="227">
          <cell r="E227"/>
          <cell r="F227"/>
          <cell r="G227"/>
          <cell r="H227"/>
          <cell r="I227"/>
          <cell r="J227"/>
          <cell r="K227"/>
          <cell r="L227"/>
          <cell r="M227"/>
          <cell r="N227"/>
        </row>
        <row r="228"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</row>
        <row r="229"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</row>
        <row r="230"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</row>
        <row r="231"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</row>
        <row r="232">
          <cell r="E232"/>
          <cell r="F232"/>
          <cell r="G232"/>
          <cell r="H232"/>
          <cell r="I232"/>
          <cell r="J232"/>
          <cell r="K232"/>
          <cell r="L232"/>
          <cell r="M232"/>
          <cell r="N232"/>
        </row>
        <row r="233">
          <cell r="E233"/>
          <cell r="F233"/>
          <cell r="G233"/>
          <cell r="H233"/>
          <cell r="I233"/>
          <cell r="J233"/>
          <cell r="K233"/>
          <cell r="L233"/>
          <cell r="M233"/>
          <cell r="N233"/>
        </row>
        <row r="234">
          <cell r="E234"/>
          <cell r="F234"/>
          <cell r="G234"/>
          <cell r="H234"/>
          <cell r="I234"/>
          <cell r="J234"/>
          <cell r="K234"/>
          <cell r="L234"/>
          <cell r="M234"/>
          <cell r="N234"/>
        </row>
        <row r="235">
          <cell r="E235"/>
          <cell r="F235"/>
          <cell r="G235"/>
          <cell r="H235"/>
          <cell r="I235"/>
          <cell r="J235"/>
          <cell r="K235"/>
          <cell r="L235"/>
          <cell r="M235"/>
          <cell r="N235"/>
        </row>
        <row r="236">
          <cell r="E236"/>
          <cell r="F236"/>
          <cell r="G236"/>
          <cell r="H236"/>
          <cell r="I236"/>
          <cell r="J236"/>
          <cell r="K236"/>
          <cell r="L236"/>
          <cell r="M236"/>
          <cell r="N236"/>
        </row>
        <row r="237">
          <cell r="E237"/>
          <cell r="F237"/>
          <cell r="G237"/>
          <cell r="H237"/>
          <cell r="I237"/>
          <cell r="J237"/>
          <cell r="K237"/>
          <cell r="L237"/>
          <cell r="M237"/>
          <cell r="N237"/>
        </row>
        <row r="238">
          <cell r="E238"/>
          <cell r="F238"/>
          <cell r="G238"/>
          <cell r="H238"/>
          <cell r="I238"/>
          <cell r="J238"/>
          <cell r="K238"/>
          <cell r="L238"/>
          <cell r="M238"/>
          <cell r="N238"/>
        </row>
        <row r="239">
          <cell r="E239"/>
          <cell r="F239"/>
          <cell r="G239"/>
          <cell r="H239"/>
          <cell r="I239"/>
          <cell r="J239"/>
          <cell r="K239"/>
          <cell r="L239"/>
          <cell r="M239"/>
          <cell r="N239"/>
        </row>
        <row r="240"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</row>
        <row r="241"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</row>
        <row r="242"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</row>
        <row r="243"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</row>
        <row r="244">
          <cell r="E244"/>
          <cell r="F244"/>
          <cell r="G244"/>
          <cell r="H244"/>
          <cell r="I244"/>
          <cell r="J244"/>
          <cell r="K244"/>
          <cell r="L244"/>
          <cell r="M244"/>
          <cell r="N244"/>
        </row>
        <row r="245">
          <cell r="E245"/>
          <cell r="F245"/>
          <cell r="G245"/>
          <cell r="H245"/>
          <cell r="I245"/>
          <cell r="J245"/>
          <cell r="K245"/>
          <cell r="L245"/>
          <cell r="M245"/>
          <cell r="N245"/>
        </row>
        <row r="246">
          <cell r="E246"/>
          <cell r="F246"/>
          <cell r="G246"/>
          <cell r="H246"/>
          <cell r="I246"/>
          <cell r="J246"/>
          <cell r="K246"/>
          <cell r="L246"/>
          <cell r="M246"/>
          <cell r="N246"/>
        </row>
        <row r="247">
          <cell r="E247"/>
          <cell r="F247"/>
          <cell r="G247"/>
          <cell r="H247"/>
          <cell r="I247"/>
          <cell r="J247"/>
          <cell r="K247"/>
          <cell r="L247"/>
          <cell r="M247"/>
          <cell r="N247"/>
        </row>
        <row r="248">
          <cell r="E248"/>
          <cell r="F248"/>
          <cell r="G248"/>
          <cell r="H248"/>
          <cell r="I248"/>
          <cell r="J248"/>
          <cell r="K248"/>
          <cell r="L248"/>
          <cell r="M248"/>
          <cell r="N248"/>
        </row>
        <row r="249"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</row>
        <row r="250"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</row>
        <row r="251"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</row>
        <row r="252"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</row>
        <row r="253">
          <cell r="E253"/>
          <cell r="F253"/>
          <cell r="G253"/>
          <cell r="H253"/>
          <cell r="I253"/>
          <cell r="J253"/>
          <cell r="K253"/>
          <cell r="L253"/>
          <cell r="M253"/>
          <cell r="N253"/>
        </row>
        <row r="254">
          <cell r="E254"/>
          <cell r="F254"/>
          <cell r="G254"/>
          <cell r="H254"/>
          <cell r="I254"/>
          <cell r="J254"/>
          <cell r="K254"/>
          <cell r="L254"/>
          <cell r="M254"/>
          <cell r="N254"/>
        </row>
        <row r="255">
          <cell r="E255"/>
          <cell r="F255"/>
          <cell r="G255"/>
          <cell r="H255"/>
          <cell r="I255"/>
          <cell r="J255"/>
          <cell r="K255"/>
          <cell r="L255"/>
          <cell r="M255"/>
          <cell r="N255"/>
        </row>
        <row r="256">
          <cell r="E256"/>
          <cell r="F256"/>
          <cell r="G256"/>
          <cell r="H256"/>
          <cell r="I256"/>
          <cell r="J256"/>
          <cell r="K256"/>
          <cell r="L256"/>
          <cell r="M256"/>
          <cell r="N256"/>
        </row>
        <row r="257">
          <cell r="E257"/>
          <cell r="F257"/>
          <cell r="G257"/>
          <cell r="H257"/>
          <cell r="I257"/>
          <cell r="J257"/>
          <cell r="K257"/>
          <cell r="L257"/>
          <cell r="M257"/>
          <cell r="N257"/>
        </row>
        <row r="258">
          <cell r="E258"/>
          <cell r="F258"/>
          <cell r="G258"/>
          <cell r="H258"/>
          <cell r="I258"/>
          <cell r="J258"/>
          <cell r="K258"/>
          <cell r="L258"/>
          <cell r="M258"/>
          <cell r="N258"/>
        </row>
        <row r="259">
          <cell r="E259"/>
          <cell r="F259"/>
          <cell r="G259"/>
          <cell r="H259"/>
          <cell r="I259"/>
          <cell r="J259"/>
          <cell r="K259"/>
          <cell r="L259"/>
          <cell r="M259"/>
          <cell r="N259"/>
        </row>
        <row r="260">
          <cell r="E260"/>
          <cell r="F260"/>
          <cell r="G260"/>
          <cell r="H260"/>
          <cell r="I260"/>
          <cell r="J260"/>
          <cell r="K260"/>
          <cell r="L260"/>
          <cell r="M260"/>
          <cell r="N260"/>
        </row>
        <row r="261">
          <cell r="E261"/>
          <cell r="F261"/>
          <cell r="G261"/>
          <cell r="H261"/>
          <cell r="I261"/>
          <cell r="J261"/>
          <cell r="K261"/>
          <cell r="L261"/>
          <cell r="M261"/>
          <cell r="N261"/>
        </row>
        <row r="262"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</row>
        <row r="263"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</row>
        <row r="264"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</row>
        <row r="265">
          <cell r="E265"/>
          <cell r="F265"/>
          <cell r="G265"/>
          <cell r="H265"/>
          <cell r="I265"/>
          <cell r="J265"/>
          <cell r="K265"/>
          <cell r="L265"/>
          <cell r="M265"/>
          <cell r="N265"/>
        </row>
        <row r="266">
          <cell r="E266"/>
          <cell r="F266"/>
          <cell r="G266"/>
          <cell r="H266"/>
          <cell r="I266"/>
          <cell r="J266"/>
          <cell r="K266"/>
          <cell r="L266"/>
          <cell r="M266"/>
          <cell r="N266"/>
        </row>
        <row r="267">
          <cell r="E267"/>
          <cell r="F267"/>
          <cell r="G267"/>
          <cell r="H267"/>
          <cell r="I267"/>
          <cell r="J267"/>
          <cell r="K267"/>
          <cell r="L267"/>
          <cell r="M267"/>
          <cell r="N267"/>
        </row>
        <row r="268"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</row>
        <row r="269"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</row>
        <row r="270"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</row>
        <row r="271">
          <cell r="E271"/>
          <cell r="F271"/>
          <cell r="G271"/>
          <cell r="H271"/>
          <cell r="I271"/>
          <cell r="J271"/>
          <cell r="K271"/>
          <cell r="L271"/>
          <cell r="M271"/>
          <cell r="N271"/>
        </row>
        <row r="272">
          <cell r="E272"/>
          <cell r="F272"/>
          <cell r="G272"/>
          <cell r="H272"/>
          <cell r="I272"/>
          <cell r="J272"/>
          <cell r="K272"/>
          <cell r="L272"/>
          <cell r="M272"/>
          <cell r="N272"/>
        </row>
        <row r="273">
          <cell r="E273"/>
          <cell r="F273"/>
          <cell r="G273"/>
          <cell r="H273"/>
          <cell r="I273"/>
          <cell r="J273"/>
          <cell r="K273"/>
          <cell r="L273"/>
          <cell r="M273"/>
          <cell r="N273"/>
        </row>
        <row r="274">
          <cell r="E274"/>
          <cell r="F274"/>
          <cell r="G274"/>
          <cell r="H274"/>
          <cell r="I274"/>
          <cell r="J274"/>
          <cell r="K274"/>
          <cell r="L274"/>
          <cell r="M274"/>
          <cell r="N274"/>
        </row>
        <row r="275">
          <cell r="E275"/>
          <cell r="F275"/>
          <cell r="G275"/>
          <cell r="H275"/>
          <cell r="I275"/>
          <cell r="J275"/>
          <cell r="K275"/>
          <cell r="L275"/>
          <cell r="M275"/>
          <cell r="N275"/>
        </row>
        <row r="276">
          <cell r="E276"/>
          <cell r="F276"/>
          <cell r="G276"/>
          <cell r="H276"/>
          <cell r="I276"/>
          <cell r="J276"/>
          <cell r="K276"/>
          <cell r="L276"/>
          <cell r="M276"/>
          <cell r="N276"/>
        </row>
      </sheetData>
      <sheetData sheetId="90">
        <row r="13">
          <cell r="B13"/>
          <cell r="C13" t="str">
            <v>Mensual</v>
          </cell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Acumulado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  <cell r="Z13"/>
          <cell r="AA13"/>
          <cell r="AB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/>
          <cell r="AS13"/>
          <cell r="AT13"/>
          <cell r="AU13"/>
        </row>
        <row r="14">
          <cell r="B14"/>
          <cell r="C14" t="str">
            <v>%</v>
          </cell>
          <cell r="D14" t="str">
            <v>Ventas en prod nuevos vs. Ventas totales</v>
          </cell>
          <cell r="E14"/>
          <cell r="F14"/>
          <cell r="G14"/>
          <cell r="H14"/>
          <cell r="I14" t="e">
            <v>#N/A</v>
          </cell>
          <cell r="J14" t="str">
            <v>% Desechos</v>
          </cell>
          <cell r="K14"/>
          <cell r="L14"/>
          <cell r="M14"/>
          <cell r="N14"/>
          <cell r="O14" t="str">
            <v>%</v>
          </cell>
          <cell r="P14" t="str">
            <v>AcumVentas en prod nuevos vs. Ventas totales</v>
          </cell>
          <cell r="Q14"/>
          <cell r="R14"/>
          <cell r="S14"/>
          <cell r="T14"/>
          <cell r="U14" t="str">
            <v>%</v>
          </cell>
          <cell r="V14" t="str">
            <v>% Desechos</v>
          </cell>
          <cell r="W14"/>
          <cell r="X14"/>
          <cell r="Y14"/>
          <cell r="Z14"/>
          <cell r="AA14"/>
          <cell r="AB14"/>
          <cell r="AC14" t="str">
            <v>Ventas en prod nuevos vs. Ventas totales</v>
          </cell>
          <cell r="AD14"/>
          <cell r="AE14"/>
          <cell r="AF14" t="str">
            <v>Var 1.</v>
          </cell>
          <cell r="AG14"/>
          <cell r="AH14" t="str">
            <v>Var. 2</v>
          </cell>
          <cell r="AI14"/>
          <cell r="AJ14"/>
          <cell r="AK14" t="str">
            <v>AcumVentas en prod nuevos vs. Ventas totales</v>
          </cell>
          <cell r="AL14"/>
          <cell r="AM14"/>
          <cell r="AN14" t="str">
            <v>Var 1.</v>
          </cell>
          <cell r="AO14"/>
          <cell r="AP14" t="str">
            <v>Var. 2</v>
          </cell>
          <cell r="AQ14"/>
          <cell r="AR14" t="str">
            <v>Acumulado</v>
          </cell>
          <cell r="AS14"/>
          <cell r="AT14" t="str">
            <v>Acumular</v>
          </cell>
          <cell r="AU14"/>
        </row>
        <row r="15">
          <cell r="B15" t="str">
            <v>Fecha</v>
          </cell>
          <cell r="C15"/>
          <cell r="D15" t="str">
            <v>Performance</v>
          </cell>
          <cell r="E15"/>
          <cell r="F15"/>
          <cell r="G15" t="str">
            <v>Sup</v>
          </cell>
          <cell r="H15" t="str">
            <v>Inf</v>
          </cell>
          <cell r="I15"/>
          <cell r="J15" t="str">
            <v>Performance</v>
          </cell>
          <cell r="K15"/>
          <cell r="L15"/>
          <cell r="M15" t="str">
            <v>Sup</v>
          </cell>
          <cell r="N15" t="str">
            <v>Inf</v>
          </cell>
          <cell r="O15"/>
          <cell r="P15" t="str">
            <v>Performance</v>
          </cell>
          <cell r="Q15"/>
          <cell r="R15"/>
          <cell r="S15" t="str">
            <v>Sup</v>
          </cell>
          <cell r="T15" t="str">
            <v>Inf</v>
          </cell>
          <cell r="U15"/>
          <cell r="V15" t="str">
            <v>Performance</v>
          </cell>
          <cell r="W15"/>
          <cell r="X15"/>
          <cell r="Y15" t="str">
            <v>Sup</v>
          </cell>
          <cell r="Z15" t="str">
            <v>Inf</v>
          </cell>
          <cell r="AA15"/>
          <cell r="AB15" t="str">
            <v>Fecha</v>
          </cell>
          <cell r="AC15" t="str">
            <v>Anteriores</v>
          </cell>
          <cell r="AD15" t="str">
            <v>Actual</v>
          </cell>
          <cell r="AE15" t="str">
            <v>Program.</v>
          </cell>
          <cell r="AF15" t="str">
            <v>Unidades</v>
          </cell>
          <cell r="AG15" t="str">
            <v>%</v>
          </cell>
          <cell r="AH15" t="str">
            <v>Unidades</v>
          </cell>
          <cell r="AI15" t="str">
            <v>%</v>
          </cell>
          <cell r="AJ15"/>
          <cell r="AK15" t="str">
            <v>Anteriores</v>
          </cell>
          <cell r="AL15" t="str">
            <v>Actual</v>
          </cell>
          <cell r="AM15" t="str">
            <v>Program.</v>
          </cell>
          <cell r="AN15" t="str">
            <v>Unidades</v>
          </cell>
          <cell r="AO15" t="str">
            <v>%</v>
          </cell>
          <cell r="AP15" t="str">
            <v>Unidades</v>
          </cell>
          <cell r="AQ15" t="str">
            <v>%</v>
          </cell>
          <cell r="AR15" t="str">
            <v>Unidades</v>
          </cell>
          <cell r="AS15" t="str">
            <v>%</v>
          </cell>
          <cell r="AT15" t="str">
            <v>PPTO</v>
          </cell>
          <cell r="AU15" t="str">
            <v>Avance</v>
          </cell>
        </row>
        <row r="16">
          <cell r="B16">
            <v>39083</v>
          </cell>
          <cell r="C16" t="str">
            <v/>
          </cell>
          <cell r="D16" t="str">
            <v/>
          </cell>
          <cell r="E16" t="str">
            <v/>
          </cell>
          <cell r="F16" t="str">
            <v/>
          </cell>
          <cell r="G16" t="str">
            <v/>
          </cell>
          <cell r="H16"/>
          <cell r="I16" t="e">
            <v>#DIV/0!</v>
          </cell>
          <cell r="J16" t="e">
            <v>#DIV/0!</v>
          </cell>
          <cell r="K16" t="e">
            <v>#DIV/0!</v>
          </cell>
          <cell r="L16" t="e">
            <v>#DIV/0!</v>
          </cell>
          <cell r="M16">
            <v>0.06</v>
          </cell>
          <cell r="N16">
            <v>0.02</v>
          </cell>
          <cell r="O16" t="str">
            <v/>
          </cell>
          <cell r="P16" t="str">
            <v/>
          </cell>
          <cell r="Q16" t="str">
            <v/>
          </cell>
          <cell r="R16" t="str">
            <v/>
          </cell>
          <cell r="S16"/>
          <cell r="T16"/>
          <cell r="U16" t="e">
            <v>#DIV/0!</v>
          </cell>
          <cell r="V16" t="e">
            <v>#DIV/0!</v>
          </cell>
          <cell r="W16" t="e">
            <v>#DIV/0!</v>
          </cell>
          <cell r="X16" t="e">
            <v>#DIV/0!</v>
          </cell>
          <cell r="Y16" t="e">
            <v>#REF!</v>
          </cell>
          <cell r="Z16" t="e">
            <v>#REF!</v>
          </cell>
          <cell r="AA16"/>
          <cell r="AB16">
            <v>39083</v>
          </cell>
          <cell r="AC16"/>
          <cell r="AD16">
            <v>0</v>
          </cell>
          <cell r="AE16" t="str">
            <v/>
          </cell>
          <cell r="AF16">
            <v>0</v>
          </cell>
          <cell r="AG16" t="str">
            <v/>
          </cell>
          <cell r="AH16" t="str">
            <v/>
          </cell>
          <cell r="AI16" t="str">
            <v/>
          </cell>
          <cell r="AJ16"/>
          <cell r="AK16"/>
          <cell r="AL16" t="str">
            <v/>
          </cell>
          <cell r="AM16" t="str">
            <v/>
          </cell>
          <cell r="AN16"/>
          <cell r="AO16"/>
          <cell r="AP16" t="str">
            <v/>
          </cell>
          <cell r="AQ16" t="str">
            <v/>
          </cell>
          <cell r="AR16">
            <v>0</v>
          </cell>
          <cell r="AS16" t="str">
            <v/>
          </cell>
          <cell r="AT16" t="str">
            <v/>
          </cell>
          <cell r="AU16" t="str">
            <v/>
          </cell>
        </row>
        <row r="17">
          <cell r="B17">
            <v>39114</v>
          </cell>
          <cell r="C17" t="str">
            <v/>
          </cell>
          <cell r="D17" t="str">
            <v/>
          </cell>
          <cell r="E17" t="str">
            <v/>
          </cell>
          <cell r="F17" t="str">
            <v/>
          </cell>
          <cell r="G17" t="str">
            <v/>
          </cell>
          <cell r="H17" t="str">
            <v/>
          </cell>
          <cell r="I17" t="e">
            <v>#DIV/0!</v>
          </cell>
          <cell r="J17" t="e">
            <v>#DIV/0!</v>
          </cell>
          <cell r="K17" t="e">
            <v>#DIV/0!</v>
          </cell>
          <cell r="L17" t="e">
            <v>#DIV/0!</v>
          </cell>
          <cell r="M17">
            <v>0.06</v>
          </cell>
          <cell r="N17">
            <v>0.02</v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e">
            <v>#DIV/0!</v>
          </cell>
          <cell r="V17" t="e">
            <v>#DIV/0!</v>
          </cell>
          <cell r="W17" t="e">
            <v>#DIV/0!</v>
          </cell>
          <cell r="X17" t="e">
            <v>#DIV/0!</v>
          </cell>
          <cell r="Y17" t="e">
            <v>#REF!</v>
          </cell>
          <cell r="Z17" t="e">
            <v>#REF!</v>
          </cell>
          <cell r="AA17"/>
          <cell r="AB17">
            <v>39114</v>
          </cell>
          <cell r="AC17"/>
          <cell r="AD17" t="str">
            <v/>
          </cell>
          <cell r="AE17" t="str">
            <v/>
          </cell>
          <cell r="AF17" t="str">
            <v/>
          </cell>
          <cell r="AG17" t="str">
            <v/>
          </cell>
          <cell r="AH17" t="str">
            <v/>
          </cell>
          <cell r="AI17" t="str">
            <v/>
          </cell>
          <cell r="AJ17"/>
          <cell r="AK17"/>
          <cell r="AL17" t="str">
            <v/>
          </cell>
          <cell r="AM17" t="str">
            <v/>
          </cell>
          <cell r="AN17"/>
          <cell r="AO17"/>
          <cell r="AP17" t="str">
            <v/>
          </cell>
          <cell r="AQ17" t="str">
            <v/>
          </cell>
          <cell r="AR17">
            <v>0</v>
          </cell>
          <cell r="AS17" t="str">
            <v/>
          </cell>
          <cell r="AT17" t="str">
            <v/>
          </cell>
          <cell r="AU17" t="str">
            <v/>
          </cell>
        </row>
        <row r="18">
          <cell r="B18">
            <v>39142</v>
          </cell>
          <cell r="C18" t="str">
            <v/>
          </cell>
          <cell r="D18" t="str">
            <v/>
          </cell>
          <cell r="E18" t="str">
            <v/>
          </cell>
          <cell r="F18" t="str">
            <v/>
          </cell>
          <cell r="G18" t="str">
            <v/>
          </cell>
          <cell r="H18" t="str">
            <v/>
          </cell>
          <cell r="I18" t="e">
            <v>#DIV/0!</v>
          </cell>
          <cell r="J18" t="e">
            <v>#DIV/0!</v>
          </cell>
          <cell r="K18" t="e">
            <v>#DIV/0!</v>
          </cell>
          <cell r="L18" t="e">
            <v>#DIV/0!</v>
          </cell>
          <cell r="M18">
            <v>0.06</v>
          </cell>
          <cell r="N18">
            <v>0.02</v>
          </cell>
          <cell r="O18" t="str">
            <v/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e">
            <v>#DIV/0!</v>
          </cell>
          <cell r="V18" t="e">
            <v>#DIV/0!</v>
          </cell>
          <cell r="W18" t="e">
            <v>#DIV/0!</v>
          </cell>
          <cell r="X18" t="e">
            <v>#DIV/0!</v>
          </cell>
          <cell r="Y18" t="e">
            <v>#REF!</v>
          </cell>
          <cell r="Z18" t="e">
            <v>#REF!</v>
          </cell>
          <cell r="AA18"/>
          <cell r="AB18">
            <v>39142</v>
          </cell>
          <cell r="AC18"/>
          <cell r="AD18" t="str">
            <v/>
          </cell>
          <cell r="AE18" t="str">
            <v/>
          </cell>
          <cell r="AF18" t="str">
            <v/>
          </cell>
          <cell r="AG18" t="str">
            <v/>
          </cell>
          <cell r="AH18" t="str">
            <v/>
          </cell>
          <cell r="AI18" t="str">
            <v/>
          </cell>
          <cell r="AJ18"/>
          <cell r="AK18"/>
          <cell r="AL18" t="str">
            <v/>
          </cell>
          <cell r="AM18" t="str">
            <v/>
          </cell>
          <cell r="AN18"/>
          <cell r="AO18"/>
          <cell r="AP18" t="str">
            <v/>
          </cell>
          <cell r="AQ18" t="str">
            <v/>
          </cell>
          <cell r="AR18">
            <v>0</v>
          </cell>
          <cell r="AS18" t="str">
            <v/>
          </cell>
          <cell r="AT18" t="str">
            <v/>
          </cell>
          <cell r="AU18" t="str">
            <v/>
          </cell>
        </row>
        <row r="19">
          <cell r="B19">
            <v>39173</v>
          </cell>
          <cell r="C19" t="str">
            <v/>
          </cell>
          <cell r="D19" t="str">
            <v/>
          </cell>
          <cell r="E19" t="str">
            <v/>
          </cell>
          <cell r="F19" t="str">
            <v/>
          </cell>
          <cell r="G19" t="str">
            <v/>
          </cell>
          <cell r="H19" t="str">
            <v/>
          </cell>
          <cell r="I19" t="e">
            <v>#DIV/0!</v>
          </cell>
          <cell r="J19" t="e">
            <v>#DIV/0!</v>
          </cell>
          <cell r="K19" t="e">
            <v>#DIV/0!</v>
          </cell>
          <cell r="L19" t="e">
            <v>#DIV/0!</v>
          </cell>
          <cell r="M19">
            <v>0.06</v>
          </cell>
          <cell r="N19">
            <v>0.02</v>
          </cell>
          <cell r="O19" t="str">
            <v/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e">
            <v>#DIV/0!</v>
          </cell>
          <cell r="V19" t="e">
            <v>#DIV/0!</v>
          </cell>
          <cell r="W19" t="e">
            <v>#DIV/0!</v>
          </cell>
          <cell r="X19" t="e">
            <v>#DIV/0!</v>
          </cell>
          <cell r="Y19" t="e">
            <v>#REF!</v>
          </cell>
          <cell r="Z19" t="e">
            <v>#REF!</v>
          </cell>
          <cell r="AA19"/>
          <cell r="AB19">
            <v>39173</v>
          </cell>
          <cell r="AC19"/>
          <cell r="AD19" t="str">
            <v/>
          </cell>
          <cell r="AE19" t="str">
            <v/>
          </cell>
          <cell r="AF19" t="str">
            <v/>
          </cell>
          <cell r="AG19" t="str">
            <v/>
          </cell>
          <cell r="AH19" t="str">
            <v/>
          </cell>
          <cell r="AI19" t="str">
            <v/>
          </cell>
          <cell r="AJ19"/>
          <cell r="AK19"/>
          <cell r="AL19" t="str">
            <v/>
          </cell>
          <cell r="AM19" t="str">
            <v/>
          </cell>
          <cell r="AN19"/>
          <cell r="AO19"/>
          <cell r="AP19" t="str">
            <v/>
          </cell>
          <cell r="AQ19" t="str">
            <v/>
          </cell>
          <cell r="AR19">
            <v>0</v>
          </cell>
          <cell r="AS19" t="str">
            <v/>
          </cell>
          <cell r="AT19" t="str">
            <v/>
          </cell>
          <cell r="AU19" t="str">
            <v/>
          </cell>
        </row>
        <row r="20">
          <cell r="B20">
            <v>39203</v>
          </cell>
          <cell r="C20" t="str">
            <v/>
          </cell>
          <cell r="D20" t="str">
            <v/>
          </cell>
          <cell r="E20" t="str">
            <v/>
          </cell>
          <cell r="F20" t="str">
            <v/>
          </cell>
          <cell r="G20" t="str">
            <v/>
          </cell>
          <cell r="H20" t="str">
            <v/>
          </cell>
          <cell r="I20" t="e">
            <v>#DIV/0!</v>
          </cell>
          <cell r="J20" t="e">
            <v>#DIV/0!</v>
          </cell>
          <cell r="K20" t="e">
            <v>#DIV/0!</v>
          </cell>
          <cell r="L20" t="e">
            <v>#DIV/0!</v>
          </cell>
          <cell r="M20">
            <v>0.06</v>
          </cell>
          <cell r="N20">
            <v>0.02</v>
          </cell>
          <cell r="O20" t="str">
            <v/>
          </cell>
          <cell r="P20" t="str">
            <v/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e">
            <v>#DIV/0!</v>
          </cell>
          <cell r="V20" t="e">
            <v>#DIV/0!</v>
          </cell>
          <cell r="W20" t="e">
            <v>#DIV/0!</v>
          </cell>
          <cell r="X20" t="e">
            <v>#DIV/0!</v>
          </cell>
          <cell r="Y20" t="e">
            <v>#REF!</v>
          </cell>
          <cell r="Z20" t="e">
            <v>#REF!</v>
          </cell>
          <cell r="AA20"/>
          <cell r="AB20">
            <v>39203</v>
          </cell>
          <cell r="AC20"/>
          <cell r="AD20" t="str">
            <v/>
          </cell>
          <cell r="AE20" t="str">
            <v/>
          </cell>
          <cell r="AF20" t="str">
            <v/>
          </cell>
          <cell r="AG20" t="str">
            <v/>
          </cell>
          <cell r="AH20" t="str">
            <v/>
          </cell>
          <cell r="AI20" t="str">
            <v/>
          </cell>
          <cell r="AJ20"/>
          <cell r="AK20"/>
          <cell r="AL20" t="str">
            <v/>
          </cell>
          <cell r="AM20" t="str">
            <v/>
          </cell>
          <cell r="AN20"/>
          <cell r="AO20"/>
          <cell r="AP20" t="str">
            <v/>
          </cell>
          <cell r="AQ20" t="str">
            <v/>
          </cell>
          <cell r="AR20">
            <v>0</v>
          </cell>
          <cell r="AS20" t="str">
            <v/>
          </cell>
          <cell r="AT20" t="str">
            <v/>
          </cell>
          <cell r="AU20" t="str">
            <v/>
          </cell>
        </row>
        <row r="21">
          <cell r="B21">
            <v>39234</v>
          </cell>
          <cell r="C21" t="str">
            <v/>
          </cell>
          <cell r="D21" t="str">
            <v/>
          </cell>
          <cell r="E21" t="str">
            <v/>
          </cell>
          <cell r="F21" t="str">
            <v/>
          </cell>
          <cell r="G21" t="str">
            <v/>
          </cell>
          <cell r="H21" t="str">
            <v/>
          </cell>
          <cell r="I21" t="e">
            <v>#DIV/0!</v>
          </cell>
          <cell r="J21" t="e">
            <v>#DIV/0!</v>
          </cell>
          <cell r="K21" t="e">
            <v>#DIV/0!</v>
          </cell>
          <cell r="L21" t="e">
            <v>#DIV/0!</v>
          </cell>
          <cell r="M21">
            <v>0.06</v>
          </cell>
          <cell r="N21">
            <v>0.02</v>
          </cell>
          <cell r="O21" t="str">
            <v/>
          </cell>
          <cell r="P21" t="str">
            <v/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 t="e">
            <v>#DIV/0!</v>
          </cell>
          <cell r="V21" t="e">
            <v>#DIV/0!</v>
          </cell>
          <cell r="W21" t="e">
            <v>#DIV/0!</v>
          </cell>
          <cell r="X21" t="e">
            <v>#DIV/0!</v>
          </cell>
          <cell r="Y21" t="e">
            <v>#REF!</v>
          </cell>
          <cell r="Z21" t="e">
            <v>#REF!</v>
          </cell>
          <cell r="AA21"/>
          <cell r="AB21">
            <v>39234</v>
          </cell>
          <cell r="AC21"/>
          <cell r="AD21" t="str">
            <v/>
          </cell>
          <cell r="AE21" t="str">
            <v/>
          </cell>
          <cell r="AF21" t="str">
            <v/>
          </cell>
          <cell r="AG21" t="str">
            <v/>
          </cell>
          <cell r="AH21" t="str">
            <v/>
          </cell>
          <cell r="AI21" t="str">
            <v/>
          </cell>
          <cell r="AJ21"/>
          <cell r="AK21"/>
          <cell r="AL21" t="str">
            <v/>
          </cell>
          <cell r="AM21" t="str">
            <v/>
          </cell>
          <cell r="AN21"/>
          <cell r="AO21"/>
          <cell r="AP21" t="str">
            <v/>
          </cell>
          <cell r="AQ21" t="str">
            <v/>
          </cell>
          <cell r="AR21">
            <v>0</v>
          </cell>
          <cell r="AS21" t="str">
            <v/>
          </cell>
          <cell r="AT21" t="str">
            <v/>
          </cell>
          <cell r="AU21" t="str">
            <v/>
          </cell>
        </row>
        <row r="22">
          <cell r="B22">
            <v>39264</v>
          </cell>
          <cell r="C22" t="str">
            <v/>
          </cell>
          <cell r="D22" t="str">
            <v/>
          </cell>
          <cell r="E22" t="str">
            <v/>
          </cell>
          <cell r="F22" t="str">
            <v/>
          </cell>
          <cell r="G22" t="str">
            <v/>
          </cell>
          <cell r="H22" t="str">
            <v/>
          </cell>
          <cell r="I22" t="e">
            <v>#DIV/0!</v>
          </cell>
          <cell r="J22" t="e">
            <v>#DIV/0!</v>
          </cell>
          <cell r="K22" t="e">
            <v>#DIV/0!</v>
          </cell>
          <cell r="L22" t="e">
            <v>#DIV/0!</v>
          </cell>
          <cell r="M22">
            <v>0.06</v>
          </cell>
          <cell r="N22">
            <v>0.02</v>
          </cell>
          <cell r="O22" t="str">
            <v/>
          </cell>
          <cell r="P22" t="str">
            <v/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  <cell r="U22" t="e">
            <v>#DIV/0!</v>
          </cell>
          <cell r="V22" t="e">
            <v>#DIV/0!</v>
          </cell>
          <cell r="W22" t="e">
            <v>#DIV/0!</v>
          </cell>
          <cell r="X22" t="e">
            <v>#DIV/0!</v>
          </cell>
          <cell r="Y22" t="e">
            <v>#REF!</v>
          </cell>
          <cell r="Z22" t="e">
            <v>#REF!</v>
          </cell>
          <cell r="AA22"/>
          <cell r="AB22">
            <v>39264</v>
          </cell>
          <cell r="AC22"/>
          <cell r="AD22" t="str">
            <v/>
          </cell>
          <cell r="AE22" t="str">
            <v/>
          </cell>
          <cell r="AF22" t="str">
            <v/>
          </cell>
          <cell r="AG22" t="str">
            <v/>
          </cell>
          <cell r="AH22" t="str">
            <v/>
          </cell>
          <cell r="AI22" t="str">
            <v/>
          </cell>
          <cell r="AJ22"/>
          <cell r="AK22"/>
          <cell r="AL22" t="str">
            <v/>
          </cell>
          <cell r="AM22" t="str">
            <v/>
          </cell>
          <cell r="AN22"/>
          <cell r="AO22"/>
          <cell r="AP22" t="str">
            <v/>
          </cell>
          <cell r="AQ22" t="str">
            <v/>
          </cell>
          <cell r="AR22">
            <v>0</v>
          </cell>
          <cell r="AS22" t="str">
            <v/>
          </cell>
          <cell r="AT22" t="str">
            <v/>
          </cell>
          <cell r="AU22" t="str">
            <v/>
          </cell>
        </row>
        <row r="23">
          <cell r="B23">
            <v>39295</v>
          </cell>
          <cell r="C23" t="str">
            <v/>
          </cell>
          <cell r="D23" t="str">
            <v/>
          </cell>
          <cell r="E23" t="str">
            <v/>
          </cell>
          <cell r="F23" t="str">
            <v/>
          </cell>
          <cell r="G23" t="str">
            <v/>
          </cell>
          <cell r="H23" t="str">
            <v/>
          </cell>
          <cell r="I23" t="e">
            <v>#DIV/0!</v>
          </cell>
          <cell r="J23" t="e">
            <v>#DIV/0!</v>
          </cell>
          <cell r="K23" t="e">
            <v>#DIV/0!</v>
          </cell>
          <cell r="L23" t="e">
            <v>#DIV/0!</v>
          </cell>
          <cell r="M23">
            <v>0.06</v>
          </cell>
          <cell r="N23">
            <v>0.02</v>
          </cell>
          <cell r="O23" t="str">
            <v/>
          </cell>
          <cell r="P23" t="str">
            <v/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U23" t="e">
            <v>#DIV/0!</v>
          </cell>
          <cell r="V23" t="e">
            <v>#DIV/0!</v>
          </cell>
          <cell r="W23" t="e">
            <v>#DIV/0!</v>
          </cell>
          <cell r="X23" t="e">
            <v>#DIV/0!</v>
          </cell>
          <cell r="Y23" t="e">
            <v>#REF!</v>
          </cell>
          <cell r="Z23" t="e">
            <v>#REF!</v>
          </cell>
          <cell r="AA23"/>
          <cell r="AB23">
            <v>39295</v>
          </cell>
          <cell r="AC23"/>
          <cell r="AD23" t="str">
            <v/>
          </cell>
          <cell r="AE23" t="str">
            <v/>
          </cell>
          <cell r="AF23" t="str">
            <v/>
          </cell>
          <cell r="AG23" t="str">
            <v/>
          </cell>
          <cell r="AH23" t="str">
            <v/>
          </cell>
          <cell r="AI23" t="str">
            <v/>
          </cell>
          <cell r="AJ23"/>
          <cell r="AK23"/>
          <cell r="AL23" t="str">
            <v/>
          </cell>
          <cell r="AM23" t="str">
            <v/>
          </cell>
          <cell r="AN23"/>
          <cell r="AO23"/>
          <cell r="AP23" t="str">
            <v/>
          </cell>
          <cell r="AQ23" t="str">
            <v/>
          </cell>
          <cell r="AR23">
            <v>0</v>
          </cell>
          <cell r="AS23" t="str">
            <v/>
          </cell>
          <cell r="AT23" t="str">
            <v/>
          </cell>
          <cell r="AU23" t="str">
            <v/>
          </cell>
        </row>
        <row r="24">
          <cell r="B24">
            <v>39326</v>
          </cell>
          <cell r="C24" t="str">
            <v/>
          </cell>
          <cell r="D24" t="str">
            <v/>
          </cell>
          <cell r="E24" t="str">
            <v/>
          </cell>
          <cell r="F24" t="str">
            <v/>
          </cell>
          <cell r="G24" t="str">
            <v/>
          </cell>
          <cell r="H24" t="str">
            <v/>
          </cell>
          <cell r="I24" t="e">
            <v>#DIV/0!</v>
          </cell>
          <cell r="J24" t="e">
            <v>#DIV/0!</v>
          </cell>
          <cell r="K24" t="e">
            <v>#DIV/0!</v>
          </cell>
          <cell r="L24" t="e">
            <v>#DIV/0!</v>
          </cell>
          <cell r="M24">
            <v>0.06</v>
          </cell>
          <cell r="N24">
            <v>0.02</v>
          </cell>
          <cell r="O24" t="str">
            <v/>
          </cell>
          <cell r="P24" t="str">
            <v/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  <cell r="U24" t="e">
            <v>#DIV/0!</v>
          </cell>
          <cell r="V24" t="e">
            <v>#DIV/0!</v>
          </cell>
          <cell r="W24" t="e">
            <v>#DIV/0!</v>
          </cell>
          <cell r="X24" t="e">
            <v>#DIV/0!</v>
          </cell>
          <cell r="Y24" t="e">
            <v>#REF!</v>
          </cell>
          <cell r="Z24" t="e">
            <v>#REF!</v>
          </cell>
          <cell r="AA24"/>
          <cell r="AB24">
            <v>39326</v>
          </cell>
          <cell r="AC24"/>
          <cell r="AD24" t="str">
            <v/>
          </cell>
          <cell r="AE24" t="str">
            <v/>
          </cell>
          <cell r="AF24" t="str">
            <v/>
          </cell>
          <cell r="AG24" t="str">
            <v/>
          </cell>
          <cell r="AH24" t="str">
            <v/>
          </cell>
          <cell r="AI24" t="str">
            <v/>
          </cell>
          <cell r="AJ24"/>
          <cell r="AK24"/>
          <cell r="AL24" t="str">
            <v/>
          </cell>
          <cell r="AM24" t="str">
            <v/>
          </cell>
          <cell r="AN24"/>
          <cell r="AO24"/>
          <cell r="AP24" t="str">
            <v/>
          </cell>
          <cell r="AQ24" t="str">
            <v/>
          </cell>
          <cell r="AR24">
            <v>0</v>
          </cell>
          <cell r="AS24" t="str">
            <v/>
          </cell>
          <cell r="AT24" t="str">
            <v/>
          </cell>
          <cell r="AU24" t="str">
            <v/>
          </cell>
        </row>
        <row r="25">
          <cell r="B25">
            <v>39356</v>
          </cell>
          <cell r="C25" t="str">
            <v/>
          </cell>
          <cell r="D25" t="str">
            <v/>
          </cell>
          <cell r="E25" t="str">
            <v/>
          </cell>
          <cell r="F25" t="str">
            <v/>
          </cell>
          <cell r="G25" t="str">
            <v/>
          </cell>
          <cell r="H25" t="str">
            <v/>
          </cell>
          <cell r="I25" t="e">
            <v>#DIV/0!</v>
          </cell>
          <cell r="J25" t="e">
            <v>#DIV/0!</v>
          </cell>
          <cell r="K25" t="e">
            <v>#DIV/0!</v>
          </cell>
          <cell r="L25" t="e">
            <v>#DIV/0!</v>
          </cell>
          <cell r="M25">
            <v>0.06</v>
          </cell>
          <cell r="N25">
            <v>0.02</v>
          </cell>
          <cell r="O25" t="str">
            <v/>
          </cell>
          <cell r="P25" t="str">
            <v/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 t="e">
            <v>#DIV/0!</v>
          </cell>
          <cell r="V25" t="e">
            <v>#DIV/0!</v>
          </cell>
          <cell r="W25" t="e">
            <v>#DIV/0!</v>
          </cell>
          <cell r="X25" t="e">
            <v>#DIV/0!</v>
          </cell>
          <cell r="Y25" t="e">
            <v>#REF!</v>
          </cell>
          <cell r="Z25" t="e">
            <v>#REF!</v>
          </cell>
          <cell r="AA25"/>
          <cell r="AB25">
            <v>39356</v>
          </cell>
          <cell r="AC25"/>
          <cell r="AD25" t="str">
            <v/>
          </cell>
          <cell r="AE25" t="str">
            <v/>
          </cell>
          <cell r="AF25" t="str">
            <v/>
          </cell>
          <cell r="AG25" t="str">
            <v/>
          </cell>
          <cell r="AH25" t="str">
            <v/>
          </cell>
          <cell r="AI25" t="str">
            <v/>
          </cell>
          <cell r="AJ25"/>
          <cell r="AK25"/>
          <cell r="AL25" t="str">
            <v/>
          </cell>
          <cell r="AM25" t="str">
            <v/>
          </cell>
          <cell r="AN25"/>
          <cell r="AO25"/>
          <cell r="AP25" t="str">
            <v/>
          </cell>
          <cell r="AQ25" t="str">
            <v/>
          </cell>
          <cell r="AR25">
            <v>0</v>
          </cell>
          <cell r="AS25" t="str">
            <v/>
          </cell>
          <cell r="AT25" t="str">
            <v/>
          </cell>
          <cell r="AU25" t="str">
            <v/>
          </cell>
        </row>
        <row r="26">
          <cell r="B26">
            <v>39387</v>
          </cell>
          <cell r="C26" t="str">
            <v/>
          </cell>
          <cell r="D26" t="str">
            <v/>
          </cell>
          <cell r="E26" t="str">
            <v/>
          </cell>
          <cell r="F26" t="str">
            <v/>
          </cell>
          <cell r="G26" t="str">
            <v/>
          </cell>
          <cell r="H26" t="str">
            <v/>
          </cell>
          <cell r="I26" t="e">
            <v>#DIV/0!</v>
          </cell>
          <cell r="J26" t="e">
            <v>#DIV/0!</v>
          </cell>
          <cell r="K26" t="e">
            <v>#DIV/0!</v>
          </cell>
          <cell r="L26" t="e">
            <v>#DIV/0!</v>
          </cell>
          <cell r="M26">
            <v>0.06</v>
          </cell>
          <cell r="N26">
            <v>0.02</v>
          </cell>
          <cell r="O26" t="str">
            <v/>
          </cell>
          <cell r="P26" t="str">
            <v/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 t="e">
            <v>#DIV/0!</v>
          </cell>
          <cell r="V26" t="e">
            <v>#DIV/0!</v>
          </cell>
          <cell r="W26" t="e">
            <v>#DIV/0!</v>
          </cell>
          <cell r="X26" t="e">
            <v>#DIV/0!</v>
          </cell>
          <cell r="Y26" t="e">
            <v>#REF!</v>
          </cell>
          <cell r="Z26" t="e">
            <v>#REF!</v>
          </cell>
          <cell r="AA26"/>
          <cell r="AB26">
            <v>39387</v>
          </cell>
          <cell r="AC26"/>
          <cell r="AD26" t="str">
            <v/>
          </cell>
          <cell r="AE26" t="str">
            <v/>
          </cell>
          <cell r="AF26" t="str">
            <v/>
          </cell>
          <cell r="AG26" t="str">
            <v/>
          </cell>
          <cell r="AH26" t="str">
            <v/>
          </cell>
          <cell r="AI26" t="str">
            <v/>
          </cell>
          <cell r="AJ26"/>
          <cell r="AK26"/>
          <cell r="AL26" t="str">
            <v/>
          </cell>
          <cell r="AM26" t="str">
            <v/>
          </cell>
          <cell r="AN26"/>
          <cell r="AO26"/>
          <cell r="AP26" t="str">
            <v/>
          </cell>
          <cell r="AQ26" t="str">
            <v/>
          </cell>
          <cell r="AR26">
            <v>0</v>
          </cell>
          <cell r="AS26" t="str">
            <v/>
          </cell>
          <cell r="AT26" t="str">
            <v/>
          </cell>
          <cell r="AU26" t="str">
            <v/>
          </cell>
        </row>
        <row r="27">
          <cell r="B27">
            <v>39417</v>
          </cell>
          <cell r="C27" t="str">
            <v/>
          </cell>
          <cell r="D27" t="str">
            <v/>
          </cell>
          <cell r="E27" t="str">
            <v/>
          </cell>
          <cell r="F27" t="str">
            <v/>
          </cell>
          <cell r="G27" t="str">
            <v/>
          </cell>
          <cell r="H27" t="str">
            <v/>
          </cell>
          <cell r="I27" t="e">
            <v>#DIV/0!</v>
          </cell>
          <cell r="J27" t="e">
            <v>#DIV/0!</v>
          </cell>
          <cell r="K27" t="e">
            <v>#DIV/0!</v>
          </cell>
          <cell r="L27" t="e">
            <v>#DIV/0!</v>
          </cell>
          <cell r="M27">
            <v>0.06</v>
          </cell>
          <cell r="N27">
            <v>0.02</v>
          </cell>
          <cell r="O27" t="str">
            <v/>
          </cell>
          <cell r="P27" t="str">
            <v/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 t="e">
            <v>#DIV/0!</v>
          </cell>
          <cell r="V27" t="e">
            <v>#DIV/0!</v>
          </cell>
          <cell r="W27" t="e">
            <v>#DIV/0!</v>
          </cell>
          <cell r="X27" t="e">
            <v>#DIV/0!</v>
          </cell>
          <cell r="Y27" t="e">
            <v>#REF!</v>
          </cell>
          <cell r="Z27" t="e">
            <v>#REF!</v>
          </cell>
          <cell r="AA27"/>
          <cell r="AB27">
            <v>39417</v>
          </cell>
          <cell r="AC27"/>
          <cell r="AD27" t="str">
            <v/>
          </cell>
          <cell r="AE27" t="str">
            <v/>
          </cell>
          <cell r="AF27" t="str">
            <v/>
          </cell>
          <cell r="AG27" t="str">
            <v/>
          </cell>
          <cell r="AH27" t="str">
            <v/>
          </cell>
          <cell r="AI27" t="str">
            <v/>
          </cell>
          <cell r="AJ27"/>
          <cell r="AK27"/>
          <cell r="AL27" t="str">
            <v/>
          </cell>
          <cell r="AM27" t="str">
            <v/>
          </cell>
          <cell r="AN27"/>
          <cell r="AO27"/>
          <cell r="AP27" t="str">
            <v/>
          </cell>
          <cell r="AQ27" t="str">
            <v/>
          </cell>
          <cell r="AR27">
            <v>0</v>
          </cell>
          <cell r="AS27" t="str">
            <v/>
          </cell>
          <cell r="AT27" t="str">
            <v/>
          </cell>
          <cell r="AU27" t="str">
            <v/>
          </cell>
        </row>
        <row r="28">
          <cell r="B28">
            <v>39448</v>
          </cell>
          <cell r="C28" t="str">
            <v/>
          </cell>
          <cell r="D28" t="str">
            <v/>
          </cell>
          <cell r="E28" t="str">
            <v/>
          </cell>
          <cell r="F28" t="str">
            <v/>
          </cell>
          <cell r="G28" t="str">
            <v/>
          </cell>
          <cell r="H28" t="str">
            <v/>
          </cell>
          <cell r="I28" t="e">
            <v>#DIV/0!</v>
          </cell>
          <cell r="J28" t="e">
            <v>#DIV/0!</v>
          </cell>
          <cell r="K28" t="e">
            <v>#DIV/0!</v>
          </cell>
          <cell r="L28" t="e">
            <v>#DIV/0!</v>
          </cell>
          <cell r="M28">
            <v>0.06</v>
          </cell>
          <cell r="N28">
            <v>0.02</v>
          </cell>
          <cell r="O28" t="str">
            <v/>
          </cell>
          <cell r="P28" t="str">
            <v/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  <cell r="U28" t="e">
            <v>#DIV/0!</v>
          </cell>
          <cell r="V28" t="e">
            <v>#DIV/0!</v>
          </cell>
          <cell r="W28" t="e">
            <v>#DIV/0!</v>
          </cell>
          <cell r="X28" t="e">
            <v>#DIV/0!</v>
          </cell>
          <cell r="Y28" t="e">
            <v>#REF!</v>
          </cell>
          <cell r="Z28" t="e">
            <v>#REF!</v>
          </cell>
          <cell r="AA28"/>
          <cell r="AB28">
            <v>39448</v>
          </cell>
          <cell r="AC28">
            <v>0</v>
          </cell>
          <cell r="AD28" t="str">
            <v/>
          </cell>
          <cell r="AE28" t="str">
            <v/>
          </cell>
          <cell r="AF28" t="str">
            <v/>
          </cell>
          <cell r="AG28" t="str">
            <v/>
          </cell>
          <cell r="AH28" t="str">
            <v/>
          </cell>
          <cell r="AI28" t="str">
            <v/>
          </cell>
          <cell r="AJ28"/>
          <cell r="AK28" t="str">
            <v/>
          </cell>
          <cell r="AL28" t="str">
            <v/>
          </cell>
          <cell r="AM28" t="str">
            <v/>
          </cell>
          <cell r="AN28" t="str">
            <v/>
          </cell>
          <cell r="AO28" t="str">
            <v/>
          </cell>
          <cell r="AP28" t="str">
            <v/>
          </cell>
          <cell r="AQ28" t="str">
            <v/>
          </cell>
          <cell r="AR28">
            <v>0</v>
          </cell>
          <cell r="AS28" t="str">
            <v/>
          </cell>
          <cell r="AT28" t="str">
            <v/>
          </cell>
          <cell r="AU28" t="str">
            <v/>
          </cell>
        </row>
        <row r="29">
          <cell r="B29">
            <v>39479</v>
          </cell>
          <cell r="C29" t="str">
            <v/>
          </cell>
          <cell r="D29" t="str">
            <v/>
          </cell>
          <cell r="E29" t="str">
            <v/>
          </cell>
          <cell r="F29" t="str">
            <v/>
          </cell>
          <cell r="G29" t="str">
            <v/>
          </cell>
          <cell r="H29" t="str">
            <v/>
          </cell>
          <cell r="I29" t="e">
            <v>#DIV/0!</v>
          </cell>
          <cell r="J29" t="e">
            <v>#DIV/0!</v>
          </cell>
          <cell r="K29" t="e">
            <v>#DIV/0!</v>
          </cell>
          <cell r="L29" t="e">
            <v>#DIV/0!</v>
          </cell>
          <cell r="M29">
            <v>0.06</v>
          </cell>
          <cell r="N29">
            <v>0.02</v>
          </cell>
          <cell r="O29" t="str">
            <v/>
          </cell>
          <cell r="P29" t="str">
            <v/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e">
            <v>#DIV/0!</v>
          </cell>
          <cell r="V29" t="e">
            <v>#DIV/0!</v>
          </cell>
          <cell r="W29" t="e">
            <v>#DIV/0!</v>
          </cell>
          <cell r="X29" t="e">
            <v>#DIV/0!</v>
          </cell>
          <cell r="Y29" t="e">
            <v>#REF!</v>
          </cell>
          <cell r="Z29" t="e">
            <v>#REF!</v>
          </cell>
          <cell r="AA29"/>
          <cell r="AB29">
            <v>39479</v>
          </cell>
          <cell r="AC29" t="str">
            <v/>
          </cell>
          <cell r="AD29" t="str">
            <v/>
          </cell>
          <cell r="AE29" t="str">
            <v/>
          </cell>
          <cell r="AF29" t="str">
            <v/>
          </cell>
          <cell r="AG29" t="str">
            <v/>
          </cell>
          <cell r="AH29" t="str">
            <v/>
          </cell>
          <cell r="AI29" t="str">
            <v/>
          </cell>
          <cell r="AJ29"/>
          <cell r="AK29" t="str">
            <v/>
          </cell>
          <cell r="AL29" t="str">
            <v/>
          </cell>
          <cell r="AM29" t="str">
            <v/>
          </cell>
          <cell r="AN29" t="str">
            <v/>
          </cell>
          <cell r="AO29" t="str">
            <v/>
          </cell>
          <cell r="AP29" t="str">
            <v/>
          </cell>
          <cell r="AQ29" t="str">
            <v/>
          </cell>
          <cell r="AR29">
            <v>0</v>
          </cell>
          <cell r="AS29" t="str">
            <v/>
          </cell>
          <cell r="AT29" t="str">
            <v/>
          </cell>
          <cell r="AU29" t="str">
            <v/>
          </cell>
        </row>
        <row r="30">
          <cell r="B30">
            <v>39508</v>
          </cell>
          <cell r="C30" t="str">
            <v/>
          </cell>
          <cell r="D30" t="str">
            <v/>
          </cell>
          <cell r="E30" t="str">
            <v/>
          </cell>
          <cell r="F30" t="str">
            <v/>
          </cell>
          <cell r="G30" t="str">
            <v/>
          </cell>
          <cell r="H30" t="str">
            <v/>
          </cell>
          <cell r="I30" t="e">
            <v>#DIV/0!</v>
          </cell>
          <cell r="J30" t="e">
            <v>#DIV/0!</v>
          </cell>
          <cell r="K30" t="e">
            <v>#DIV/0!</v>
          </cell>
          <cell r="L30" t="e">
            <v>#DIV/0!</v>
          </cell>
          <cell r="M30">
            <v>0.06</v>
          </cell>
          <cell r="N30">
            <v>0.02</v>
          </cell>
          <cell r="O30" t="str">
            <v/>
          </cell>
          <cell r="P30" t="str">
            <v/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  <cell r="U30" t="e">
            <v>#DIV/0!</v>
          </cell>
          <cell r="V30" t="e">
            <v>#DIV/0!</v>
          </cell>
          <cell r="W30" t="e">
            <v>#DIV/0!</v>
          </cell>
          <cell r="X30" t="e">
            <v>#DIV/0!</v>
          </cell>
          <cell r="Y30" t="e">
            <v>#REF!</v>
          </cell>
          <cell r="Z30" t="e">
            <v>#REF!</v>
          </cell>
          <cell r="AA30"/>
          <cell r="AB30">
            <v>39508</v>
          </cell>
          <cell r="AC30" t="str">
            <v/>
          </cell>
          <cell r="AD30" t="str">
            <v/>
          </cell>
          <cell r="AE30" t="str">
            <v/>
          </cell>
          <cell r="AF30" t="str">
            <v/>
          </cell>
          <cell r="AG30" t="str">
            <v/>
          </cell>
          <cell r="AH30" t="str">
            <v/>
          </cell>
          <cell r="AI30" t="str">
            <v/>
          </cell>
          <cell r="AJ30"/>
          <cell r="AK30" t="str">
            <v/>
          </cell>
          <cell r="AL30" t="str">
            <v/>
          </cell>
          <cell r="AM30" t="str">
            <v/>
          </cell>
          <cell r="AN30" t="str">
            <v/>
          </cell>
          <cell r="AO30" t="str">
            <v/>
          </cell>
          <cell r="AP30" t="str">
            <v/>
          </cell>
          <cell r="AQ30" t="str">
            <v/>
          </cell>
          <cell r="AR30">
            <v>0</v>
          </cell>
          <cell r="AS30" t="str">
            <v/>
          </cell>
          <cell r="AT30" t="str">
            <v/>
          </cell>
          <cell r="AU30" t="str">
            <v/>
          </cell>
        </row>
        <row r="31">
          <cell r="B31">
            <v>39539</v>
          </cell>
          <cell r="C31" t="str">
            <v/>
          </cell>
          <cell r="D31" t="str">
            <v/>
          </cell>
          <cell r="E31" t="str">
            <v/>
          </cell>
          <cell r="F31" t="str">
            <v/>
          </cell>
          <cell r="G31" t="str">
            <v/>
          </cell>
          <cell r="H31" t="str">
            <v/>
          </cell>
          <cell r="I31" t="e">
            <v>#DIV/0!</v>
          </cell>
          <cell r="J31" t="e">
            <v>#DIV/0!</v>
          </cell>
          <cell r="K31" t="e">
            <v>#DIV/0!</v>
          </cell>
          <cell r="L31" t="e">
            <v>#DIV/0!</v>
          </cell>
          <cell r="M31">
            <v>0.06</v>
          </cell>
          <cell r="N31">
            <v>0.02</v>
          </cell>
          <cell r="O31" t="str">
            <v/>
          </cell>
          <cell r="P31" t="str">
            <v/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  <cell r="U31" t="e">
            <v>#DIV/0!</v>
          </cell>
          <cell r="V31" t="e">
            <v>#DIV/0!</v>
          </cell>
          <cell r="W31" t="e">
            <v>#DIV/0!</v>
          </cell>
          <cell r="X31" t="e">
            <v>#DIV/0!</v>
          </cell>
          <cell r="Y31" t="e">
            <v>#REF!</v>
          </cell>
          <cell r="Z31" t="e">
            <v>#REF!</v>
          </cell>
          <cell r="AA31"/>
          <cell r="AB31">
            <v>39539</v>
          </cell>
          <cell r="AC31" t="str">
            <v/>
          </cell>
          <cell r="AD31" t="str">
            <v/>
          </cell>
          <cell r="AE31" t="str">
            <v/>
          </cell>
          <cell r="AF31" t="str">
            <v/>
          </cell>
          <cell r="AG31" t="str">
            <v/>
          </cell>
          <cell r="AH31" t="str">
            <v/>
          </cell>
          <cell r="AI31" t="str">
            <v/>
          </cell>
          <cell r="AJ31"/>
          <cell r="AK31" t="str">
            <v/>
          </cell>
          <cell r="AL31" t="str">
            <v/>
          </cell>
          <cell r="AM31" t="str">
            <v/>
          </cell>
          <cell r="AN31" t="str">
            <v/>
          </cell>
          <cell r="AO31" t="str">
            <v/>
          </cell>
          <cell r="AP31" t="str">
            <v/>
          </cell>
          <cell r="AQ31" t="str">
            <v/>
          </cell>
          <cell r="AR31">
            <v>0</v>
          </cell>
          <cell r="AS31" t="str">
            <v/>
          </cell>
          <cell r="AT31" t="str">
            <v/>
          </cell>
          <cell r="AU31" t="str">
            <v/>
          </cell>
        </row>
        <row r="32">
          <cell r="B32">
            <v>39569</v>
          </cell>
          <cell r="C32" t="str">
            <v/>
          </cell>
          <cell r="D32" t="str">
            <v/>
          </cell>
          <cell r="E32" t="str">
            <v/>
          </cell>
          <cell r="F32" t="str">
            <v/>
          </cell>
          <cell r="G32" t="str">
            <v/>
          </cell>
          <cell r="H32" t="str">
            <v/>
          </cell>
          <cell r="I32" t="e">
            <v>#DIV/0!</v>
          </cell>
          <cell r="J32" t="e">
            <v>#DIV/0!</v>
          </cell>
          <cell r="K32" t="e">
            <v>#DIV/0!</v>
          </cell>
          <cell r="L32" t="e">
            <v>#DIV/0!</v>
          </cell>
          <cell r="M32" t="e">
            <v>#N/A</v>
          </cell>
          <cell r="N32" t="e">
            <v>#N/A</v>
          </cell>
          <cell r="O32" t="str">
            <v/>
          </cell>
          <cell r="P32" t="str">
            <v/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  <cell r="U32" t="e">
            <v>#DIV/0!</v>
          </cell>
          <cell r="V32" t="e">
            <v>#DIV/0!</v>
          </cell>
          <cell r="W32" t="e">
            <v>#DIV/0!</v>
          </cell>
          <cell r="X32" t="e">
            <v>#DIV/0!</v>
          </cell>
          <cell r="Y32" t="e">
            <v>#REF!</v>
          </cell>
          <cell r="Z32" t="e">
            <v>#REF!</v>
          </cell>
          <cell r="AA32"/>
          <cell r="AB32">
            <v>39569</v>
          </cell>
          <cell r="AC32" t="str">
            <v/>
          </cell>
          <cell r="AD32" t="str">
            <v/>
          </cell>
          <cell r="AE32" t="str">
            <v/>
          </cell>
          <cell r="AF32" t="str">
            <v/>
          </cell>
          <cell r="AG32" t="str">
            <v/>
          </cell>
          <cell r="AH32" t="str">
            <v/>
          </cell>
          <cell r="AI32" t="str">
            <v/>
          </cell>
          <cell r="AJ32"/>
          <cell r="AK32" t="str">
            <v/>
          </cell>
          <cell r="AL32" t="str">
            <v/>
          </cell>
          <cell r="AM32" t="str">
            <v/>
          </cell>
          <cell r="AN32" t="str">
            <v/>
          </cell>
          <cell r="AO32" t="str">
            <v/>
          </cell>
          <cell r="AP32" t="str">
            <v/>
          </cell>
          <cell r="AQ32" t="str">
            <v/>
          </cell>
          <cell r="AR32">
            <v>0</v>
          </cell>
          <cell r="AS32" t="str">
            <v/>
          </cell>
          <cell r="AT32" t="str">
            <v/>
          </cell>
          <cell r="AU32" t="str">
            <v/>
          </cell>
        </row>
        <row r="33">
          <cell r="B33">
            <v>39600</v>
          </cell>
          <cell r="C33" t="str">
            <v/>
          </cell>
          <cell r="D33" t="str">
            <v/>
          </cell>
          <cell r="E33" t="str">
            <v/>
          </cell>
          <cell r="F33" t="str">
            <v/>
          </cell>
          <cell r="G33" t="str">
            <v/>
          </cell>
          <cell r="H33" t="str">
            <v/>
          </cell>
          <cell r="I33" t="e">
            <v>#DIV/0!</v>
          </cell>
          <cell r="J33" t="e">
            <v>#DIV/0!</v>
          </cell>
          <cell r="K33" t="e">
            <v>#DIV/0!</v>
          </cell>
          <cell r="L33" t="e">
            <v>#DIV/0!</v>
          </cell>
          <cell r="M33" t="e">
            <v>#N/A</v>
          </cell>
          <cell r="N33" t="e">
            <v>#N/A</v>
          </cell>
          <cell r="O33" t="str">
            <v/>
          </cell>
          <cell r="P33" t="str">
            <v/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 t="e">
            <v>#DIV/0!</v>
          </cell>
          <cell r="V33" t="e">
            <v>#DIV/0!</v>
          </cell>
          <cell r="W33" t="e">
            <v>#DIV/0!</v>
          </cell>
          <cell r="X33" t="e">
            <v>#DIV/0!</v>
          </cell>
          <cell r="Y33" t="e">
            <v>#REF!</v>
          </cell>
          <cell r="Z33" t="e">
            <v>#REF!</v>
          </cell>
          <cell r="AA33"/>
          <cell r="AB33">
            <v>39600</v>
          </cell>
          <cell r="AC33" t="str">
            <v/>
          </cell>
          <cell r="AD33" t="str">
            <v/>
          </cell>
          <cell r="AE33" t="str">
            <v/>
          </cell>
          <cell r="AF33" t="str">
            <v/>
          </cell>
          <cell r="AG33" t="str">
            <v/>
          </cell>
          <cell r="AH33" t="str">
            <v/>
          </cell>
          <cell r="AI33" t="str">
            <v/>
          </cell>
          <cell r="AJ33"/>
          <cell r="AK33" t="str">
            <v/>
          </cell>
          <cell r="AL33" t="str">
            <v/>
          </cell>
          <cell r="AM33" t="str">
            <v/>
          </cell>
          <cell r="AN33" t="str">
            <v/>
          </cell>
          <cell r="AO33" t="str">
            <v/>
          </cell>
          <cell r="AP33" t="str">
            <v/>
          </cell>
          <cell r="AQ33" t="str">
            <v/>
          </cell>
          <cell r="AR33">
            <v>0</v>
          </cell>
          <cell r="AS33" t="str">
            <v/>
          </cell>
          <cell r="AT33" t="str">
            <v/>
          </cell>
          <cell r="AU33" t="str">
            <v/>
          </cell>
        </row>
        <row r="34">
          <cell r="B34">
            <v>39630</v>
          </cell>
          <cell r="C34" t="str">
            <v/>
          </cell>
          <cell r="D34" t="str">
            <v/>
          </cell>
          <cell r="E34" t="str">
            <v/>
          </cell>
          <cell r="F34" t="str">
            <v/>
          </cell>
          <cell r="G34" t="str">
            <v/>
          </cell>
          <cell r="H34" t="str">
            <v/>
          </cell>
          <cell r="I34" t="e">
            <v>#DIV/0!</v>
          </cell>
          <cell r="J34" t="e">
            <v>#DIV/0!</v>
          </cell>
          <cell r="K34" t="e">
            <v>#DIV/0!</v>
          </cell>
          <cell r="L34" t="e">
            <v>#DIV/0!</v>
          </cell>
          <cell r="M34" t="e">
            <v>#N/A</v>
          </cell>
          <cell r="N34" t="e">
            <v>#N/A</v>
          </cell>
          <cell r="O34" t="str">
            <v/>
          </cell>
          <cell r="P34" t="str">
            <v/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e">
            <v>#DIV/0!</v>
          </cell>
          <cell r="V34" t="e">
            <v>#DIV/0!</v>
          </cell>
          <cell r="W34" t="e">
            <v>#DIV/0!</v>
          </cell>
          <cell r="X34" t="e">
            <v>#DIV/0!</v>
          </cell>
          <cell r="Y34" t="e">
            <v>#REF!</v>
          </cell>
          <cell r="Z34" t="e">
            <v>#REF!</v>
          </cell>
          <cell r="AA34"/>
          <cell r="AB34">
            <v>39630</v>
          </cell>
          <cell r="AC34" t="str">
            <v/>
          </cell>
          <cell r="AD34" t="str">
            <v/>
          </cell>
          <cell r="AE34" t="str">
            <v/>
          </cell>
          <cell r="AF34" t="str">
            <v/>
          </cell>
          <cell r="AG34" t="str">
            <v/>
          </cell>
          <cell r="AH34" t="str">
            <v/>
          </cell>
          <cell r="AI34" t="str">
            <v/>
          </cell>
          <cell r="AJ34"/>
          <cell r="AK34" t="str">
            <v/>
          </cell>
          <cell r="AL34" t="str">
            <v/>
          </cell>
          <cell r="AM34" t="str">
            <v/>
          </cell>
          <cell r="AN34" t="str">
            <v/>
          </cell>
          <cell r="AO34" t="str">
            <v/>
          </cell>
          <cell r="AP34" t="str">
            <v/>
          </cell>
          <cell r="AQ34" t="str">
            <v/>
          </cell>
          <cell r="AR34">
            <v>0</v>
          </cell>
          <cell r="AS34" t="str">
            <v/>
          </cell>
          <cell r="AT34" t="str">
            <v/>
          </cell>
          <cell r="AU34" t="str">
            <v/>
          </cell>
        </row>
        <row r="35">
          <cell r="B35">
            <v>39661</v>
          </cell>
          <cell r="C35" t="str">
            <v/>
          </cell>
          <cell r="D35" t="str">
            <v/>
          </cell>
          <cell r="E35" t="str">
            <v/>
          </cell>
          <cell r="F35" t="str">
            <v/>
          </cell>
          <cell r="G35" t="str">
            <v/>
          </cell>
          <cell r="H35" t="str">
            <v/>
          </cell>
          <cell r="I35" t="e">
            <v>#DIV/0!</v>
          </cell>
          <cell r="J35" t="e">
            <v>#DIV/0!</v>
          </cell>
          <cell r="K35" t="e">
            <v>#DIV/0!</v>
          </cell>
          <cell r="L35" t="e">
            <v>#DIV/0!</v>
          </cell>
          <cell r="M35" t="e">
            <v>#N/A</v>
          </cell>
          <cell r="N35" t="e">
            <v>#N/A</v>
          </cell>
          <cell r="O35" t="str">
            <v/>
          </cell>
          <cell r="P35" t="str">
            <v/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 t="e">
            <v>#DIV/0!</v>
          </cell>
          <cell r="V35" t="e">
            <v>#DIV/0!</v>
          </cell>
          <cell r="W35" t="e">
            <v>#DIV/0!</v>
          </cell>
          <cell r="X35" t="e">
            <v>#DIV/0!</v>
          </cell>
          <cell r="Y35" t="e">
            <v>#REF!</v>
          </cell>
          <cell r="Z35" t="e">
            <v>#REF!</v>
          </cell>
          <cell r="AA35"/>
          <cell r="AB35">
            <v>39661</v>
          </cell>
          <cell r="AC35" t="str">
            <v/>
          </cell>
          <cell r="AD35" t="str">
            <v/>
          </cell>
          <cell r="AE35" t="str">
            <v/>
          </cell>
          <cell r="AF35" t="str">
            <v/>
          </cell>
          <cell r="AG35" t="str">
            <v/>
          </cell>
          <cell r="AH35" t="str">
            <v/>
          </cell>
          <cell r="AI35" t="str">
            <v/>
          </cell>
          <cell r="AJ35"/>
          <cell r="AK35" t="str">
            <v/>
          </cell>
          <cell r="AL35" t="str">
            <v/>
          </cell>
          <cell r="AM35" t="str">
            <v/>
          </cell>
          <cell r="AN35" t="str">
            <v/>
          </cell>
          <cell r="AO35" t="str">
            <v/>
          </cell>
          <cell r="AP35" t="str">
            <v/>
          </cell>
          <cell r="AQ35" t="str">
            <v/>
          </cell>
          <cell r="AR35">
            <v>0</v>
          </cell>
          <cell r="AS35" t="str">
            <v/>
          </cell>
          <cell r="AT35" t="str">
            <v/>
          </cell>
          <cell r="AU35" t="str">
            <v/>
          </cell>
        </row>
        <row r="36">
          <cell r="B36">
            <v>39692</v>
          </cell>
          <cell r="C36" t="str">
            <v/>
          </cell>
          <cell r="D36" t="str">
            <v/>
          </cell>
          <cell r="E36" t="str">
            <v/>
          </cell>
          <cell r="F36" t="str">
            <v/>
          </cell>
          <cell r="G36" t="str">
            <v/>
          </cell>
          <cell r="H36" t="str">
            <v/>
          </cell>
          <cell r="I36" t="e">
            <v>#DIV/0!</v>
          </cell>
          <cell r="J36" t="e">
            <v>#DIV/0!</v>
          </cell>
          <cell r="K36" t="e">
            <v>#DIV/0!</v>
          </cell>
          <cell r="L36" t="e">
            <v>#DIV/0!</v>
          </cell>
          <cell r="M36" t="e">
            <v>#N/A</v>
          </cell>
          <cell r="N36" t="e">
            <v>#N/A</v>
          </cell>
          <cell r="O36" t="str">
            <v/>
          </cell>
          <cell r="P36" t="str">
            <v/>
          </cell>
          <cell r="Q36" t="str">
            <v/>
          </cell>
          <cell r="R36" t="str">
            <v/>
          </cell>
          <cell r="S36" t="str">
            <v/>
          </cell>
          <cell r="T36" t="str">
            <v/>
          </cell>
          <cell r="U36" t="e">
            <v>#DIV/0!</v>
          </cell>
          <cell r="V36" t="e">
            <v>#DIV/0!</v>
          </cell>
          <cell r="W36" t="e">
            <v>#DIV/0!</v>
          </cell>
          <cell r="X36" t="e">
            <v>#DIV/0!</v>
          </cell>
          <cell r="Y36" t="e">
            <v>#REF!</v>
          </cell>
          <cell r="Z36" t="e">
            <v>#REF!</v>
          </cell>
          <cell r="AA36"/>
          <cell r="AB36">
            <v>39692</v>
          </cell>
          <cell r="AC36" t="str">
            <v/>
          </cell>
          <cell r="AD36" t="str">
            <v/>
          </cell>
          <cell r="AE36" t="str">
            <v/>
          </cell>
          <cell r="AF36" t="str">
            <v/>
          </cell>
          <cell r="AG36" t="str">
            <v/>
          </cell>
          <cell r="AH36" t="str">
            <v/>
          </cell>
          <cell r="AI36" t="str">
            <v/>
          </cell>
          <cell r="AJ36"/>
          <cell r="AK36" t="str">
            <v/>
          </cell>
          <cell r="AL36" t="str">
            <v/>
          </cell>
          <cell r="AM36" t="str">
            <v/>
          </cell>
          <cell r="AN36" t="str">
            <v/>
          </cell>
          <cell r="AO36" t="str">
            <v/>
          </cell>
          <cell r="AP36" t="str">
            <v/>
          </cell>
          <cell r="AQ36" t="str">
            <v/>
          </cell>
          <cell r="AR36">
            <v>0</v>
          </cell>
          <cell r="AS36" t="str">
            <v/>
          </cell>
          <cell r="AT36" t="str">
            <v/>
          </cell>
          <cell r="AU36" t="str">
            <v/>
          </cell>
        </row>
        <row r="37">
          <cell r="B37">
            <v>39722</v>
          </cell>
          <cell r="C37" t="str">
            <v/>
          </cell>
          <cell r="D37" t="str">
            <v/>
          </cell>
          <cell r="E37" t="str">
            <v/>
          </cell>
          <cell r="F37" t="str">
            <v/>
          </cell>
          <cell r="G37" t="str">
            <v/>
          </cell>
          <cell r="H37" t="str">
            <v/>
          </cell>
          <cell r="I37" t="e">
            <v>#DIV/0!</v>
          </cell>
          <cell r="J37" t="e">
            <v>#DIV/0!</v>
          </cell>
          <cell r="K37" t="e">
            <v>#DIV/0!</v>
          </cell>
          <cell r="L37" t="e">
            <v>#DIV/0!</v>
          </cell>
          <cell r="M37" t="e">
            <v>#N/A</v>
          </cell>
          <cell r="N37" t="e">
            <v>#N/A</v>
          </cell>
          <cell r="O37" t="str">
            <v/>
          </cell>
          <cell r="P37" t="str">
            <v/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e">
            <v>#DIV/0!</v>
          </cell>
          <cell r="V37" t="e">
            <v>#DIV/0!</v>
          </cell>
          <cell r="W37" t="e">
            <v>#DIV/0!</v>
          </cell>
          <cell r="X37" t="e">
            <v>#DIV/0!</v>
          </cell>
          <cell r="Y37" t="e">
            <v>#REF!</v>
          </cell>
          <cell r="Z37" t="e">
            <v>#REF!</v>
          </cell>
          <cell r="AA37"/>
          <cell r="AB37">
            <v>39722</v>
          </cell>
          <cell r="AC37" t="str">
            <v/>
          </cell>
          <cell r="AD37" t="str">
            <v/>
          </cell>
          <cell r="AE37" t="str">
            <v/>
          </cell>
          <cell r="AF37" t="str">
            <v/>
          </cell>
          <cell r="AG37" t="str">
            <v/>
          </cell>
          <cell r="AH37" t="str">
            <v/>
          </cell>
          <cell r="AI37" t="str">
            <v/>
          </cell>
          <cell r="AJ37"/>
          <cell r="AK37" t="str">
            <v/>
          </cell>
          <cell r="AL37" t="str">
            <v/>
          </cell>
          <cell r="AM37" t="str">
            <v/>
          </cell>
          <cell r="AN37" t="str">
            <v/>
          </cell>
          <cell r="AO37" t="str">
            <v/>
          </cell>
          <cell r="AP37" t="str">
            <v/>
          </cell>
          <cell r="AQ37" t="str">
            <v/>
          </cell>
          <cell r="AR37">
            <v>0</v>
          </cell>
          <cell r="AS37" t="str">
            <v/>
          </cell>
          <cell r="AT37" t="str">
            <v/>
          </cell>
          <cell r="AU37" t="str">
            <v/>
          </cell>
        </row>
        <row r="38">
          <cell r="B38">
            <v>39753</v>
          </cell>
          <cell r="C38" t="str">
            <v/>
          </cell>
          <cell r="D38" t="str">
            <v/>
          </cell>
          <cell r="E38" t="str">
            <v/>
          </cell>
          <cell r="F38" t="str">
            <v/>
          </cell>
          <cell r="G38" t="str">
            <v/>
          </cell>
          <cell r="H38" t="str">
            <v/>
          </cell>
          <cell r="I38" t="e">
            <v>#DIV/0!</v>
          </cell>
          <cell r="J38" t="e">
            <v>#DIV/0!</v>
          </cell>
          <cell r="K38" t="e">
            <v>#DIV/0!</v>
          </cell>
          <cell r="L38" t="e">
            <v>#DIV/0!</v>
          </cell>
          <cell r="M38" t="e">
            <v>#N/A</v>
          </cell>
          <cell r="N38" t="e">
            <v>#N/A</v>
          </cell>
          <cell r="O38" t="str">
            <v/>
          </cell>
          <cell r="P38" t="str">
            <v/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e">
            <v>#DIV/0!</v>
          </cell>
          <cell r="V38" t="e">
            <v>#DIV/0!</v>
          </cell>
          <cell r="W38" t="e">
            <v>#DIV/0!</v>
          </cell>
          <cell r="X38" t="e">
            <v>#DIV/0!</v>
          </cell>
          <cell r="Y38" t="e">
            <v>#REF!</v>
          </cell>
          <cell r="Z38" t="e">
            <v>#REF!</v>
          </cell>
          <cell r="AA38"/>
          <cell r="AB38">
            <v>39753</v>
          </cell>
          <cell r="AC38" t="str">
            <v/>
          </cell>
          <cell r="AD38" t="str">
            <v/>
          </cell>
          <cell r="AE38" t="str">
            <v/>
          </cell>
          <cell r="AF38" t="str">
            <v/>
          </cell>
          <cell r="AG38" t="str">
            <v/>
          </cell>
          <cell r="AH38" t="str">
            <v/>
          </cell>
          <cell r="AI38" t="str">
            <v/>
          </cell>
          <cell r="AJ38"/>
          <cell r="AK38" t="str">
            <v/>
          </cell>
          <cell r="AL38" t="str">
            <v/>
          </cell>
          <cell r="AM38" t="str">
            <v/>
          </cell>
          <cell r="AN38" t="str">
            <v/>
          </cell>
          <cell r="AO38" t="str">
            <v/>
          </cell>
          <cell r="AP38" t="str">
            <v/>
          </cell>
          <cell r="AQ38" t="str">
            <v/>
          </cell>
          <cell r="AR38">
            <v>0</v>
          </cell>
          <cell r="AS38" t="str">
            <v/>
          </cell>
          <cell r="AT38" t="str">
            <v/>
          </cell>
          <cell r="AU38" t="str">
            <v/>
          </cell>
        </row>
        <row r="39">
          <cell r="B39">
            <v>39783</v>
          </cell>
          <cell r="C39" t="str">
            <v/>
          </cell>
          <cell r="D39" t="str">
            <v/>
          </cell>
          <cell r="E39" t="str">
            <v/>
          </cell>
          <cell r="F39" t="str">
            <v/>
          </cell>
          <cell r="G39" t="str">
            <v/>
          </cell>
          <cell r="H39" t="str">
            <v/>
          </cell>
          <cell r="I39" t="e">
            <v>#DIV/0!</v>
          </cell>
          <cell r="J39" t="e">
            <v>#DIV/0!</v>
          </cell>
          <cell r="K39" t="e">
            <v>#DIV/0!</v>
          </cell>
          <cell r="L39" t="e">
            <v>#DIV/0!</v>
          </cell>
          <cell r="M39" t="e">
            <v>#N/A</v>
          </cell>
          <cell r="N39" t="e">
            <v>#N/A</v>
          </cell>
          <cell r="O39" t="str">
            <v/>
          </cell>
          <cell r="P39" t="str">
            <v/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 t="e">
            <v>#DIV/0!</v>
          </cell>
          <cell r="V39" t="e">
            <v>#DIV/0!</v>
          </cell>
          <cell r="W39" t="e">
            <v>#DIV/0!</v>
          </cell>
          <cell r="X39" t="e">
            <v>#DIV/0!</v>
          </cell>
          <cell r="Y39" t="e">
            <v>#REF!</v>
          </cell>
          <cell r="Z39" t="e">
            <v>#REF!</v>
          </cell>
          <cell r="AA39"/>
          <cell r="AB39">
            <v>39783</v>
          </cell>
          <cell r="AC39" t="str">
            <v/>
          </cell>
          <cell r="AD39" t="str">
            <v/>
          </cell>
          <cell r="AE39" t="str">
            <v/>
          </cell>
          <cell r="AF39" t="str">
            <v/>
          </cell>
          <cell r="AG39" t="str">
            <v/>
          </cell>
          <cell r="AH39" t="str">
            <v/>
          </cell>
          <cell r="AI39" t="str">
            <v/>
          </cell>
          <cell r="AJ39"/>
          <cell r="AK39" t="str">
            <v/>
          </cell>
          <cell r="AL39" t="str">
            <v/>
          </cell>
          <cell r="AM39" t="str">
            <v/>
          </cell>
          <cell r="AN39" t="str">
            <v/>
          </cell>
          <cell r="AO39" t="str">
            <v/>
          </cell>
          <cell r="AP39" t="str">
            <v/>
          </cell>
          <cell r="AQ39" t="str">
            <v/>
          </cell>
          <cell r="AR39">
            <v>0</v>
          </cell>
          <cell r="AS39" t="str">
            <v/>
          </cell>
          <cell r="AT39" t="str">
            <v/>
          </cell>
          <cell r="AU39" t="str">
            <v/>
          </cell>
        </row>
        <row r="40">
          <cell r="B40">
            <v>39814</v>
          </cell>
          <cell r="C40" t="str">
            <v/>
          </cell>
          <cell r="D40" t="str">
            <v/>
          </cell>
          <cell r="E40" t="str">
            <v/>
          </cell>
          <cell r="F40" t="str">
            <v/>
          </cell>
          <cell r="G40" t="str">
            <v/>
          </cell>
          <cell r="H40" t="str">
            <v/>
          </cell>
          <cell r="I40" t="e">
            <v>#DIV/0!</v>
          </cell>
          <cell r="J40" t="e">
            <v>#DIV/0!</v>
          </cell>
          <cell r="K40" t="e">
            <v>#DIV/0!</v>
          </cell>
          <cell r="L40" t="e">
            <v>#DIV/0!</v>
          </cell>
          <cell r="M40" t="e">
            <v>#N/A</v>
          </cell>
          <cell r="N40" t="e">
            <v>#N/A</v>
          </cell>
          <cell r="O40" t="str">
            <v/>
          </cell>
          <cell r="P40" t="str">
            <v/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e">
            <v>#DIV/0!</v>
          </cell>
          <cell r="V40" t="e">
            <v>#DIV/0!</v>
          </cell>
          <cell r="W40" t="e">
            <v>#DIV/0!</v>
          </cell>
          <cell r="X40" t="e">
            <v>#DIV/0!</v>
          </cell>
          <cell r="Y40" t="e">
            <v>#REF!</v>
          </cell>
          <cell r="Z40" t="e">
            <v>#REF!</v>
          </cell>
          <cell r="AA40"/>
          <cell r="AB40">
            <v>39814</v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 t="str">
            <v/>
          </cell>
          <cell r="AJ40"/>
          <cell r="AK40" t="str">
            <v/>
          </cell>
          <cell r="AL40" t="str">
            <v/>
          </cell>
          <cell r="AM40" t="str">
            <v/>
          </cell>
          <cell r="AN40" t="str">
            <v/>
          </cell>
          <cell r="AO40" t="str">
            <v/>
          </cell>
          <cell r="AP40" t="str">
            <v/>
          </cell>
          <cell r="AQ40" t="str">
            <v/>
          </cell>
          <cell r="AR40">
            <v>0</v>
          </cell>
          <cell r="AS40" t="str">
            <v/>
          </cell>
          <cell r="AT40" t="str">
            <v/>
          </cell>
          <cell r="AU40" t="str">
            <v/>
          </cell>
        </row>
        <row r="41">
          <cell r="B41">
            <v>39845</v>
          </cell>
          <cell r="C41" t="str">
            <v/>
          </cell>
          <cell r="D41" t="str">
            <v/>
          </cell>
          <cell r="E41" t="str">
            <v/>
          </cell>
          <cell r="F41" t="str">
            <v/>
          </cell>
          <cell r="G41" t="str">
            <v/>
          </cell>
          <cell r="H41" t="str">
            <v/>
          </cell>
          <cell r="I41" t="e">
            <v>#DIV/0!</v>
          </cell>
          <cell r="J41" t="e">
            <v>#DIV/0!</v>
          </cell>
          <cell r="K41" t="e">
            <v>#DIV/0!</v>
          </cell>
          <cell r="L41" t="e">
            <v>#DIV/0!</v>
          </cell>
          <cell r="M41" t="e">
            <v>#N/A</v>
          </cell>
          <cell r="N41" t="e">
            <v>#N/A</v>
          </cell>
          <cell r="O41" t="str">
            <v/>
          </cell>
          <cell r="P41" t="str">
            <v/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/>
          <cell r="V41" t="str">
            <v/>
          </cell>
          <cell r="W41" t="str">
            <v/>
          </cell>
          <cell r="X41" t="str">
            <v/>
          </cell>
          <cell r="Y41"/>
          <cell r="Z41"/>
          <cell r="AA41"/>
          <cell r="AB41">
            <v>39845</v>
          </cell>
          <cell r="AC41" t="str">
            <v/>
          </cell>
          <cell r="AD41" t="str">
            <v/>
          </cell>
          <cell r="AE41" t="str">
            <v/>
          </cell>
          <cell r="AF41" t="str">
            <v/>
          </cell>
          <cell r="AG41" t="str">
            <v/>
          </cell>
          <cell r="AH41" t="str">
            <v/>
          </cell>
          <cell r="AI41" t="str">
            <v/>
          </cell>
          <cell r="AJ41"/>
          <cell r="AK41" t="str">
            <v/>
          </cell>
          <cell r="AL41" t="str">
            <v/>
          </cell>
          <cell r="AM41" t="str">
            <v/>
          </cell>
          <cell r="AN41" t="str">
            <v/>
          </cell>
          <cell r="AO41" t="str">
            <v/>
          </cell>
          <cell r="AP41" t="str">
            <v/>
          </cell>
          <cell r="AQ41" t="str">
            <v/>
          </cell>
          <cell r="AR41">
            <v>0</v>
          </cell>
          <cell r="AS41"/>
          <cell r="AT41" t="str">
            <v/>
          </cell>
          <cell r="AU41" t="str">
            <v/>
          </cell>
        </row>
        <row r="42">
          <cell r="B42">
            <v>39873</v>
          </cell>
          <cell r="C42" t="str">
            <v/>
          </cell>
          <cell r="D42" t="str">
            <v/>
          </cell>
          <cell r="E42" t="str">
            <v/>
          </cell>
          <cell r="F42" t="str">
            <v/>
          </cell>
          <cell r="G42" t="str">
            <v/>
          </cell>
          <cell r="H42" t="str">
            <v/>
          </cell>
          <cell r="I42" t="e">
            <v>#DIV/0!</v>
          </cell>
          <cell r="J42" t="e">
            <v>#DIV/0!</v>
          </cell>
          <cell r="K42" t="e">
            <v>#DIV/0!</v>
          </cell>
          <cell r="L42" t="e">
            <v>#DIV/0!</v>
          </cell>
          <cell r="M42" t="e">
            <v>#N/A</v>
          </cell>
          <cell r="N42" t="e">
            <v>#N/A</v>
          </cell>
          <cell r="O42" t="str">
            <v/>
          </cell>
          <cell r="P42" t="str">
            <v/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/>
          <cell r="V42" t="str">
            <v/>
          </cell>
          <cell r="W42" t="str">
            <v/>
          </cell>
          <cell r="X42" t="str">
            <v/>
          </cell>
          <cell r="Y42"/>
          <cell r="Z42"/>
          <cell r="AA42"/>
          <cell r="AB42">
            <v>39873</v>
          </cell>
          <cell r="AC42" t="str">
            <v/>
          </cell>
          <cell r="AD42" t="str">
            <v/>
          </cell>
          <cell r="AE42" t="str">
            <v/>
          </cell>
          <cell r="AF42" t="str">
            <v/>
          </cell>
          <cell r="AG42" t="str">
            <v/>
          </cell>
          <cell r="AH42" t="str">
            <v/>
          </cell>
          <cell r="AI42" t="str">
            <v/>
          </cell>
          <cell r="AJ42"/>
          <cell r="AK42" t="str">
            <v/>
          </cell>
          <cell r="AL42" t="str">
            <v/>
          </cell>
          <cell r="AM42" t="str">
            <v/>
          </cell>
          <cell r="AN42" t="str">
            <v/>
          </cell>
          <cell r="AO42" t="str">
            <v/>
          </cell>
          <cell r="AP42" t="str">
            <v/>
          </cell>
          <cell r="AQ42" t="str">
            <v/>
          </cell>
          <cell r="AR42">
            <v>0</v>
          </cell>
          <cell r="AS42"/>
          <cell r="AT42" t="str">
            <v/>
          </cell>
          <cell r="AU42" t="str">
            <v/>
          </cell>
        </row>
        <row r="43">
          <cell r="B43">
            <v>39904</v>
          </cell>
          <cell r="C43" t="str">
            <v/>
          </cell>
          <cell r="D43" t="str">
            <v/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e">
            <v>#DIV/0!</v>
          </cell>
          <cell r="J43" t="e">
            <v>#DIV/0!</v>
          </cell>
          <cell r="K43" t="e">
            <v>#DIV/0!</v>
          </cell>
          <cell r="L43" t="e">
            <v>#DIV/0!</v>
          </cell>
          <cell r="M43" t="e">
            <v>#N/A</v>
          </cell>
          <cell r="N43" t="e">
            <v>#N/A</v>
          </cell>
          <cell r="O43" t="str">
            <v/>
          </cell>
          <cell r="P43" t="str">
            <v/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/>
          <cell r="V43" t="str">
            <v/>
          </cell>
          <cell r="W43" t="str">
            <v/>
          </cell>
          <cell r="X43" t="str">
            <v/>
          </cell>
          <cell r="Y43"/>
          <cell r="Z43"/>
          <cell r="AA43"/>
          <cell r="AB43">
            <v>39904</v>
          </cell>
          <cell r="AC43" t="str">
            <v/>
          </cell>
          <cell r="AD43" t="str">
            <v/>
          </cell>
          <cell r="AE43" t="str">
            <v/>
          </cell>
          <cell r="AF43" t="str">
            <v/>
          </cell>
          <cell r="AG43" t="str">
            <v/>
          </cell>
          <cell r="AH43" t="str">
            <v/>
          </cell>
          <cell r="AI43" t="str">
            <v/>
          </cell>
          <cell r="AJ43"/>
          <cell r="AK43" t="str">
            <v/>
          </cell>
          <cell r="AL43" t="str">
            <v/>
          </cell>
          <cell r="AM43" t="str">
            <v/>
          </cell>
          <cell r="AN43" t="str">
            <v/>
          </cell>
          <cell r="AO43" t="str">
            <v/>
          </cell>
          <cell r="AP43" t="str">
            <v/>
          </cell>
          <cell r="AQ43" t="str">
            <v/>
          </cell>
          <cell r="AR43">
            <v>0</v>
          </cell>
          <cell r="AS43"/>
          <cell r="AT43" t="str">
            <v/>
          </cell>
          <cell r="AU43" t="str">
            <v/>
          </cell>
        </row>
        <row r="44">
          <cell r="B44">
            <v>39934</v>
          </cell>
          <cell r="C44" t="str">
            <v/>
          </cell>
          <cell r="D44" t="str">
            <v/>
          </cell>
          <cell r="E44" t="str">
            <v/>
          </cell>
          <cell r="F44" t="str">
            <v/>
          </cell>
          <cell r="G44" t="str">
            <v/>
          </cell>
          <cell r="H44" t="str">
            <v/>
          </cell>
          <cell r="I44" t="e">
            <v>#DIV/0!</v>
          </cell>
          <cell r="J44" t="e">
            <v>#DIV/0!</v>
          </cell>
          <cell r="K44" t="e">
            <v>#DIV/0!</v>
          </cell>
          <cell r="L44" t="e">
            <v>#DIV/0!</v>
          </cell>
          <cell r="M44" t="e">
            <v>#N/A</v>
          </cell>
          <cell r="N44" t="e">
            <v>#N/A</v>
          </cell>
          <cell r="O44" t="str">
            <v/>
          </cell>
          <cell r="P44" t="str">
            <v/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/>
          <cell r="V44" t="str">
            <v/>
          </cell>
          <cell r="W44" t="str">
            <v/>
          </cell>
          <cell r="X44" t="str">
            <v/>
          </cell>
          <cell r="Y44"/>
          <cell r="Z44"/>
          <cell r="AA44"/>
          <cell r="AB44">
            <v>39934</v>
          </cell>
          <cell r="AC44" t="str">
            <v/>
          </cell>
          <cell r="AD44" t="str">
            <v/>
          </cell>
          <cell r="AE44" t="str">
            <v/>
          </cell>
          <cell r="AF44" t="str">
            <v/>
          </cell>
          <cell r="AG44" t="str">
            <v/>
          </cell>
          <cell r="AH44" t="str">
            <v/>
          </cell>
          <cell r="AI44" t="str">
            <v/>
          </cell>
          <cell r="AJ44"/>
          <cell r="AK44" t="str">
            <v/>
          </cell>
          <cell r="AL44" t="str">
            <v/>
          </cell>
          <cell r="AM44" t="str">
            <v/>
          </cell>
          <cell r="AN44" t="str">
            <v/>
          </cell>
          <cell r="AO44" t="str">
            <v/>
          </cell>
          <cell r="AP44" t="str">
            <v/>
          </cell>
          <cell r="AQ44" t="str">
            <v/>
          </cell>
          <cell r="AR44">
            <v>0</v>
          </cell>
          <cell r="AS44"/>
          <cell r="AT44" t="str">
            <v/>
          </cell>
          <cell r="AU44" t="str">
            <v/>
          </cell>
        </row>
        <row r="45">
          <cell r="B45">
            <v>39965</v>
          </cell>
          <cell r="C45" t="str">
            <v/>
          </cell>
          <cell r="D45" t="str">
            <v/>
          </cell>
          <cell r="E45" t="str">
            <v/>
          </cell>
          <cell r="F45" t="str">
            <v/>
          </cell>
          <cell r="G45" t="str">
            <v/>
          </cell>
          <cell r="H45" t="str">
            <v/>
          </cell>
          <cell r="I45" t="e">
            <v>#DIV/0!</v>
          </cell>
          <cell r="J45" t="e">
            <v>#DIV/0!</v>
          </cell>
          <cell r="K45" t="e">
            <v>#DIV/0!</v>
          </cell>
          <cell r="L45" t="e">
            <v>#DIV/0!</v>
          </cell>
          <cell r="M45" t="e">
            <v>#N/A</v>
          </cell>
          <cell r="N45" t="e">
            <v>#N/A</v>
          </cell>
          <cell r="O45" t="str">
            <v/>
          </cell>
          <cell r="P45" t="str">
            <v/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/>
          <cell r="V45" t="str">
            <v/>
          </cell>
          <cell r="W45" t="str">
            <v/>
          </cell>
          <cell r="X45" t="str">
            <v/>
          </cell>
          <cell r="Y45"/>
          <cell r="Z45"/>
          <cell r="AA45"/>
          <cell r="AB45">
            <v>39965</v>
          </cell>
          <cell r="AC45" t="str">
            <v/>
          </cell>
          <cell r="AD45" t="str">
            <v/>
          </cell>
          <cell r="AE45" t="str">
            <v/>
          </cell>
          <cell r="AF45" t="str">
            <v/>
          </cell>
          <cell r="AG45" t="str">
            <v/>
          </cell>
          <cell r="AH45" t="str">
            <v/>
          </cell>
          <cell r="AI45" t="str">
            <v/>
          </cell>
          <cell r="AJ45"/>
          <cell r="AK45" t="str">
            <v/>
          </cell>
          <cell r="AL45" t="str">
            <v/>
          </cell>
          <cell r="AM45" t="str">
            <v/>
          </cell>
          <cell r="AN45" t="str">
            <v/>
          </cell>
          <cell r="AO45" t="str">
            <v/>
          </cell>
          <cell r="AP45" t="str">
            <v/>
          </cell>
          <cell r="AQ45" t="str">
            <v/>
          </cell>
          <cell r="AR45">
            <v>0</v>
          </cell>
          <cell r="AS45"/>
          <cell r="AT45" t="str">
            <v/>
          </cell>
          <cell r="AU45" t="str">
            <v/>
          </cell>
        </row>
        <row r="46">
          <cell r="B46">
            <v>39995</v>
          </cell>
          <cell r="C46" t="str">
            <v/>
          </cell>
          <cell r="D46" t="str">
            <v/>
          </cell>
          <cell r="E46" t="str">
            <v/>
          </cell>
          <cell r="F46" t="str">
            <v/>
          </cell>
          <cell r="G46" t="str">
            <v/>
          </cell>
          <cell r="H46" t="str">
            <v/>
          </cell>
          <cell r="I46" t="e">
            <v>#DIV/0!</v>
          </cell>
          <cell r="J46" t="e">
            <v>#DIV/0!</v>
          </cell>
          <cell r="K46" t="e">
            <v>#DIV/0!</v>
          </cell>
          <cell r="L46" t="e">
            <v>#DIV/0!</v>
          </cell>
          <cell r="M46" t="e">
            <v>#N/A</v>
          </cell>
          <cell r="N46" t="e">
            <v>#N/A</v>
          </cell>
          <cell r="O46" t="str">
            <v/>
          </cell>
          <cell r="P46" t="str">
            <v/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/>
          <cell r="V46" t="str">
            <v/>
          </cell>
          <cell r="W46" t="str">
            <v/>
          </cell>
          <cell r="X46" t="str">
            <v/>
          </cell>
          <cell r="Y46"/>
          <cell r="Z46"/>
          <cell r="AA46"/>
          <cell r="AB46">
            <v>39995</v>
          </cell>
          <cell r="AC46" t="str">
            <v/>
          </cell>
          <cell r="AD46" t="str">
            <v/>
          </cell>
          <cell r="AE46" t="str">
            <v/>
          </cell>
          <cell r="AF46" t="str">
            <v/>
          </cell>
          <cell r="AG46" t="str">
            <v/>
          </cell>
          <cell r="AH46" t="str">
            <v/>
          </cell>
          <cell r="AI46" t="str">
            <v/>
          </cell>
          <cell r="AJ46"/>
          <cell r="AK46" t="str">
            <v/>
          </cell>
          <cell r="AL46" t="str">
            <v/>
          </cell>
          <cell r="AM46" t="str">
            <v/>
          </cell>
          <cell r="AN46" t="str">
            <v/>
          </cell>
          <cell r="AO46" t="str">
            <v/>
          </cell>
          <cell r="AP46" t="str">
            <v/>
          </cell>
          <cell r="AQ46" t="str">
            <v/>
          </cell>
          <cell r="AR46">
            <v>0</v>
          </cell>
          <cell r="AS46"/>
          <cell r="AT46" t="str">
            <v/>
          </cell>
          <cell r="AU46" t="str">
            <v/>
          </cell>
        </row>
        <row r="47">
          <cell r="B47">
            <v>40026</v>
          </cell>
          <cell r="C47" t="str">
            <v/>
          </cell>
          <cell r="D47" t="str">
            <v/>
          </cell>
          <cell r="E47" t="str">
            <v/>
          </cell>
          <cell r="F47" t="str">
            <v/>
          </cell>
          <cell r="G47" t="str">
            <v/>
          </cell>
          <cell r="H47" t="str">
            <v/>
          </cell>
          <cell r="I47" t="e">
            <v>#DIV/0!</v>
          </cell>
          <cell r="J47" t="e">
            <v>#DIV/0!</v>
          </cell>
          <cell r="K47" t="e">
            <v>#DIV/0!</v>
          </cell>
          <cell r="L47" t="e">
            <v>#DIV/0!</v>
          </cell>
          <cell r="M47" t="e">
            <v>#N/A</v>
          </cell>
          <cell r="N47" t="e">
            <v>#N/A</v>
          </cell>
          <cell r="O47" t="str">
            <v/>
          </cell>
          <cell r="P47" t="str">
            <v/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/>
          <cell r="V47" t="str">
            <v/>
          </cell>
          <cell r="W47" t="str">
            <v/>
          </cell>
          <cell r="X47" t="str">
            <v/>
          </cell>
          <cell r="Y47"/>
          <cell r="Z47"/>
          <cell r="AA47"/>
          <cell r="AB47">
            <v>40026</v>
          </cell>
          <cell r="AC47" t="str">
            <v/>
          </cell>
          <cell r="AD47" t="str">
            <v/>
          </cell>
          <cell r="AE47" t="str">
            <v/>
          </cell>
          <cell r="AF47" t="str">
            <v/>
          </cell>
          <cell r="AG47" t="str">
            <v/>
          </cell>
          <cell r="AH47" t="str">
            <v/>
          </cell>
          <cell r="AI47" t="str">
            <v/>
          </cell>
          <cell r="AJ47"/>
          <cell r="AK47" t="str">
            <v/>
          </cell>
          <cell r="AL47" t="str">
            <v/>
          </cell>
          <cell r="AM47" t="str">
            <v/>
          </cell>
          <cell r="AN47" t="str">
            <v/>
          </cell>
          <cell r="AO47" t="str">
            <v/>
          </cell>
          <cell r="AP47" t="str">
            <v/>
          </cell>
          <cell r="AQ47" t="str">
            <v/>
          </cell>
          <cell r="AR47">
            <v>0</v>
          </cell>
          <cell r="AS47"/>
          <cell r="AT47" t="str">
            <v/>
          </cell>
          <cell r="AU47" t="str">
            <v/>
          </cell>
        </row>
        <row r="48">
          <cell r="B48">
            <v>40057</v>
          </cell>
          <cell r="C48" t="str">
            <v/>
          </cell>
          <cell r="D48" t="str">
            <v/>
          </cell>
          <cell r="E48" t="str">
            <v/>
          </cell>
          <cell r="F48" t="str">
            <v/>
          </cell>
          <cell r="G48" t="str">
            <v/>
          </cell>
          <cell r="H48" t="str">
            <v/>
          </cell>
          <cell r="I48" t="e">
            <v>#DIV/0!</v>
          </cell>
          <cell r="J48" t="e">
            <v>#DIV/0!</v>
          </cell>
          <cell r="K48" t="e">
            <v>#DIV/0!</v>
          </cell>
          <cell r="L48" t="e">
            <v>#DIV/0!</v>
          </cell>
          <cell r="M48" t="e">
            <v>#N/A</v>
          </cell>
          <cell r="N48" t="e">
            <v>#N/A</v>
          </cell>
          <cell r="O48" t="str">
            <v/>
          </cell>
          <cell r="P48" t="str">
            <v/>
          </cell>
          <cell r="Q48" t="str">
            <v/>
          </cell>
          <cell r="R48" t="str">
            <v/>
          </cell>
          <cell r="S48" t="str">
            <v/>
          </cell>
          <cell r="T48" t="str">
            <v/>
          </cell>
          <cell r="U48"/>
          <cell r="V48" t="str">
            <v/>
          </cell>
          <cell r="W48" t="str">
            <v/>
          </cell>
          <cell r="X48" t="str">
            <v/>
          </cell>
          <cell r="Y48"/>
          <cell r="Z48"/>
          <cell r="AA48"/>
          <cell r="AB48">
            <v>40057</v>
          </cell>
          <cell r="AC48" t="str">
            <v/>
          </cell>
          <cell r="AD48" t="str">
            <v/>
          </cell>
          <cell r="AE48" t="str">
            <v/>
          </cell>
          <cell r="AF48" t="str">
            <v/>
          </cell>
          <cell r="AG48" t="str">
            <v/>
          </cell>
          <cell r="AH48" t="str">
            <v/>
          </cell>
          <cell r="AI48" t="str">
            <v/>
          </cell>
          <cell r="AJ48"/>
          <cell r="AK48" t="str">
            <v/>
          </cell>
          <cell r="AL48" t="str">
            <v/>
          </cell>
          <cell r="AM48" t="str">
            <v/>
          </cell>
          <cell r="AN48" t="str">
            <v/>
          </cell>
          <cell r="AO48" t="str">
            <v/>
          </cell>
          <cell r="AP48" t="str">
            <v/>
          </cell>
          <cell r="AQ48" t="str">
            <v/>
          </cell>
          <cell r="AR48">
            <v>0</v>
          </cell>
          <cell r="AS48"/>
          <cell r="AT48" t="str">
            <v/>
          </cell>
          <cell r="AU48" t="str">
            <v/>
          </cell>
        </row>
        <row r="49">
          <cell r="B49">
            <v>40087</v>
          </cell>
          <cell r="C49" t="str">
            <v/>
          </cell>
          <cell r="D49" t="str">
            <v/>
          </cell>
          <cell r="E49" t="str">
            <v/>
          </cell>
          <cell r="F49" t="str">
            <v/>
          </cell>
          <cell r="G49" t="str">
            <v/>
          </cell>
          <cell r="H49" t="str">
            <v/>
          </cell>
          <cell r="I49" t="e">
            <v>#DIV/0!</v>
          </cell>
          <cell r="J49" t="e">
            <v>#DIV/0!</v>
          </cell>
          <cell r="K49" t="e">
            <v>#DIV/0!</v>
          </cell>
          <cell r="L49" t="e">
            <v>#DIV/0!</v>
          </cell>
          <cell r="M49" t="e">
            <v>#N/A</v>
          </cell>
          <cell r="N49" t="e">
            <v>#N/A</v>
          </cell>
          <cell r="O49" t="str">
            <v/>
          </cell>
          <cell r="P49" t="str">
            <v/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  <cell r="U49"/>
          <cell r="V49" t="str">
            <v/>
          </cell>
          <cell r="W49" t="str">
            <v/>
          </cell>
          <cell r="X49" t="str">
            <v/>
          </cell>
          <cell r="Y49"/>
          <cell r="Z49"/>
          <cell r="AA49"/>
          <cell r="AB49">
            <v>40087</v>
          </cell>
          <cell r="AC49" t="str">
            <v/>
          </cell>
          <cell r="AD49" t="str">
            <v/>
          </cell>
          <cell r="AE49" t="str">
            <v/>
          </cell>
          <cell r="AF49" t="str">
            <v/>
          </cell>
          <cell r="AG49" t="str">
            <v/>
          </cell>
          <cell r="AH49" t="str">
            <v/>
          </cell>
          <cell r="AI49" t="str">
            <v/>
          </cell>
          <cell r="AJ49"/>
          <cell r="AK49" t="str">
            <v/>
          </cell>
          <cell r="AL49" t="str">
            <v/>
          </cell>
          <cell r="AM49" t="str">
            <v/>
          </cell>
          <cell r="AN49" t="str">
            <v/>
          </cell>
          <cell r="AO49" t="str">
            <v/>
          </cell>
          <cell r="AP49" t="str">
            <v/>
          </cell>
          <cell r="AQ49" t="str">
            <v/>
          </cell>
          <cell r="AR49">
            <v>0</v>
          </cell>
          <cell r="AS49"/>
          <cell r="AT49" t="str">
            <v/>
          </cell>
        </row>
      </sheetData>
      <sheetData sheetId="91">
        <row r="16">
          <cell r="B16">
            <v>39083</v>
          </cell>
          <cell r="C16" t="str">
            <v/>
          </cell>
          <cell r="D16" t="str">
            <v/>
          </cell>
          <cell r="E16" t="str">
            <v/>
          </cell>
          <cell r="F16" t="str">
            <v/>
          </cell>
          <cell r="G16"/>
          <cell r="H16"/>
          <cell r="I16" t="e">
            <v>#DIV/0!</v>
          </cell>
          <cell r="J16" t="e">
            <v>#DIV/0!</v>
          </cell>
          <cell r="K16" t="e">
            <v>#DIV/0!</v>
          </cell>
          <cell r="L16" t="e">
            <v>#DIV/0!</v>
          </cell>
          <cell r="M16">
            <v>0.06</v>
          </cell>
          <cell r="N16">
            <v>0.02</v>
          </cell>
          <cell r="O16" t="str">
            <v/>
          </cell>
          <cell r="P16" t="str">
            <v/>
          </cell>
          <cell r="Q16" t="str">
            <v/>
          </cell>
          <cell r="R16" t="str">
            <v/>
          </cell>
          <cell r="S16"/>
          <cell r="T16"/>
          <cell r="U16" t="e">
            <v>#DIV/0!</v>
          </cell>
          <cell r="V16" t="e">
            <v>#DIV/0!</v>
          </cell>
          <cell r="W16" t="e">
            <v>#DIV/0!</v>
          </cell>
          <cell r="X16" t="e">
            <v>#DIV/0!</v>
          </cell>
          <cell r="Y16" t="e">
            <v>#REF!</v>
          </cell>
          <cell r="Z16" t="e">
            <v>#REF!</v>
          </cell>
          <cell r="AA16"/>
          <cell r="AB16">
            <v>39083</v>
          </cell>
          <cell r="AC16"/>
          <cell r="AD16">
            <v>0</v>
          </cell>
          <cell r="AE16" t="str">
            <v/>
          </cell>
          <cell r="AF16">
            <v>0</v>
          </cell>
          <cell r="AG16" t="e">
            <v>#VALUE!</v>
          </cell>
          <cell r="AH16" t="str">
            <v/>
          </cell>
          <cell r="AI16" t="str">
            <v/>
          </cell>
          <cell r="AJ16"/>
          <cell r="AK16"/>
          <cell r="AL16" t="str">
            <v/>
          </cell>
          <cell r="AM16" t="str">
            <v/>
          </cell>
          <cell r="AN16"/>
          <cell r="AO16"/>
          <cell r="AP16" t="str">
            <v/>
          </cell>
          <cell r="AQ16" t="str">
            <v/>
          </cell>
          <cell r="AR16">
            <v>0</v>
          </cell>
          <cell r="AS16" t="str">
            <v/>
          </cell>
          <cell r="AT16" t="str">
            <v/>
          </cell>
          <cell r="AU16" t="str">
            <v/>
          </cell>
        </row>
        <row r="17">
          <cell r="B17">
            <v>39114</v>
          </cell>
          <cell r="C17" t="str">
            <v/>
          </cell>
          <cell r="D17" t="str">
            <v/>
          </cell>
          <cell r="E17" t="str">
            <v/>
          </cell>
          <cell r="F17" t="str">
            <v/>
          </cell>
          <cell r="G17"/>
          <cell r="H17"/>
          <cell r="I17" t="e">
            <v>#DIV/0!</v>
          </cell>
          <cell r="J17" t="e">
            <v>#DIV/0!</v>
          </cell>
          <cell r="K17" t="e">
            <v>#DIV/0!</v>
          </cell>
          <cell r="L17" t="e">
            <v>#DIV/0!</v>
          </cell>
          <cell r="M17">
            <v>0.06</v>
          </cell>
          <cell r="N17">
            <v>0.02</v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  <cell r="S17"/>
          <cell r="T17"/>
          <cell r="U17" t="e">
            <v>#DIV/0!</v>
          </cell>
          <cell r="V17" t="e">
            <v>#DIV/0!</v>
          </cell>
          <cell r="W17" t="e">
            <v>#DIV/0!</v>
          </cell>
          <cell r="X17" t="e">
            <v>#DIV/0!</v>
          </cell>
          <cell r="Y17" t="e">
            <v>#REF!</v>
          </cell>
          <cell r="Z17" t="e">
            <v>#REF!</v>
          </cell>
          <cell r="AA17"/>
          <cell r="AB17">
            <v>39114</v>
          </cell>
          <cell r="AC17"/>
          <cell r="AD17" t="str">
            <v/>
          </cell>
          <cell r="AE17" t="str">
            <v/>
          </cell>
          <cell r="AF17" t="str">
            <v/>
          </cell>
          <cell r="AG17" t="str">
            <v/>
          </cell>
          <cell r="AH17" t="str">
            <v/>
          </cell>
          <cell r="AI17" t="str">
            <v/>
          </cell>
          <cell r="AJ17"/>
          <cell r="AK17"/>
          <cell r="AL17" t="str">
            <v/>
          </cell>
          <cell r="AM17" t="str">
            <v/>
          </cell>
          <cell r="AN17"/>
          <cell r="AO17"/>
          <cell r="AP17" t="str">
            <v/>
          </cell>
          <cell r="AQ17" t="str">
            <v/>
          </cell>
          <cell r="AR17">
            <v>0</v>
          </cell>
          <cell r="AS17" t="str">
            <v/>
          </cell>
          <cell r="AT17" t="str">
            <v/>
          </cell>
          <cell r="AU17" t="str">
            <v/>
          </cell>
        </row>
        <row r="18">
          <cell r="B18">
            <v>39142</v>
          </cell>
          <cell r="C18" t="str">
            <v/>
          </cell>
          <cell r="D18" t="str">
            <v/>
          </cell>
          <cell r="E18" t="str">
            <v/>
          </cell>
          <cell r="F18" t="str">
            <v/>
          </cell>
          <cell r="G18"/>
          <cell r="H18"/>
          <cell r="I18" t="e">
            <v>#DIV/0!</v>
          </cell>
          <cell r="J18" t="e">
            <v>#DIV/0!</v>
          </cell>
          <cell r="K18" t="e">
            <v>#DIV/0!</v>
          </cell>
          <cell r="L18" t="e">
            <v>#DIV/0!</v>
          </cell>
          <cell r="M18">
            <v>0.06</v>
          </cell>
          <cell r="N18">
            <v>0.02</v>
          </cell>
          <cell r="O18" t="str">
            <v/>
          </cell>
          <cell r="P18" t="str">
            <v/>
          </cell>
          <cell r="Q18" t="str">
            <v/>
          </cell>
          <cell r="R18" t="str">
            <v/>
          </cell>
          <cell r="S18"/>
          <cell r="T18"/>
          <cell r="U18" t="e">
            <v>#DIV/0!</v>
          </cell>
          <cell r="V18" t="e">
            <v>#DIV/0!</v>
          </cell>
          <cell r="W18" t="e">
            <v>#DIV/0!</v>
          </cell>
          <cell r="X18" t="e">
            <v>#DIV/0!</v>
          </cell>
          <cell r="Y18" t="e">
            <v>#REF!</v>
          </cell>
          <cell r="Z18" t="e">
            <v>#REF!</v>
          </cell>
          <cell r="AA18"/>
          <cell r="AB18">
            <v>39142</v>
          </cell>
          <cell r="AC18"/>
          <cell r="AD18" t="str">
            <v/>
          </cell>
          <cell r="AE18" t="str">
            <v/>
          </cell>
          <cell r="AF18" t="str">
            <v/>
          </cell>
          <cell r="AG18" t="str">
            <v/>
          </cell>
          <cell r="AH18" t="str">
            <v/>
          </cell>
          <cell r="AI18" t="str">
            <v/>
          </cell>
          <cell r="AJ18"/>
          <cell r="AK18"/>
          <cell r="AL18" t="str">
            <v/>
          </cell>
          <cell r="AM18" t="str">
            <v/>
          </cell>
          <cell r="AN18"/>
          <cell r="AO18"/>
          <cell r="AP18" t="str">
            <v/>
          </cell>
          <cell r="AQ18" t="str">
            <v/>
          </cell>
          <cell r="AR18">
            <v>0</v>
          </cell>
          <cell r="AS18" t="str">
            <v/>
          </cell>
          <cell r="AT18" t="str">
            <v/>
          </cell>
          <cell r="AU18" t="str">
            <v/>
          </cell>
        </row>
        <row r="19">
          <cell r="B19">
            <v>39173</v>
          </cell>
          <cell r="C19" t="str">
            <v/>
          </cell>
          <cell r="D19" t="str">
            <v/>
          </cell>
          <cell r="E19" t="str">
            <v/>
          </cell>
          <cell r="F19" t="str">
            <v/>
          </cell>
          <cell r="G19"/>
          <cell r="H19"/>
          <cell r="I19" t="e">
            <v>#DIV/0!</v>
          </cell>
          <cell r="J19" t="e">
            <v>#DIV/0!</v>
          </cell>
          <cell r="K19" t="e">
            <v>#DIV/0!</v>
          </cell>
          <cell r="L19" t="e">
            <v>#DIV/0!</v>
          </cell>
          <cell r="M19">
            <v>0.06</v>
          </cell>
          <cell r="N19">
            <v>0.02</v>
          </cell>
          <cell r="O19" t="str">
            <v/>
          </cell>
          <cell r="P19" t="str">
            <v/>
          </cell>
          <cell r="Q19" t="str">
            <v/>
          </cell>
          <cell r="R19" t="str">
            <v/>
          </cell>
          <cell r="S19"/>
          <cell r="T19"/>
          <cell r="U19" t="e">
            <v>#DIV/0!</v>
          </cell>
          <cell r="V19" t="e">
            <v>#DIV/0!</v>
          </cell>
          <cell r="W19" t="e">
            <v>#DIV/0!</v>
          </cell>
          <cell r="X19" t="e">
            <v>#DIV/0!</v>
          </cell>
          <cell r="Y19" t="e">
            <v>#REF!</v>
          </cell>
          <cell r="Z19" t="e">
            <v>#REF!</v>
          </cell>
          <cell r="AA19"/>
          <cell r="AB19">
            <v>39173</v>
          </cell>
          <cell r="AC19"/>
          <cell r="AD19" t="str">
            <v/>
          </cell>
          <cell r="AE19" t="str">
            <v/>
          </cell>
          <cell r="AF19" t="str">
            <v/>
          </cell>
          <cell r="AG19" t="str">
            <v/>
          </cell>
          <cell r="AH19" t="str">
            <v/>
          </cell>
          <cell r="AI19" t="str">
            <v/>
          </cell>
          <cell r="AJ19"/>
          <cell r="AK19"/>
          <cell r="AL19" t="str">
            <v/>
          </cell>
          <cell r="AM19" t="str">
            <v/>
          </cell>
          <cell r="AN19"/>
          <cell r="AO19"/>
          <cell r="AP19" t="str">
            <v/>
          </cell>
          <cell r="AQ19" t="str">
            <v/>
          </cell>
          <cell r="AR19">
            <v>0</v>
          </cell>
          <cell r="AS19" t="str">
            <v/>
          </cell>
          <cell r="AT19" t="str">
            <v/>
          </cell>
          <cell r="AU19" t="str">
            <v/>
          </cell>
        </row>
        <row r="20">
          <cell r="B20">
            <v>39203</v>
          </cell>
          <cell r="C20" t="str">
            <v/>
          </cell>
          <cell r="D20" t="str">
            <v/>
          </cell>
          <cell r="E20" t="str">
            <v/>
          </cell>
          <cell r="F20" t="str">
            <v/>
          </cell>
          <cell r="G20"/>
          <cell r="H20"/>
          <cell r="I20" t="e">
            <v>#DIV/0!</v>
          </cell>
          <cell r="J20" t="e">
            <v>#DIV/0!</v>
          </cell>
          <cell r="K20" t="e">
            <v>#DIV/0!</v>
          </cell>
          <cell r="L20" t="e">
            <v>#DIV/0!</v>
          </cell>
          <cell r="M20">
            <v>0.06</v>
          </cell>
          <cell r="N20">
            <v>0.02</v>
          </cell>
          <cell r="O20" t="str">
            <v/>
          </cell>
          <cell r="P20" t="str">
            <v/>
          </cell>
          <cell r="Q20" t="str">
            <v/>
          </cell>
          <cell r="R20" t="str">
            <v/>
          </cell>
          <cell r="S20"/>
          <cell r="T20"/>
          <cell r="U20" t="e">
            <v>#DIV/0!</v>
          </cell>
          <cell r="V20" t="e">
            <v>#DIV/0!</v>
          </cell>
          <cell r="W20" t="e">
            <v>#DIV/0!</v>
          </cell>
          <cell r="X20" t="e">
            <v>#DIV/0!</v>
          </cell>
          <cell r="Y20" t="e">
            <v>#REF!</v>
          </cell>
          <cell r="Z20" t="e">
            <v>#REF!</v>
          </cell>
          <cell r="AA20"/>
          <cell r="AB20">
            <v>39203</v>
          </cell>
          <cell r="AC20"/>
          <cell r="AD20" t="str">
            <v/>
          </cell>
          <cell r="AE20" t="str">
            <v/>
          </cell>
          <cell r="AF20" t="str">
            <v/>
          </cell>
          <cell r="AG20" t="str">
            <v/>
          </cell>
          <cell r="AH20" t="str">
            <v/>
          </cell>
          <cell r="AI20" t="str">
            <v/>
          </cell>
          <cell r="AJ20"/>
          <cell r="AK20"/>
          <cell r="AL20" t="str">
            <v/>
          </cell>
          <cell r="AM20" t="str">
            <v/>
          </cell>
          <cell r="AN20"/>
          <cell r="AO20"/>
          <cell r="AP20" t="str">
            <v/>
          </cell>
          <cell r="AQ20" t="str">
            <v/>
          </cell>
          <cell r="AR20">
            <v>0</v>
          </cell>
          <cell r="AS20" t="str">
            <v/>
          </cell>
          <cell r="AT20" t="str">
            <v/>
          </cell>
          <cell r="AU20" t="str">
            <v/>
          </cell>
        </row>
        <row r="21">
          <cell r="B21">
            <v>39234</v>
          </cell>
          <cell r="C21" t="str">
            <v/>
          </cell>
          <cell r="D21" t="str">
            <v/>
          </cell>
          <cell r="E21" t="str">
            <v/>
          </cell>
          <cell r="F21" t="str">
            <v/>
          </cell>
          <cell r="G21"/>
          <cell r="H21"/>
          <cell r="I21" t="e">
            <v>#DIV/0!</v>
          </cell>
          <cell r="J21" t="e">
            <v>#DIV/0!</v>
          </cell>
          <cell r="K21" t="e">
            <v>#DIV/0!</v>
          </cell>
          <cell r="L21" t="e">
            <v>#DIV/0!</v>
          </cell>
          <cell r="M21">
            <v>0.06</v>
          </cell>
          <cell r="N21">
            <v>0.02</v>
          </cell>
          <cell r="O21" t="str">
            <v/>
          </cell>
          <cell r="P21" t="str">
            <v/>
          </cell>
          <cell r="Q21" t="str">
            <v/>
          </cell>
          <cell r="R21" t="str">
            <v/>
          </cell>
          <cell r="S21"/>
          <cell r="T21"/>
          <cell r="U21" t="e">
            <v>#DIV/0!</v>
          </cell>
          <cell r="V21" t="e">
            <v>#DIV/0!</v>
          </cell>
          <cell r="W21" t="e">
            <v>#DIV/0!</v>
          </cell>
          <cell r="X21" t="e">
            <v>#DIV/0!</v>
          </cell>
          <cell r="Y21" t="e">
            <v>#REF!</v>
          </cell>
          <cell r="Z21" t="e">
            <v>#REF!</v>
          </cell>
          <cell r="AA21"/>
          <cell r="AB21">
            <v>39234</v>
          </cell>
          <cell r="AC21"/>
          <cell r="AD21" t="str">
            <v/>
          </cell>
          <cell r="AE21" t="str">
            <v/>
          </cell>
          <cell r="AF21" t="str">
            <v/>
          </cell>
          <cell r="AG21" t="str">
            <v/>
          </cell>
          <cell r="AH21" t="str">
            <v/>
          </cell>
          <cell r="AI21" t="str">
            <v/>
          </cell>
          <cell r="AJ21"/>
          <cell r="AK21"/>
          <cell r="AL21" t="str">
            <v/>
          </cell>
          <cell r="AM21" t="str">
            <v/>
          </cell>
          <cell r="AN21"/>
          <cell r="AO21"/>
          <cell r="AP21" t="str">
            <v/>
          </cell>
          <cell r="AQ21" t="str">
            <v/>
          </cell>
          <cell r="AR21">
            <v>0</v>
          </cell>
          <cell r="AS21" t="str">
            <v/>
          </cell>
          <cell r="AT21" t="str">
            <v/>
          </cell>
          <cell r="AU21" t="str">
            <v/>
          </cell>
        </row>
        <row r="22">
          <cell r="B22">
            <v>39264</v>
          </cell>
          <cell r="C22" t="str">
            <v/>
          </cell>
          <cell r="D22" t="str">
            <v/>
          </cell>
          <cell r="E22" t="str">
            <v/>
          </cell>
          <cell r="F22" t="str">
            <v/>
          </cell>
          <cell r="G22"/>
          <cell r="H22"/>
          <cell r="I22" t="e">
            <v>#DIV/0!</v>
          </cell>
          <cell r="J22" t="e">
            <v>#DIV/0!</v>
          </cell>
          <cell r="K22" t="e">
            <v>#DIV/0!</v>
          </cell>
          <cell r="L22" t="e">
            <v>#DIV/0!</v>
          </cell>
          <cell r="M22">
            <v>0.06</v>
          </cell>
          <cell r="N22">
            <v>0.02</v>
          </cell>
          <cell r="O22" t="str">
            <v/>
          </cell>
          <cell r="P22" t="str">
            <v/>
          </cell>
          <cell r="Q22" t="str">
            <v/>
          </cell>
          <cell r="R22" t="str">
            <v/>
          </cell>
          <cell r="S22"/>
          <cell r="T22"/>
          <cell r="U22" t="e">
            <v>#DIV/0!</v>
          </cell>
          <cell r="V22" t="e">
            <v>#DIV/0!</v>
          </cell>
          <cell r="W22" t="e">
            <v>#DIV/0!</v>
          </cell>
          <cell r="X22" t="e">
            <v>#DIV/0!</v>
          </cell>
          <cell r="Y22" t="e">
            <v>#REF!</v>
          </cell>
          <cell r="Z22" t="e">
            <v>#REF!</v>
          </cell>
          <cell r="AA22"/>
          <cell r="AB22">
            <v>39264</v>
          </cell>
          <cell r="AC22"/>
          <cell r="AD22" t="str">
            <v/>
          </cell>
          <cell r="AE22" t="str">
            <v/>
          </cell>
          <cell r="AF22" t="str">
            <v/>
          </cell>
          <cell r="AG22" t="str">
            <v/>
          </cell>
          <cell r="AH22" t="str">
            <v/>
          </cell>
          <cell r="AI22" t="str">
            <v/>
          </cell>
          <cell r="AJ22"/>
          <cell r="AK22"/>
          <cell r="AL22" t="str">
            <v/>
          </cell>
          <cell r="AM22" t="str">
            <v/>
          </cell>
          <cell r="AN22"/>
          <cell r="AO22"/>
          <cell r="AP22" t="str">
            <v/>
          </cell>
          <cell r="AQ22" t="str">
            <v/>
          </cell>
          <cell r="AR22">
            <v>0</v>
          </cell>
          <cell r="AS22" t="str">
            <v/>
          </cell>
          <cell r="AT22" t="str">
            <v/>
          </cell>
          <cell r="AU22" t="str">
            <v/>
          </cell>
        </row>
        <row r="23">
          <cell r="B23">
            <v>39295</v>
          </cell>
          <cell r="C23" t="str">
            <v/>
          </cell>
          <cell r="D23" t="str">
            <v/>
          </cell>
          <cell r="E23" t="str">
            <v/>
          </cell>
          <cell r="F23" t="str">
            <v/>
          </cell>
          <cell r="G23"/>
          <cell r="H23"/>
          <cell r="I23" t="e">
            <v>#DIV/0!</v>
          </cell>
          <cell r="J23" t="e">
            <v>#DIV/0!</v>
          </cell>
          <cell r="K23" t="e">
            <v>#DIV/0!</v>
          </cell>
          <cell r="L23" t="e">
            <v>#DIV/0!</v>
          </cell>
          <cell r="M23">
            <v>0.06</v>
          </cell>
          <cell r="N23">
            <v>0.02</v>
          </cell>
          <cell r="O23" t="str">
            <v/>
          </cell>
          <cell r="P23" t="str">
            <v/>
          </cell>
          <cell r="Q23" t="str">
            <v/>
          </cell>
          <cell r="R23" t="str">
            <v/>
          </cell>
          <cell r="S23"/>
          <cell r="T23"/>
          <cell r="U23" t="e">
            <v>#DIV/0!</v>
          </cell>
          <cell r="V23" t="e">
            <v>#DIV/0!</v>
          </cell>
          <cell r="W23" t="e">
            <v>#DIV/0!</v>
          </cell>
          <cell r="X23" t="e">
            <v>#DIV/0!</v>
          </cell>
          <cell r="Y23" t="e">
            <v>#REF!</v>
          </cell>
          <cell r="Z23" t="e">
            <v>#REF!</v>
          </cell>
          <cell r="AA23"/>
          <cell r="AB23">
            <v>39295</v>
          </cell>
          <cell r="AC23"/>
          <cell r="AD23" t="str">
            <v/>
          </cell>
          <cell r="AE23" t="str">
            <v/>
          </cell>
          <cell r="AF23" t="str">
            <v/>
          </cell>
          <cell r="AG23" t="str">
            <v/>
          </cell>
          <cell r="AH23" t="str">
            <v/>
          </cell>
          <cell r="AI23" t="str">
            <v/>
          </cell>
          <cell r="AJ23"/>
          <cell r="AK23"/>
          <cell r="AL23" t="str">
            <v/>
          </cell>
          <cell r="AM23" t="str">
            <v/>
          </cell>
          <cell r="AN23"/>
          <cell r="AO23"/>
          <cell r="AP23" t="str">
            <v/>
          </cell>
          <cell r="AQ23" t="str">
            <v/>
          </cell>
          <cell r="AR23">
            <v>0</v>
          </cell>
          <cell r="AS23" t="str">
            <v/>
          </cell>
          <cell r="AT23" t="str">
            <v/>
          </cell>
          <cell r="AU23" t="str">
            <v/>
          </cell>
        </row>
        <row r="24">
          <cell r="B24">
            <v>39326</v>
          </cell>
          <cell r="C24" t="str">
            <v/>
          </cell>
          <cell r="D24" t="str">
            <v/>
          </cell>
          <cell r="E24" t="str">
            <v/>
          </cell>
          <cell r="F24" t="str">
            <v/>
          </cell>
          <cell r="G24"/>
          <cell r="H24"/>
          <cell r="I24" t="e">
            <v>#DIV/0!</v>
          </cell>
          <cell r="J24" t="e">
            <v>#DIV/0!</v>
          </cell>
          <cell r="K24" t="e">
            <v>#DIV/0!</v>
          </cell>
          <cell r="L24" t="e">
            <v>#DIV/0!</v>
          </cell>
          <cell r="M24">
            <v>0.06</v>
          </cell>
          <cell r="N24">
            <v>0.02</v>
          </cell>
          <cell r="O24" t="str">
            <v/>
          </cell>
          <cell r="P24" t="str">
            <v/>
          </cell>
          <cell r="Q24" t="str">
            <v/>
          </cell>
          <cell r="R24" t="str">
            <v/>
          </cell>
          <cell r="S24"/>
          <cell r="T24"/>
          <cell r="U24" t="e">
            <v>#DIV/0!</v>
          </cell>
          <cell r="V24" t="e">
            <v>#DIV/0!</v>
          </cell>
          <cell r="W24" t="e">
            <v>#DIV/0!</v>
          </cell>
          <cell r="X24" t="e">
            <v>#DIV/0!</v>
          </cell>
          <cell r="Y24" t="e">
            <v>#REF!</v>
          </cell>
          <cell r="Z24" t="e">
            <v>#REF!</v>
          </cell>
          <cell r="AA24"/>
          <cell r="AB24">
            <v>39326</v>
          </cell>
          <cell r="AC24"/>
          <cell r="AD24" t="str">
            <v/>
          </cell>
          <cell r="AE24" t="str">
            <v/>
          </cell>
          <cell r="AF24" t="str">
            <v/>
          </cell>
          <cell r="AG24" t="str">
            <v/>
          </cell>
          <cell r="AH24" t="str">
            <v/>
          </cell>
          <cell r="AI24" t="str">
            <v/>
          </cell>
          <cell r="AJ24"/>
          <cell r="AK24"/>
          <cell r="AL24" t="str">
            <v/>
          </cell>
          <cell r="AM24" t="str">
            <v/>
          </cell>
          <cell r="AN24"/>
          <cell r="AO24"/>
          <cell r="AP24" t="str">
            <v/>
          </cell>
          <cell r="AQ24" t="str">
            <v/>
          </cell>
          <cell r="AR24">
            <v>0</v>
          </cell>
          <cell r="AS24" t="str">
            <v/>
          </cell>
          <cell r="AT24" t="str">
            <v/>
          </cell>
          <cell r="AU24" t="str">
            <v/>
          </cell>
        </row>
        <row r="25">
          <cell r="B25">
            <v>39356</v>
          </cell>
          <cell r="C25" t="str">
            <v/>
          </cell>
          <cell r="D25" t="str">
            <v/>
          </cell>
          <cell r="E25" t="str">
            <v/>
          </cell>
          <cell r="F25" t="str">
            <v/>
          </cell>
          <cell r="G25"/>
          <cell r="H25"/>
          <cell r="I25" t="e">
            <v>#DIV/0!</v>
          </cell>
          <cell r="J25" t="e">
            <v>#DIV/0!</v>
          </cell>
          <cell r="K25" t="e">
            <v>#DIV/0!</v>
          </cell>
          <cell r="L25" t="e">
            <v>#DIV/0!</v>
          </cell>
          <cell r="M25">
            <v>0.06</v>
          </cell>
          <cell r="N25">
            <v>0.02</v>
          </cell>
          <cell r="O25" t="str">
            <v/>
          </cell>
          <cell r="P25" t="str">
            <v/>
          </cell>
          <cell r="Q25" t="str">
            <v/>
          </cell>
          <cell r="R25" t="str">
            <v/>
          </cell>
          <cell r="S25"/>
          <cell r="T25"/>
          <cell r="U25" t="e">
            <v>#DIV/0!</v>
          </cell>
          <cell r="V25" t="e">
            <v>#DIV/0!</v>
          </cell>
          <cell r="W25" t="e">
            <v>#DIV/0!</v>
          </cell>
          <cell r="X25" t="e">
            <v>#DIV/0!</v>
          </cell>
          <cell r="Y25" t="e">
            <v>#REF!</v>
          </cell>
          <cell r="Z25" t="e">
            <v>#REF!</v>
          </cell>
          <cell r="AA25"/>
          <cell r="AB25">
            <v>39356</v>
          </cell>
          <cell r="AC25"/>
          <cell r="AD25" t="str">
            <v/>
          </cell>
          <cell r="AE25" t="str">
            <v/>
          </cell>
          <cell r="AF25" t="str">
            <v/>
          </cell>
          <cell r="AG25" t="str">
            <v/>
          </cell>
          <cell r="AH25" t="str">
            <v/>
          </cell>
          <cell r="AI25" t="str">
            <v/>
          </cell>
          <cell r="AJ25"/>
          <cell r="AK25"/>
          <cell r="AL25" t="str">
            <v/>
          </cell>
          <cell r="AM25" t="str">
            <v/>
          </cell>
          <cell r="AN25"/>
          <cell r="AO25"/>
          <cell r="AP25" t="str">
            <v/>
          </cell>
          <cell r="AQ25" t="str">
            <v/>
          </cell>
          <cell r="AR25">
            <v>0</v>
          </cell>
          <cell r="AS25" t="str">
            <v/>
          </cell>
          <cell r="AT25" t="str">
            <v/>
          </cell>
          <cell r="AU25" t="str">
            <v/>
          </cell>
        </row>
        <row r="26">
          <cell r="B26">
            <v>39387</v>
          </cell>
          <cell r="C26" t="str">
            <v/>
          </cell>
          <cell r="D26" t="str">
            <v/>
          </cell>
          <cell r="E26" t="str">
            <v/>
          </cell>
          <cell r="F26" t="str">
            <v/>
          </cell>
          <cell r="G26"/>
          <cell r="H26"/>
          <cell r="I26" t="e">
            <v>#DIV/0!</v>
          </cell>
          <cell r="J26" t="e">
            <v>#DIV/0!</v>
          </cell>
          <cell r="K26" t="e">
            <v>#DIV/0!</v>
          </cell>
          <cell r="L26" t="e">
            <v>#DIV/0!</v>
          </cell>
          <cell r="M26">
            <v>0.06</v>
          </cell>
          <cell r="N26">
            <v>0.02</v>
          </cell>
          <cell r="O26" t="str">
            <v/>
          </cell>
          <cell r="P26" t="str">
            <v/>
          </cell>
          <cell r="Q26" t="str">
            <v/>
          </cell>
          <cell r="R26" t="str">
            <v/>
          </cell>
          <cell r="S26"/>
          <cell r="T26"/>
          <cell r="U26" t="e">
            <v>#DIV/0!</v>
          </cell>
          <cell r="V26" t="e">
            <v>#DIV/0!</v>
          </cell>
          <cell r="W26" t="e">
            <v>#DIV/0!</v>
          </cell>
          <cell r="X26" t="e">
            <v>#DIV/0!</v>
          </cell>
          <cell r="Y26" t="e">
            <v>#REF!</v>
          </cell>
          <cell r="Z26" t="e">
            <v>#REF!</v>
          </cell>
          <cell r="AA26"/>
          <cell r="AB26">
            <v>39387</v>
          </cell>
          <cell r="AC26"/>
          <cell r="AD26" t="str">
            <v/>
          </cell>
          <cell r="AE26" t="str">
            <v/>
          </cell>
          <cell r="AF26" t="str">
            <v/>
          </cell>
          <cell r="AG26" t="str">
            <v/>
          </cell>
          <cell r="AH26" t="str">
            <v/>
          </cell>
          <cell r="AI26" t="str">
            <v/>
          </cell>
          <cell r="AJ26"/>
          <cell r="AK26"/>
          <cell r="AL26" t="str">
            <v/>
          </cell>
          <cell r="AM26" t="str">
            <v/>
          </cell>
          <cell r="AN26"/>
          <cell r="AO26"/>
          <cell r="AP26" t="str">
            <v/>
          </cell>
          <cell r="AQ26" t="str">
            <v/>
          </cell>
          <cell r="AR26">
            <v>0</v>
          </cell>
          <cell r="AS26" t="str">
            <v/>
          </cell>
          <cell r="AT26" t="str">
            <v/>
          </cell>
          <cell r="AU26" t="str">
            <v/>
          </cell>
        </row>
        <row r="27">
          <cell r="B27">
            <v>39417</v>
          </cell>
          <cell r="C27" t="str">
            <v/>
          </cell>
          <cell r="D27" t="str">
            <v/>
          </cell>
          <cell r="E27" t="str">
            <v/>
          </cell>
          <cell r="F27" t="str">
            <v/>
          </cell>
          <cell r="G27"/>
          <cell r="H27"/>
          <cell r="I27" t="e">
            <v>#DIV/0!</v>
          </cell>
          <cell r="J27" t="e">
            <v>#DIV/0!</v>
          </cell>
          <cell r="K27" t="e">
            <v>#DIV/0!</v>
          </cell>
          <cell r="L27" t="e">
            <v>#DIV/0!</v>
          </cell>
          <cell r="M27">
            <v>0.06</v>
          </cell>
          <cell r="N27">
            <v>0.02</v>
          </cell>
          <cell r="O27" t="str">
            <v/>
          </cell>
          <cell r="P27" t="str">
            <v/>
          </cell>
          <cell r="Q27" t="str">
            <v/>
          </cell>
          <cell r="R27" t="str">
            <v/>
          </cell>
          <cell r="S27"/>
          <cell r="T27"/>
          <cell r="U27" t="e">
            <v>#DIV/0!</v>
          </cell>
          <cell r="V27" t="e">
            <v>#DIV/0!</v>
          </cell>
          <cell r="W27" t="e">
            <v>#DIV/0!</v>
          </cell>
          <cell r="X27" t="e">
            <v>#DIV/0!</v>
          </cell>
          <cell r="Y27" t="e">
            <v>#REF!</v>
          </cell>
          <cell r="Z27" t="e">
            <v>#REF!</v>
          </cell>
          <cell r="AA27"/>
          <cell r="AB27">
            <v>39417</v>
          </cell>
          <cell r="AC27"/>
          <cell r="AD27" t="str">
            <v/>
          </cell>
          <cell r="AE27" t="str">
            <v/>
          </cell>
          <cell r="AF27" t="str">
            <v/>
          </cell>
          <cell r="AG27" t="str">
            <v/>
          </cell>
          <cell r="AH27" t="str">
            <v/>
          </cell>
          <cell r="AI27" t="str">
            <v/>
          </cell>
          <cell r="AJ27"/>
          <cell r="AK27"/>
          <cell r="AL27" t="str">
            <v/>
          </cell>
          <cell r="AM27" t="str">
            <v/>
          </cell>
          <cell r="AN27"/>
          <cell r="AO27"/>
          <cell r="AP27" t="str">
            <v/>
          </cell>
          <cell r="AQ27" t="str">
            <v/>
          </cell>
          <cell r="AR27">
            <v>0</v>
          </cell>
          <cell r="AS27" t="str">
            <v/>
          </cell>
          <cell r="AT27" t="str">
            <v/>
          </cell>
          <cell r="AU27" t="str">
            <v/>
          </cell>
        </row>
        <row r="28">
          <cell r="B28">
            <v>39448</v>
          </cell>
          <cell r="C28" t="str">
            <v/>
          </cell>
          <cell r="D28" t="str">
            <v/>
          </cell>
          <cell r="E28" t="str">
            <v/>
          </cell>
          <cell r="F28" t="str">
            <v/>
          </cell>
          <cell r="G28"/>
          <cell r="H28"/>
          <cell r="I28" t="e">
            <v>#DIV/0!</v>
          </cell>
          <cell r="J28" t="e">
            <v>#DIV/0!</v>
          </cell>
          <cell r="K28" t="e">
            <v>#DIV/0!</v>
          </cell>
          <cell r="L28" t="e">
            <v>#DIV/0!</v>
          </cell>
          <cell r="M28">
            <v>0.06</v>
          </cell>
          <cell r="N28">
            <v>0.02</v>
          </cell>
          <cell r="O28" t="str">
            <v/>
          </cell>
          <cell r="P28" t="str">
            <v/>
          </cell>
          <cell r="Q28" t="str">
            <v/>
          </cell>
          <cell r="R28" t="str">
            <v/>
          </cell>
          <cell r="S28"/>
          <cell r="T28"/>
          <cell r="U28" t="e">
            <v>#DIV/0!</v>
          </cell>
          <cell r="V28" t="e">
            <v>#DIV/0!</v>
          </cell>
          <cell r="W28" t="e">
            <v>#DIV/0!</v>
          </cell>
          <cell r="X28" t="e">
            <v>#DIV/0!</v>
          </cell>
          <cell r="Y28" t="e">
            <v>#REF!</v>
          </cell>
          <cell r="Z28" t="e">
            <v>#REF!</v>
          </cell>
          <cell r="AA28"/>
          <cell r="AB28">
            <v>39448</v>
          </cell>
          <cell r="AC28">
            <v>0</v>
          </cell>
          <cell r="AD28" t="str">
            <v/>
          </cell>
          <cell r="AE28" t="str">
            <v/>
          </cell>
          <cell r="AF28" t="str">
            <v/>
          </cell>
          <cell r="AG28" t="str">
            <v/>
          </cell>
          <cell r="AH28" t="str">
            <v/>
          </cell>
          <cell r="AI28" t="str">
            <v/>
          </cell>
          <cell r="AJ28"/>
          <cell r="AK28" t="str">
            <v/>
          </cell>
          <cell r="AL28" t="str">
            <v/>
          </cell>
          <cell r="AM28" t="str">
            <v/>
          </cell>
          <cell r="AN28" t="str">
            <v/>
          </cell>
          <cell r="AO28" t="str">
            <v/>
          </cell>
          <cell r="AP28" t="str">
            <v/>
          </cell>
          <cell r="AQ28" t="str">
            <v/>
          </cell>
          <cell r="AR28">
            <v>0</v>
          </cell>
          <cell r="AS28" t="str">
            <v/>
          </cell>
          <cell r="AT28" t="str">
            <v/>
          </cell>
          <cell r="AU28" t="str">
            <v/>
          </cell>
        </row>
        <row r="29">
          <cell r="B29">
            <v>39479</v>
          </cell>
          <cell r="C29" t="str">
            <v/>
          </cell>
          <cell r="D29" t="str">
            <v/>
          </cell>
          <cell r="E29" t="str">
            <v/>
          </cell>
          <cell r="F29" t="str">
            <v/>
          </cell>
          <cell r="G29"/>
          <cell r="H29"/>
          <cell r="I29" t="e">
            <v>#DIV/0!</v>
          </cell>
          <cell r="J29" t="e">
            <v>#DIV/0!</v>
          </cell>
          <cell r="K29" t="e">
            <v>#DIV/0!</v>
          </cell>
          <cell r="L29" t="e">
            <v>#DIV/0!</v>
          </cell>
          <cell r="M29">
            <v>0.06</v>
          </cell>
          <cell r="N29">
            <v>0.02</v>
          </cell>
          <cell r="O29" t="str">
            <v/>
          </cell>
          <cell r="P29" t="str">
            <v/>
          </cell>
          <cell r="Q29" t="str">
            <v/>
          </cell>
          <cell r="R29" t="str">
            <v/>
          </cell>
          <cell r="S29"/>
          <cell r="T29"/>
          <cell r="U29" t="e">
            <v>#DIV/0!</v>
          </cell>
          <cell r="V29" t="e">
            <v>#DIV/0!</v>
          </cell>
          <cell r="W29" t="e">
            <v>#DIV/0!</v>
          </cell>
          <cell r="X29" t="e">
            <v>#DIV/0!</v>
          </cell>
          <cell r="Y29" t="e">
            <v>#REF!</v>
          </cell>
          <cell r="Z29" t="e">
            <v>#REF!</v>
          </cell>
          <cell r="AA29"/>
          <cell r="AB29">
            <v>39479</v>
          </cell>
          <cell r="AC29" t="str">
            <v/>
          </cell>
          <cell r="AD29" t="str">
            <v/>
          </cell>
          <cell r="AE29" t="str">
            <v/>
          </cell>
          <cell r="AF29" t="str">
            <v/>
          </cell>
          <cell r="AG29" t="str">
            <v/>
          </cell>
          <cell r="AH29" t="str">
            <v/>
          </cell>
          <cell r="AI29" t="str">
            <v/>
          </cell>
          <cell r="AJ29"/>
          <cell r="AK29" t="str">
            <v/>
          </cell>
          <cell r="AL29" t="str">
            <v/>
          </cell>
          <cell r="AM29" t="str">
            <v/>
          </cell>
          <cell r="AN29" t="str">
            <v/>
          </cell>
          <cell r="AO29" t="str">
            <v/>
          </cell>
          <cell r="AP29" t="str">
            <v/>
          </cell>
          <cell r="AQ29" t="str">
            <v/>
          </cell>
          <cell r="AR29">
            <v>0</v>
          </cell>
          <cell r="AS29" t="str">
            <v/>
          </cell>
          <cell r="AT29" t="str">
            <v/>
          </cell>
          <cell r="AU29" t="str">
            <v/>
          </cell>
        </row>
        <row r="30">
          <cell r="B30">
            <v>39508</v>
          </cell>
          <cell r="C30" t="str">
            <v/>
          </cell>
          <cell r="D30" t="str">
            <v/>
          </cell>
          <cell r="E30" t="str">
            <v/>
          </cell>
          <cell r="F30" t="str">
            <v/>
          </cell>
          <cell r="G30"/>
          <cell r="H30"/>
          <cell r="I30" t="e">
            <v>#DIV/0!</v>
          </cell>
          <cell r="J30" t="e">
            <v>#DIV/0!</v>
          </cell>
          <cell r="K30" t="e">
            <v>#DIV/0!</v>
          </cell>
          <cell r="L30" t="e">
            <v>#DIV/0!</v>
          </cell>
          <cell r="M30">
            <v>0.06</v>
          </cell>
          <cell r="N30">
            <v>0.02</v>
          </cell>
          <cell r="O30" t="str">
            <v/>
          </cell>
          <cell r="P30" t="str">
            <v/>
          </cell>
          <cell r="Q30" t="str">
            <v/>
          </cell>
          <cell r="R30" t="str">
            <v/>
          </cell>
          <cell r="S30"/>
          <cell r="T30"/>
          <cell r="U30" t="e">
            <v>#DIV/0!</v>
          </cell>
          <cell r="V30" t="e">
            <v>#DIV/0!</v>
          </cell>
          <cell r="W30" t="e">
            <v>#DIV/0!</v>
          </cell>
          <cell r="X30" t="e">
            <v>#DIV/0!</v>
          </cell>
          <cell r="Y30" t="e">
            <v>#REF!</v>
          </cell>
          <cell r="Z30" t="e">
            <v>#REF!</v>
          </cell>
          <cell r="AA30"/>
          <cell r="AB30">
            <v>39508</v>
          </cell>
          <cell r="AC30" t="str">
            <v/>
          </cell>
          <cell r="AD30" t="str">
            <v/>
          </cell>
          <cell r="AE30" t="str">
            <v/>
          </cell>
          <cell r="AF30" t="str">
            <v/>
          </cell>
          <cell r="AG30" t="str">
            <v/>
          </cell>
          <cell r="AH30" t="str">
            <v/>
          </cell>
          <cell r="AI30" t="str">
            <v/>
          </cell>
          <cell r="AJ30"/>
          <cell r="AK30" t="str">
            <v/>
          </cell>
          <cell r="AL30" t="str">
            <v/>
          </cell>
          <cell r="AM30" t="str">
            <v/>
          </cell>
          <cell r="AN30" t="str">
            <v/>
          </cell>
          <cell r="AO30" t="str">
            <v/>
          </cell>
          <cell r="AP30" t="str">
            <v/>
          </cell>
          <cell r="AQ30" t="str">
            <v/>
          </cell>
          <cell r="AR30">
            <v>0</v>
          </cell>
          <cell r="AS30" t="str">
            <v/>
          </cell>
          <cell r="AT30" t="str">
            <v/>
          </cell>
          <cell r="AU30" t="str">
            <v/>
          </cell>
        </row>
        <row r="31">
          <cell r="B31">
            <v>39539</v>
          </cell>
          <cell r="C31" t="str">
            <v/>
          </cell>
          <cell r="D31" t="str">
            <v/>
          </cell>
          <cell r="E31" t="str">
            <v/>
          </cell>
          <cell r="F31" t="str">
            <v/>
          </cell>
          <cell r="G31"/>
          <cell r="H31"/>
          <cell r="I31" t="e">
            <v>#DIV/0!</v>
          </cell>
          <cell r="J31" t="e">
            <v>#DIV/0!</v>
          </cell>
          <cell r="K31" t="e">
            <v>#DIV/0!</v>
          </cell>
          <cell r="L31" t="e">
            <v>#DIV/0!</v>
          </cell>
          <cell r="M31">
            <v>0.06</v>
          </cell>
          <cell r="N31">
            <v>0.02</v>
          </cell>
          <cell r="O31" t="str">
            <v/>
          </cell>
          <cell r="P31" t="str">
            <v/>
          </cell>
          <cell r="Q31" t="str">
            <v/>
          </cell>
          <cell r="R31" t="str">
            <v/>
          </cell>
          <cell r="S31"/>
          <cell r="T31"/>
          <cell r="U31" t="e">
            <v>#DIV/0!</v>
          </cell>
          <cell r="V31" t="e">
            <v>#DIV/0!</v>
          </cell>
          <cell r="W31" t="e">
            <v>#DIV/0!</v>
          </cell>
          <cell r="X31" t="e">
            <v>#DIV/0!</v>
          </cell>
          <cell r="Y31" t="e">
            <v>#REF!</v>
          </cell>
          <cell r="Z31" t="e">
            <v>#REF!</v>
          </cell>
          <cell r="AA31"/>
          <cell r="AB31">
            <v>39539</v>
          </cell>
          <cell r="AC31" t="str">
            <v/>
          </cell>
          <cell r="AD31" t="str">
            <v/>
          </cell>
          <cell r="AE31" t="str">
            <v/>
          </cell>
          <cell r="AF31" t="str">
            <v/>
          </cell>
          <cell r="AG31" t="str">
            <v/>
          </cell>
          <cell r="AH31" t="str">
            <v/>
          </cell>
          <cell r="AI31" t="str">
            <v/>
          </cell>
          <cell r="AJ31"/>
          <cell r="AK31" t="str">
            <v/>
          </cell>
          <cell r="AL31" t="str">
            <v/>
          </cell>
          <cell r="AM31" t="str">
            <v/>
          </cell>
          <cell r="AN31" t="str">
            <v/>
          </cell>
          <cell r="AO31" t="str">
            <v/>
          </cell>
          <cell r="AP31" t="str">
            <v/>
          </cell>
          <cell r="AQ31" t="str">
            <v/>
          </cell>
          <cell r="AR31">
            <v>0</v>
          </cell>
          <cell r="AS31" t="str">
            <v/>
          </cell>
          <cell r="AT31" t="str">
            <v/>
          </cell>
          <cell r="AU31" t="str">
            <v/>
          </cell>
        </row>
        <row r="32">
          <cell r="B32">
            <v>39569</v>
          </cell>
          <cell r="C32" t="str">
            <v/>
          </cell>
          <cell r="D32" t="str">
            <v/>
          </cell>
          <cell r="E32" t="str">
            <v/>
          </cell>
          <cell r="F32" t="str">
            <v/>
          </cell>
          <cell r="G32"/>
          <cell r="H32"/>
          <cell r="I32" t="e">
            <v>#DIV/0!</v>
          </cell>
          <cell r="J32" t="e">
            <v>#DIV/0!</v>
          </cell>
          <cell r="K32" t="e">
            <v>#DIV/0!</v>
          </cell>
          <cell r="L32" t="e">
            <v>#DIV/0!</v>
          </cell>
          <cell r="M32" t="e">
            <v>#N/A</v>
          </cell>
          <cell r="N32" t="e">
            <v>#N/A</v>
          </cell>
          <cell r="O32" t="str">
            <v/>
          </cell>
          <cell r="P32" t="str">
            <v/>
          </cell>
          <cell r="Q32" t="str">
            <v/>
          </cell>
          <cell r="R32" t="str">
            <v/>
          </cell>
          <cell r="S32"/>
          <cell r="T32"/>
          <cell r="U32" t="e">
            <v>#DIV/0!</v>
          </cell>
          <cell r="V32" t="e">
            <v>#DIV/0!</v>
          </cell>
          <cell r="W32" t="e">
            <v>#DIV/0!</v>
          </cell>
          <cell r="X32" t="e">
            <v>#DIV/0!</v>
          </cell>
          <cell r="Y32" t="e">
            <v>#REF!</v>
          </cell>
          <cell r="Z32" t="e">
            <v>#REF!</v>
          </cell>
          <cell r="AA32"/>
          <cell r="AB32">
            <v>39569</v>
          </cell>
          <cell r="AC32" t="str">
            <v/>
          </cell>
          <cell r="AD32" t="str">
            <v/>
          </cell>
          <cell r="AE32" t="str">
            <v/>
          </cell>
          <cell r="AF32" t="str">
            <v/>
          </cell>
          <cell r="AG32" t="str">
            <v/>
          </cell>
          <cell r="AH32" t="str">
            <v/>
          </cell>
          <cell r="AI32" t="str">
            <v/>
          </cell>
          <cell r="AJ32"/>
          <cell r="AK32" t="str">
            <v/>
          </cell>
          <cell r="AL32" t="str">
            <v/>
          </cell>
          <cell r="AM32" t="str">
            <v/>
          </cell>
          <cell r="AN32" t="str">
            <v/>
          </cell>
          <cell r="AO32" t="str">
            <v/>
          </cell>
          <cell r="AP32" t="str">
            <v/>
          </cell>
          <cell r="AQ32" t="str">
            <v/>
          </cell>
          <cell r="AR32">
            <v>0</v>
          </cell>
          <cell r="AS32" t="str">
            <v/>
          </cell>
          <cell r="AT32" t="str">
            <v/>
          </cell>
          <cell r="AU32" t="str">
            <v/>
          </cell>
        </row>
        <row r="33">
          <cell r="B33">
            <v>39600</v>
          </cell>
          <cell r="C33" t="str">
            <v/>
          </cell>
          <cell r="D33" t="str">
            <v/>
          </cell>
          <cell r="E33" t="str">
            <v/>
          </cell>
          <cell r="F33" t="str">
            <v/>
          </cell>
          <cell r="G33"/>
          <cell r="H33"/>
          <cell r="I33" t="e">
            <v>#DIV/0!</v>
          </cell>
          <cell r="J33" t="e">
            <v>#DIV/0!</v>
          </cell>
          <cell r="K33" t="e">
            <v>#DIV/0!</v>
          </cell>
          <cell r="L33" t="e">
            <v>#DIV/0!</v>
          </cell>
          <cell r="M33" t="e">
            <v>#N/A</v>
          </cell>
          <cell r="N33" t="e">
            <v>#N/A</v>
          </cell>
          <cell r="O33" t="str">
            <v/>
          </cell>
          <cell r="P33" t="str">
            <v/>
          </cell>
          <cell r="Q33" t="str">
            <v/>
          </cell>
          <cell r="R33" t="str">
            <v/>
          </cell>
          <cell r="S33"/>
          <cell r="T33"/>
          <cell r="U33" t="e">
            <v>#DIV/0!</v>
          </cell>
          <cell r="V33" t="e">
            <v>#DIV/0!</v>
          </cell>
          <cell r="W33" t="e">
            <v>#DIV/0!</v>
          </cell>
          <cell r="X33" t="e">
            <v>#DIV/0!</v>
          </cell>
          <cell r="Y33" t="e">
            <v>#REF!</v>
          </cell>
          <cell r="Z33" t="e">
            <v>#REF!</v>
          </cell>
          <cell r="AA33"/>
          <cell r="AB33">
            <v>39600</v>
          </cell>
          <cell r="AC33" t="str">
            <v/>
          </cell>
          <cell r="AD33" t="str">
            <v/>
          </cell>
          <cell r="AE33" t="str">
            <v/>
          </cell>
          <cell r="AF33" t="str">
            <v/>
          </cell>
          <cell r="AG33" t="str">
            <v/>
          </cell>
          <cell r="AH33" t="str">
            <v/>
          </cell>
          <cell r="AI33" t="str">
            <v/>
          </cell>
          <cell r="AJ33"/>
          <cell r="AK33" t="str">
            <v/>
          </cell>
          <cell r="AL33" t="str">
            <v/>
          </cell>
          <cell r="AM33" t="str">
            <v/>
          </cell>
          <cell r="AN33" t="str">
            <v/>
          </cell>
          <cell r="AO33" t="str">
            <v/>
          </cell>
          <cell r="AP33" t="str">
            <v/>
          </cell>
          <cell r="AQ33" t="str">
            <v/>
          </cell>
          <cell r="AR33">
            <v>0</v>
          </cell>
          <cell r="AS33" t="str">
            <v/>
          </cell>
          <cell r="AT33" t="str">
            <v/>
          </cell>
          <cell r="AU33" t="str">
            <v/>
          </cell>
        </row>
        <row r="34">
          <cell r="B34">
            <v>39630</v>
          </cell>
          <cell r="C34" t="str">
            <v/>
          </cell>
          <cell r="D34" t="str">
            <v/>
          </cell>
          <cell r="E34" t="str">
            <v/>
          </cell>
          <cell r="F34" t="str">
            <v/>
          </cell>
          <cell r="G34"/>
          <cell r="H34"/>
          <cell r="I34" t="e">
            <v>#DIV/0!</v>
          </cell>
          <cell r="J34" t="e">
            <v>#DIV/0!</v>
          </cell>
          <cell r="K34" t="e">
            <v>#DIV/0!</v>
          </cell>
          <cell r="L34" t="e">
            <v>#DIV/0!</v>
          </cell>
          <cell r="M34" t="e">
            <v>#N/A</v>
          </cell>
          <cell r="N34" t="e">
            <v>#N/A</v>
          </cell>
          <cell r="O34" t="str">
            <v/>
          </cell>
          <cell r="P34" t="str">
            <v/>
          </cell>
          <cell r="Q34" t="str">
            <v/>
          </cell>
          <cell r="R34" t="str">
            <v/>
          </cell>
          <cell r="S34"/>
          <cell r="T34"/>
          <cell r="U34" t="e">
            <v>#DIV/0!</v>
          </cell>
          <cell r="V34" t="e">
            <v>#DIV/0!</v>
          </cell>
          <cell r="W34" t="e">
            <v>#DIV/0!</v>
          </cell>
          <cell r="X34" t="e">
            <v>#DIV/0!</v>
          </cell>
          <cell r="Y34" t="e">
            <v>#REF!</v>
          </cell>
          <cell r="Z34" t="e">
            <v>#REF!</v>
          </cell>
          <cell r="AA34"/>
          <cell r="AB34">
            <v>39630</v>
          </cell>
          <cell r="AC34" t="str">
            <v/>
          </cell>
          <cell r="AD34" t="str">
            <v/>
          </cell>
          <cell r="AE34" t="str">
            <v/>
          </cell>
          <cell r="AF34" t="str">
            <v/>
          </cell>
          <cell r="AG34" t="str">
            <v/>
          </cell>
          <cell r="AH34" t="str">
            <v/>
          </cell>
          <cell r="AI34" t="str">
            <v/>
          </cell>
          <cell r="AJ34"/>
          <cell r="AK34" t="str">
            <v/>
          </cell>
          <cell r="AL34" t="str">
            <v/>
          </cell>
          <cell r="AM34" t="str">
            <v/>
          </cell>
          <cell r="AN34" t="str">
            <v/>
          </cell>
          <cell r="AO34" t="str">
            <v/>
          </cell>
          <cell r="AP34" t="str">
            <v/>
          </cell>
          <cell r="AQ34" t="str">
            <v/>
          </cell>
          <cell r="AR34">
            <v>0</v>
          </cell>
          <cell r="AS34" t="str">
            <v/>
          </cell>
          <cell r="AT34" t="str">
            <v/>
          </cell>
          <cell r="AU34" t="str">
            <v/>
          </cell>
        </row>
        <row r="35">
          <cell r="B35">
            <v>39661</v>
          </cell>
          <cell r="C35" t="str">
            <v/>
          </cell>
          <cell r="D35" t="str">
            <v/>
          </cell>
          <cell r="E35" t="str">
            <v/>
          </cell>
          <cell r="F35" t="str">
            <v/>
          </cell>
          <cell r="G35"/>
          <cell r="H35"/>
          <cell r="I35" t="e">
            <v>#DIV/0!</v>
          </cell>
          <cell r="J35" t="e">
            <v>#DIV/0!</v>
          </cell>
          <cell r="K35" t="e">
            <v>#DIV/0!</v>
          </cell>
          <cell r="L35" t="e">
            <v>#DIV/0!</v>
          </cell>
          <cell r="M35" t="e">
            <v>#N/A</v>
          </cell>
          <cell r="N35" t="e">
            <v>#N/A</v>
          </cell>
          <cell r="O35" t="str">
            <v/>
          </cell>
          <cell r="P35" t="str">
            <v/>
          </cell>
          <cell r="Q35" t="str">
            <v/>
          </cell>
          <cell r="R35" t="str">
            <v/>
          </cell>
          <cell r="S35"/>
          <cell r="T35"/>
          <cell r="U35" t="e">
            <v>#DIV/0!</v>
          </cell>
          <cell r="V35" t="e">
            <v>#DIV/0!</v>
          </cell>
          <cell r="W35" t="e">
            <v>#DIV/0!</v>
          </cell>
          <cell r="X35" t="e">
            <v>#DIV/0!</v>
          </cell>
          <cell r="Y35" t="e">
            <v>#REF!</v>
          </cell>
          <cell r="Z35" t="e">
            <v>#REF!</v>
          </cell>
          <cell r="AA35"/>
          <cell r="AB35">
            <v>39661</v>
          </cell>
          <cell r="AC35" t="str">
            <v/>
          </cell>
          <cell r="AD35" t="str">
            <v/>
          </cell>
          <cell r="AE35" t="str">
            <v/>
          </cell>
          <cell r="AF35" t="str">
            <v/>
          </cell>
          <cell r="AG35" t="str">
            <v/>
          </cell>
          <cell r="AH35" t="str">
            <v/>
          </cell>
          <cell r="AI35" t="str">
            <v/>
          </cell>
          <cell r="AJ35"/>
          <cell r="AK35" t="str">
            <v/>
          </cell>
          <cell r="AL35" t="str">
            <v/>
          </cell>
          <cell r="AM35" t="str">
            <v/>
          </cell>
          <cell r="AN35" t="str">
            <v/>
          </cell>
          <cell r="AO35" t="str">
            <v/>
          </cell>
          <cell r="AP35" t="str">
            <v/>
          </cell>
          <cell r="AQ35" t="str">
            <v/>
          </cell>
          <cell r="AR35">
            <v>0</v>
          </cell>
          <cell r="AS35" t="str">
            <v/>
          </cell>
          <cell r="AT35" t="str">
            <v/>
          </cell>
          <cell r="AU35" t="str">
            <v/>
          </cell>
        </row>
        <row r="36">
          <cell r="B36">
            <v>39692</v>
          </cell>
          <cell r="C36" t="str">
            <v/>
          </cell>
          <cell r="D36" t="str">
            <v/>
          </cell>
          <cell r="E36" t="str">
            <v/>
          </cell>
          <cell r="F36" t="str">
            <v/>
          </cell>
          <cell r="G36"/>
          <cell r="H36"/>
          <cell r="I36" t="e">
            <v>#DIV/0!</v>
          </cell>
          <cell r="J36" t="e">
            <v>#DIV/0!</v>
          </cell>
          <cell r="K36" t="e">
            <v>#DIV/0!</v>
          </cell>
          <cell r="L36" t="e">
            <v>#DIV/0!</v>
          </cell>
          <cell r="M36" t="e">
            <v>#N/A</v>
          </cell>
          <cell r="N36" t="e">
            <v>#N/A</v>
          </cell>
          <cell r="O36" t="str">
            <v/>
          </cell>
          <cell r="P36" t="str">
            <v/>
          </cell>
          <cell r="Q36" t="str">
            <v/>
          </cell>
          <cell r="R36" t="str">
            <v/>
          </cell>
          <cell r="S36"/>
          <cell r="T36"/>
          <cell r="U36" t="e">
            <v>#DIV/0!</v>
          </cell>
          <cell r="V36" t="e">
            <v>#DIV/0!</v>
          </cell>
          <cell r="W36" t="e">
            <v>#DIV/0!</v>
          </cell>
          <cell r="X36" t="e">
            <v>#DIV/0!</v>
          </cell>
          <cell r="Y36" t="e">
            <v>#REF!</v>
          </cell>
          <cell r="Z36" t="e">
            <v>#REF!</v>
          </cell>
          <cell r="AA36"/>
          <cell r="AB36">
            <v>39692</v>
          </cell>
          <cell r="AC36" t="str">
            <v/>
          </cell>
          <cell r="AD36" t="str">
            <v/>
          </cell>
          <cell r="AE36" t="str">
            <v/>
          </cell>
          <cell r="AF36" t="str">
            <v/>
          </cell>
          <cell r="AG36" t="str">
            <v/>
          </cell>
          <cell r="AH36" t="str">
            <v/>
          </cell>
          <cell r="AI36" t="str">
            <v/>
          </cell>
          <cell r="AJ36"/>
          <cell r="AK36" t="str">
            <v/>
          </cell>
          <cell r="AL36" t="str">
            <v/>
          </cell>
          <cell r="AM36" t="str">
            <v/>
          </cell>
          <cell r="AN36" t="str">
            <v/>
          </cell>
          <cell r="AO36" t="str">
            <v/>
          </cell>
          <cell r="AP36" t="str">
            <v/>
          </cell>
          <cell r="AQ36" t="str">
            <v/>
          </cell>
          <cell r="AR36">
            <v>0</v>
          </cell>
          <cell r="AS36" t="str">
            <v/>
          </cell>
          <cell r="AT36" t="str">
            <v/>
          </cell>
          <cell r="AU36" t="str">
            <v/>
          </cell>
        </row>
        <row r="37">
          <cell r="B37">
            <v>39722</v>
          </cell>
          <cell r="C37" t="str">
            <v/>
          </cell>
          <cell r="D37" t="str">
            <v/>
          </cell>
          <cell r="E37" t="str">
            <v/>
          </cell>
          <cell r="F37" t="str">
            <v/>
          </cell>
          <cell r="G37"/>
          <cell r="H37"/>
          <cell r="I37" t="e">
            <v>#DIV/0!</v>
          </cell>
          <cell r="J37" t="e">
            <v>#DIV/0!</v>
          </cell>
          <cell r="K37" t="e">
            <v>#DIV/0!</v>
          </cell>
          <cell r="L37" t="e">
            <v>#DIV/0!</v>
          </cell>
          <cell r="M37" t="e">
            <v>#N/A</v>
          </cell>
          <cell r="N37" t="e">
            <v>#N/A</v>
          </cell>
          <cell r="O37" t="str">
            <v/>
          </cell>
          <cell r="P37" t="str">
            <v/>
          </cell>
          <cell r="Q37" t="str">
            <v/>
          </cell>
          <cell r="R37" t="str">
            <v/>
          </cell>
          <cell r="S37"/>
          <cell r="T37"/>
          <cell r="U37" t="e">
            <v>#DIV/0!</v>
          </cell>
          <cell r="V37" t="e">
            <v>#DIV/0!</v>
          </cell>
          <cell r="W37" t="e">
            <v>#DIV/0!</v>
          </cell>
          <cell r="X37" t="e">
            <v>#DIV/0!</v>
          </cell>
          <cell r="Y37" t="e">
            <v>#REF!</v>
          </cell>
          <cell r="Z37" t="e">
            <v>#REF!</v>
          </cell>
          <cell r="AA37"/>
          <cell r="AB37">
            <v>39722</v>
          </cell>
          <cell r="AC37" t="str">
            <v/>
          </cell>
          <cell r="AD37" t="str">
            <v/>
          </cell>
          <cell r="AE37" t="str">
            <v/>
          </cell>
          <cell r="AF37" t="str">
            <v/>
          </cell>
          <cell r="AG37" t="str">
            <v/>
          </cell>
          <cell r="AH37" t="str">
            <v/>
          </cell>
          <cell r="AI37" t="str">
            <v/>
          </cell>
          <cell r="AJ37"/>
          <cell r="AK37" t="str">
            <v/>
          </cell>
          <cell r="AL37" t="str">
            <v/>
          </cell>
          <cell r="AM37" t="str">
            <v/>
          </cell>
          <cell r="AN37" t="str">
            <v/>
          </cell>
          <cell r="AO37" t="str">
            <v/>
          </cell>
          <cell r="AP37" t="str">
            <v/>
          </cell>
          <cell r="AQ37" t="str">
            <v/>
          </cell>
          <cell r="AR37">
            <v>0</v>
          </cell>
          <cell r="AS37" t="str">
            <v/>
          </cell>
          <cell r="AT37" t="str">
            <v/>
          </cell>
          <cell r="AU37" t="str">
            <v/>
          </cell>
        </row>
        <row r="38">
          <cell r="B38">
            <v>39753</v>
          </cell>
          <cell r="C38" t="str">
            <v/>
          </cell>
          <cell r="D38" t="str">
            <v/>
          </cell>
          <cell r="E38" t="str">
            <v/>
          </cell>
          <cell r="F38" t="str">
            <v/>
          </cell>
          <cell r="G38"/>
          <cell r="H38"/>
          <cell r="I38" t="e">
            <v>#DIV/0!</v>
          </cell>
          <cell r="J38" t="e">
            <v>#DIV/0!</v>
          </cell>
          <cell r="K38" t="e">
            <v>#DIV/0!</v>
          </cell>
          <cell r="L38" t="e">
            <v>#DIV/0!</v>
          </cell>
          <cell r="M38" t="e">
            <v>#N/A</v>
          </cell>
          <cell r="N38" t="e">
            <v>#N/A</v>
          </cell>
          <cell r="O38" t="str">
            <v/>
          </cell>
          <cell r="P38" t="str">
            <v/>
          </cell>
          <cell r="Q38" t="str">
            <v/>
          </cell>
          <cell r="R38" t="str">
            <v/>
          </cell>
          <cell r="S38"/>
          <cell r="T38"/>
          <cell r="U38" t="e">
            <v>#DIV/0!</v>
          </cell>
          <cell r="V38" t="e">
            <v>#DIV/0!</v>
          </cell>
          <cell r="W38" t="e">
            <v>#DIV/0!</v>
          </cell>
          <cell r="X38" t="e">
            <v>#DIV/0!</v>
          </cell>
          <cell r="Y38" t="e">
            <v>#REF!</v>
          </cell>
          <cell r="Z38" t="e">
            <v>#REF!</v>
          </cell>
          <cell r="AA38"/>
          <cell r="AB38">
            <v>39753</v>
          </cell>
          <cell r="AC38" t="str">
            <v/>
          </cell>
          <cell r="AD38" t="str">
            <v/>
          </cell>
          <cell r="AE38" t="str">
            <v/>
          </cell>
          <cell r="AF38" t="str">
            <v/>
          </cell>
          <cell r="AG38" t="str">
            <v/>
          </cell>
          <cell r="AH38" t="str">
            <v/>
          </cell>
          <cell r="AI38" t="str">
            <v/>
          </cell>
          <cell r="AJ38"/>
          <cell r="AK38" t="str">
            <v/>
          </cell>
          <cell r="AL38" t="str">
            <v/>
          </cell>
          <cell r="AM38" t="str">
            <v/>
          </cell>
          <cell r="AN38" t="str">
            <v/>
          </cell>
          <cell r="AO38" t="str">
            <v/>
          </cell>
          <cell r="AP38" t="str">
            <v/>
          </cell>
          <cell r="AQ38" t="str">
            <v/>
          </cell>
          <cell r="AR38">
            <v>0</v>
          </cell>
          <cell r="AS38" t="str">
            <v/>
          </cell>
          <cell r="AT38" t="str">
            <v/>
          </cell>
          <cell r="AU38" t="str">
            <v/>
          </cell>
        </row>
        <row r="39">
          <cell r="B39">
            <v>39783</v>
          </cell>
          <cell r="C39" t="str">
            <v/>
          </cell>
          <cell r="D39" t="str">
            <v/>
          </cell>
          <cell r="E39" t="str">
            <v/>
          </cell>
          <cell r="F39" t="str">
            <v/>
          </cell>
          <cell r="G39"/>
          <cell r="H39"/>
          <cell r="I39" t="e">
            <v>#DIV/0!</v>
          </cell>
          <cell r="J39" t="e">
            <v>#DIV/0!</v>
          </cell>
          <cell r="K39" t="e">
            <v>#DIV/0!</v>
          </cell>
          <cell r="L39" t="e">
            <v>#DIV/0!</v>
          </cell>
          <cell r="M39" t="e">
            <v>#N/A</v>
          </cell>
          <cell r="N39" t="e">
            <v>#N/A</v>
          </cell>
          <cell r="O39" t="str">
            <v/>
          </cell>
          <cell r="P39" t="str">
            <v/>
          </cell>
          <cell r="Q39" t="str">
            <v/>
          </cell>
          <cell r="R39" t="str">
            <v/>
          </cell>
          <cell r="S39"/>
          <cell r="T39"/>
          <cell r="U39" t="e">
            <v>#DIV/0!</v>
          </cell>
          <cell r="V39" t="e">
            <v>#DIV/0!</v>
          </cell>
          <cell r="W39" t="e">
            <v>#DIV/0!</v>
          </cell>
          <cell r="X39" t="e">
            <v>#DIV/0!</v>
          </cell>
          <cell r="Y39" t="e">
            <v>#REF!</v>
          </cell>
          <cell r="Z39" t="e">
            <v>#REF!</v>
          </cell>
          <cell r="AA39"/>
          <cell r="AB39">
            <v>39783</v>
          </cell>
          <cell r="AC39" t="str">
            <v/>
          </cell>
          <cell r="AD39" t="str">
            <v/>
          </cell>
          <cell r="AE39" t="str">
            <v/>
          </cell>
          <cell r="AF39" t="str">
            <v/>
          </cell>
          <cell r="AG39" t="str">
            <v/>
          </cell>
          <cell r="AH39" t="str">
            <v/>
          </cell>
          <cell r="AI39" t="str">
            <v/>
          </cell>
          <cell r="AJ39"/>
          <cell r="AK39" t="str">
            <v/>
          </cell>
          <cell r="AL39" t="str">
            <v/>
          </cell>
          <cell r="AM39" t="str">
            <v/>
          </cell>
          <cell r="AN39" t="str">
            <v/>
          </cell>
          <cell r="AO39" t="str">
            <v/>
          </cell>
          <cell r="AP39" t="str">
            <v/>
          </cell>
          <cell r="AQ39" t="str">
            <v/>
          </cell>
          <cell r="AR39">
            <v>0</v>
          </cell>
          <cell r="AS39" t="str">
            <v/>
          </cell>
          <cell r="AT39" t="str">
            <v/>
          </cell>
          <cell r="AU39" t="str">
            <v/>
          </cell>
        </row>
        <row r="40">
          <cell r="B40">
            <v>39814</v>
          </cell>
          <cell r="C40" t="str">
            <v/>
          </cell>
          <cell r="D40" t="str">
            <v/>
          </cell>
          <cell r="E40" t="str">
            <v/>
          </cell>
          <cell r="F40" t="str">
            <v/>
          </cell>
          <cell r="G40"/>
          <cell r="H40"/>
          <cell r="I40" t="e">
            <v>#DIV/0!</v>
          </cell>
          <cell r="J40" t="e">
            <v>#DIV/0!</v>
          </cell>
          <cell r="K40" t="e">
            <v>#DIV/0!</v>
          </cell>
          <cell r="L40" t="e">
            <v>#DIV/0!</v>
          </cell>
          <cell r="M40" t="e">
            <v>#N/A</v>
          </cell>
          <cell r="N40" t="e">
            <v>#N/A</v>
          </cell>
          <cell r="O40" t="str">
            <v/>
          </cell>
          <cell r="P40" t="str">
            <v/>
          </cell>
          <cell r="Q40" t="str">
            <v/>
          </cell>
          <cell r="R40" t="str">
            <v/>
          </cell>
          <cell r="S40"/>
          <cell r="T40"/>
          <cell r="U40" t="e">
            <v>#DIV/0!</v>
          </cell>
          <cell r="V40" t="e">
            <v>#DIV/0!</v>
          </cell>
          <cell r="W40" t="e">
            <v>#DIV/0!</v>
          </cell>
          <cell r="X40" t="e">
            <v>#DIV/0!</v>
          </cell>
          <cell r="Y40" t="e">
            <v>#REF!</v>
          </cell>
          <cell r="Z40" t="e">
            <v>#REF!</v>
          </cell>
          <cell r="AA40"/>
          <cell r="AB40">
            <v>39814</v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 t="str">
            <v/>
          </cell>
          <cell r="AJ40"/>
          <cell r="AK40" t="str">
            <v/>
          </cell>
          <cell r="AL40" t="str">
            <v/>
          </cell>
          <cell r="AM40" t="str">
            <v/>
          </cell>
          <cell r="AN40" t="str">
            <v/>
          </cell>
          <cell r="AO40" t="str">
            <v/>
          </cell>
          <cell r="AP40" t="str">
            <v/>
          </cell>
          <cell r="AQ40" t="str">
            <v/>
          </cell>
          <cell r="AR40">
            <v>0</v>
          </cell>
          <cell r="AS40" t="str">
            <v/>
          </cell>
          <cell r="AT40" t="str">
            <v/>
          </cell>
          <cell r="AU40" t="str">
            <v/>
          </cell>
        </row>
        <row r="41">
          <cell r="B41">
            <v>39845</v>
          </cell>
          <cell r="C41" t="str">
            <v/>
          </cell>
          <cell r="D41" t="str">
            <v/>
          </cell>
          <cell r="E41" t="str">
            <v/>
          </cell>
          <cell r="F41" t="str">
            <v/>
          </cell>
          <cell r="G41"/>
          <cell r="H41"/>
          <cell r="I41" t="e">
            <v>#DIV/0!</v>
          </cell>
          <cell r="J41" t="e">
            <v>#DIV/0!</v>
          </cell>
          <cell r="K41" t="e">
            <v>#DIV/0!</v>
          </cell>
          <cell r="L41" t="e">
            <v>#DIV/0!</v>
          </cell>
          <cell r="M41" t="e">
            <v>#N/A</v>
          </cell>
          <cell r="N41" t="e">
            <v>#N/A</v>
          </cell>
          <cell r="O41" t="str">
            <v/>
          </cell>
          <cell r="P41" t="str">
            <v/>
          </cell>
          <cell r="Q41" t="str">
            <v/>
          </cell>
          <cell r="R41" t="str">
            <v/>
          </cell>
          <cell r="S41"/>
          <cell r="T41"/>
          <cell r="U41"/>
          <cell r="V41" t="str">
            <v/>
          </cell>
          <cell r="W41" t="str">
            <v/>
          </cell>
          <cell r="X41" t="str">
            <v/>
          </cell>
          <cell r="Y41"/>
          <cell r="Z41"/>
          <cell r="AA41"/>
          <cell r="AB41">
            <v>39845</v>
          </cell>
          <cell r="AC41" t="str">
            <v/>
          </cell>
          <cell r="AD41" t="str">
            <v/>
          </cell>
          <cell r="AE41" t="str">
            <v/>
          </cell>
          <cell r="AF41" t="str">
            <v/>
          </cell>
          <cell r="AG41" t="str">
            <v/>
          </cell>
          <cell r="AH41" t="str">
            <v/>
          </cell>
          <cell r="AI41" t="str">
            <v/>
          </cell>
          <cell r="AJ41"/>
          <cell r="AK41" t="str">
            <v/>
          </cell>
          <cell r="AL41" t="str">
            <v/>
          </cell>
          <cell r="AM41" t="str">
            <v/>
          </cell>
          <cell r="AN41" t="str">
            <v/>
          </cell>
          <cell r="AO41" t="str">
            <v/>
          </cell>
          <cell r="AP41" t="str">
            <v/>
          </cell>
          <cell r="AQ41" t="str">
            <v/>
          </cell>
          <cell r="AR41">
            <v>0</v>
          </cell>
          <cell r="AS41"/>
          <cell r="AT41" t="str">
            <v/>
          </cell>
          <cell r="AU41" t="str">
            <v/>
          </cell>
        </row>
        <row r="42">
          <cell r="B42">
            <v>39873</v>
          </cell>
          <cell r="C42" t="str">
            <v/>
          </cell>
          <cell r="D42" t="str">
            <v/>
          </cell>
          <cell r="E42" t="str">
            <v/>
          </cell>
          <cell r="F42" t="str">
            <v/>
          </cell>
          <cell r="G42"/>
          <cell r="H42"/>
          <cell r="I42" t="e">
            <v>#DIV/0!</v>
          </cell>
          <cell r="J42" t="e">
            <v>#DIV/0!</v>
          </cell>
          <cell r="K42" t="e">
            <v>#DIV/0!</v>
          </cell>
          <cell r="L42" t="e">
            <v>#DIV/0!</v>
          </cell>
          <cell r="M42" t="e">
            <v>#N/A</v>
          </cell>
          <cell r="N42" t="e">
            <v>#N/A</v>
          </cell>
          <cell r="O42" t="str">
            <v/>
          </cell>
          <cell r="P42" t="str">
            <v/>
          </cell>
          <cell r="Q42" t="str">
            <v/>
          </cell>
          <cell r="R42" t="str">
            <v/>
          </cell>
          <cell r="S42"/>
          <cell r="T42"/>
          <cell r="U42"/>
          <cell r="V42" t="str">
            <v/>
          </cell>
          <cell r="W42" t="str">
            <v/>
          </cell>
          <cell r="X42" t="str">
            <v/>
          </cell>
          <cell r="Y42"/>
          <cell r="Z42"/>
          <cell r="AA42"/>
          <cell r="AB42">
            <v>39873</v>
          </cell>
          <cell r="AC42" t="str">
            <v/>
          </cell>
          <cell r="AD42" t="str">
            <v/>
          </cell>
          <cell r="AE42" t="str">
            <v/>
          </cell>
          <cell r="AF42" t="str">
            <v/>
          </cell>
          <cell r="AG42" t="str">
            <v/>
          </cell>
          <cell r="AH42" t="str">
            <v/>
          </cell>
          <cell r="AI42" t="str">
            <v/>
          </cell>
          <cell r="AJ42"/>
          <cell r="AK42" t="str">
            <v/>
          </cell>
          <cell r="AL42" t="str">
            <v/>
          </cell>
          <cell r="AM42" t="str">
            <v/>
          </cell>
          <cell r="AN42" t="str">
            <v/>
          </cell>
          <cell r="AO42" t="str">
            <v/>
          </cell>
          <cell r="AP42" t="str">
            <v/>
          </cell>
          <cell r="AQ42" t="str">
            <v/>
          </cell>
          <cell r="AR42">
            <v>0</v>
          </cell>
          <cell r="AS42"/>
          <cell r="AT42" t="str">
            <v/>
          </cell>
          <cell r="AU42" t="str">
            <v/>
          </cell>
        </row>
        <row r="43">
          <cell r="B43">
            <v>39904</v>
          </cell>
          <cell r="C43" t="str">
            <v/>
          </cell>
          <cell r="D43" t="str">
            <v/>
          </cell>
          <cell r="E43" t="str">
            <v/>
          </cell>
          <cell r="F43" t="str">
            <v/>
          </cell>
          <cell r="G43"/>
          <cell r="H43"/>
          <cell r="I43" t="e">
            <v>#DIV/0!</v>
          </cell>
          <cell r="J43" t="e">
            <v>#DIV/0!</v>
          </cell>
          <cell r="K43" t="e">
            <v>#DIV/0!</v>
          </cell>
          <cell r="L43" t="e">
            <v>#DIV/0!</v>
          </cell>
          <cell r="M43" t="e">
            <v>#N/A</v>
          </cell>
          <cell r="N43" t="e">
            <v>#N/A</v>
          </cell>
          <cell r="O43" t="str">
            <v/>
          </cell>
          <cell r="P43" t="str">
            <v/>
          </cell>
          <cell r="Q43" t="str">
            <v/>
          </cell>
          <cell r="R43" t="str">
            <v/>
          </cell>
          <cell r="S43"/>
          <cell r="T43"/>
          <cell r="U43"/>
          <cell r="V43" t="str">
            <v/>
          </cell>
          <cell r="W43" t="str">
            <v/>
          </cell>
          <cell r="X43" t="str">
            <v/>
          </cell>
          <cell r="Y43"/>
          <cell r="Z43"/>
          <cell r="AA43"/>
          <cell r="AB43">
            <v>39904</v>
          </cell>
          <cell r="AC43" t="str">
            <v/>
          </cell>
          <cell r="AD43" t="str">
            <v/>
          </cell>
          <cell r="AE43" t="str">
            <v/>
          </cell>
          <cell r="AF43" t="str">
            <v/>
          </cell>
          <cell r="AG43" t="str">
            <v/>
          </cell>
          <cell r="AH43" t="str">
            <v/>
          </cell>
          <cell r="AI43" t="str">
            <v/>
          </cell>
          <cell r="AJ43"/>
          <cell r="AK43" t="str">
            <v/>
          </cell>
          <cell r="AL43" t="str">
            <v/>
          </cell>
          <cell r="AM43" t="str">
            <v/>
          </cell>
          <cell r="AN43" t="str">
            <v/>
          </cell>
          <cell r="AO43" t="str">
            <v/>
          </cell>
          <cell r="AP43" t="str">
            <v/>
          </cell>
          <cell r="AQ43" t="str">
            <v/>
          </cell>
          <cell r="AR43">
            <v>0</v>
          </cell>
          <cell r="AS43"/>
          <cell r="AT43" t="str">
            <v/>
          </cell>
          <cell r="AU43" t="str">
            <v/>
          </cell>
        </row>
        <row r="44">
          <cell r="B44">
            <v>39934</v>
          </cell>
          <cell r="C44" t="str">
            <v/>
          </cell>
          <cell r="D44" t="str">
            <v/>
          </cell>
          <cell r="E44" t="str">
            <v/>
          </cell>
          <cell r="F44" t="str">
            <v/>
          </cell>
          <cell r="G44"/>
          <cell r="H44"/>
          <cell r="I44" t="e">
            <v>#DIV/0!</v>
          </cell>
          <cell r="J44" t="e">
            <v>#DIV/0!</v>
          </cell>
          <cell r="K44" t="e">
            <v>#DIV/0!</v>
          </cell>
          <cell r="L44" t="e">
            <v>#DIV/0!</v>
          </cell>
          <cell r="M44" t="e">
            <v>#N/A</v>
          </cell>
          <cell r="N44" t="e">
            <v>#N/A</v>
          </cell>
          <cell r="O44" t="str">
            <v/>
          </cell>
          <cell r="P44" t="str">
            <v/>
          </cell>
          <cell r="Q44" t="str">
            <v/>
          </cell>
          <cell r="R44" t="str">
            <v/>
          </cell>
          <cell r="S44"/>
          <cell r="T44"/>
          <cell r="U44"/>
          <cell r="V44" t="str">
            <v/>
          </cell>
          <cell r="W44" t="str">
            <v/>
          </cell>
          <cell r="X44" t="str">
            <v/>
          </cell>
          <cell r="Y44"/>
          <cell r="Z44"/>
          <cell r="AA44"/>
          <cell r="AB44">
            <v>39934</v>
          </cell>
          <cell r="AC44" t="str">
            <v/>
          </cell>
          <cell r="AD44" t="str">
            <v/>
          </cell>
          <cell r="AE44" t="str">
            <v/>
          </cell>
          <cell r="AF44" t="str">
            <v/>
          </cell>
          <cell r="AG44" t="str">
            <v/>
          </cell>
          <cell r="AH44" t="str">
            <v/>
          </cell>
          <cell r="AI44" t="str">
            <v/>
          </cell>
          <cell r="AJ44"/>
          <cell r="AK44" t="str">
            <v/>
          </cell>
          <cell r="AL44" t="str">
            <v/>
          </cell>
          <cell r="AM44" t="str">
            <v/>
          </cell>
          <cell r="AN44" t="str">
            <v/>
          </cell>
          <cell r="AO44" t="str">
            <v/>
          </cell>
          <cell r="AP44" t="str">
            <v/>
          </cell>
          <cell r="AQ44" t="str">
            <v/>
          </cell>
          <cell r="AR44">
            <v>0</v>
          </cell>
          <cell r="AS44"/>
          <cell r="AT44" t="str">
            <v/>
          </cell>
          <cell r="AU44" t="str">
            <v/>
          </cell>
        </row>
        <row r="45">
          <cell r="B45">
            <v>39965</v>
          </cell>
          <cell r="C45" t="str">
            <v/>
          </cell>
          <cell r="D45" t="str">
            <v/>
          </cell>
          <cell r="E45" t="str">
            <v/>
          </cell>
          <cell r="F45" t="str">
            <v/>
          </cell>
          <cell r="G45"/>
          <cell r="H45"/>
          <cell r="I45" t="e">
            <v>#DIV/0!</v>
          </cell>
          <cell r="J45" t="e">
            <v>#DIV/0!</v>
          </cell>
          <cell r="K45" t="e">
            <v>#DIV/0!</v>
          </cell>
          <cell r="L45" t="e">
            <v>#DIV/0!</v>
          </cell>
          <cell r="M45" t="e">
            <v>#N/A</v>
          </cell>
          <cell r="N45" t="e">
            <v>#N/A</v>
          </cell>
          <cell r="O45" t="str">
            <v/>
          </cell>
          <cell r="P45" t="str">
            <v/>
          </cell>
          <cell r="Q45" t="str">
            <v/>
          </cell>
          <cell r="R45" t="str">
            <v/>
          </cell>
          <cell r="S45"/>
          <cell r="T45"/>
          <cell r="U45"/>
          <cell r="V45" t="str">
            <v/>
          </cell>
          <cell r="W45" t="str">
            <v/>
          </cell>
          <cell r="X45" t="str">
            <v/>
          </cell>
          <cell r="Y45"/>
          <cell r="Z45"/>
          <cell r="AA45"/>
          <cell r="AB45">
            <v>39965</v>
          </cell>
          <cell r="AC45" t="str">
            <v/>
          </cell>
          <cell r="AD45" t="str">
            <v/>
          </cell>
          <cell r="AE45" t="str">
            <v/>
          </cell>
          <cell r="AF45" t="str">
            <v/>
          </cell>
          <cell r="AG45" t="str">
            <v/>
          </cell>
          <cell r="AH45" t="str">
            <v/>
          </cell>
          <cell r="AI45" t="str">
            <v/>
          </cell>
          <cell r="AJ45"/>
          <cell r="AK45" t="str">
            <v/>
          </cell>
          <cell r="AL45" t="str">
            <v/>
          </cell>
          <cell r="AM45" t="str">
            <v/>
          </cell>
          <cell r="AN45" t="str">
            <v/>
          </cell>
          <cell r="AO45" t="str">
            <v/>
          </cell>
          <cell r="AP45" t="str">
            <v/>
          </cell>
          <cell r="AQ45" t="str">
            <v/>
          </cell>
          <cell r="AR45">
            <v>0</v>
          </cell>
          <cell r="AS45"/>
          <cell r="AT45" t="str">
            <v/>
          </cell>
          <cell r="AU45" t="str">
            <v/>
          </cell>
        </row>
        <row r="46">
          <cell r="B46">
            <v>39995</v>
          </cell>
          <cell r="C46" t="str">
            <v/>
          </cell>
          <cell r="D46" t="str">
            <v/>
          </cell>
          <cell r="E46" t="str">
            <v/>
          </cell>
          <cell r="F46" t="str">
            <v/>
          </cell>
          <cell r="G46"/>
          <cell r="H46"/>
          <cell r="I46" t="e">
            <v>#DIV/0!</v>
          </cell>
          <cell r="J46" t="e">
            <v>#DIV/0!</v>
          </cell>
          <cell r="K46" t="e">
            <v>#DIV/0!</v>
          </cell>
          <cell r="L46" t="e">
            <v>#DIV/0!</v>
          </cell>
          <cell r="M46" t="e">
            <v>#N/A</v>
          </cell>
          <cell r="N46" t="e">
            <v>#N/A</v>
          </cell>
          <cell r="O46" t="str">
            <v/>
          </cell>
          <cell r="P46" t="str">
            <v/>
          </cell>
          <cell r="Q46" t="str">
            <v/>
          </cell>
          <cell r="R46" t="str">
            <v/>
          </cell>
          <cell r="S46"/>
          <cell r="T46"/>
          <cell r="U46"/>
          <cell r="V46" t="str">
            <v/>
          </cell>
          <cell r="W46" t="str">
            <v/>
          </cell>
          <cell r="X46" t="str">
            <v/>
          </cell>
          <cell r="Y46"/>
          <cell r="Z46"/>
          <cell r="AA46"/>
          <cell r="AB46">
            <v>39995</v>
          </cell>
          <cell r="AC46" t="str">
            <v/>
          </cell>
          <cell r="AD46" t="str">
            <v/>
          </cell>
          <cell r="AE46" t="str">
            <v/>
          </cell>
          <cell r="AF46" t="str">
            <v/>
          </cell>
          <cell r="AG46" t="str">
            <v/>
          </cell>
          <cell r="AH46" t="str">
            <v/>
          </cell>
          <cell r="AI46" t="str">
            <v/>
          </cell>
          <cell r="AJ46"/>
          <cell r="AK46" t="str">
            <v/>
          </cell>
          <cell r="AL46" t="str">
            <v/>
          </cell>
          <cell r="AM46" t="str">
            <v/>
          </cell>
          <cell r="AN46" t="str">
            <v/>
          </cell>
          <cell r="AO46" t="str">
            <v/>
          </cell>
          <cell r="AP46" t="str">
            <v/>
          </cell>
          <cell r="AQ46" t="str">
            <v/>
          </cell>
          <cell r="AR46">
            <v>0</v>
          </cell>
          <cell r="AS46"/>
          <cell r="AT46" t="str">
            <v/>
          </cell>
          <cell r="AU46" t="str">
            <v/>
          </cell>
        </row>
        <row r="47">
          <cell r="B47">
            <v>40026</v>
          </cell>
          <cell r="C47" t="str">
            <v/>
          </cell>
          <cell r="D47" t="str">
            <v/>
          </cell>
          <cell r="E47" t="str">
            <v/>
          </cell>
          <cell r="F47" t="str">
            <v/>
          </cell>
          <cell r="G47"/>
          <cell r="H47"/>
          <cell r="I47" t="e">
            <v>#DIV/0!</v>
          </cell>
          <cell r="J47" t="e">
            <v>#DIV/0!</v>
          </cell>
          <cell r="K47" t="e">
            <v>#DIV/0!</v>
          </cell>
          <cell r="L47" t="e">
            <v>#DIV/0!</v>
          </cell>
          <cell r="M47" t="e">
            <v>#N/A</v>
          </cell>
          <cell r="N47" t="e">
            <v>#N/A</v>
          </cell>
          <cell r="O47" t="str">
            <v/>
          </cell>
          <cell r="P47" t="str">
            <v/>
          </cell>
          <cell r="Q47" t="str">
            <v/>
          </cell>
          <cell r="R47" t="str">
            <v/>
          </cell>
          <cell r="S47"/>
          <cell r="T47"/>
          <cell r="U47"/>
          <cell r="V47" t="str">
            <v/>
          </cell>
          <cell r="W47" t="str">
            <v/>
          </cell>
          <cell r="X47" t="str">
            <v/>
          </cell>
          <cell r="Y47"/>
          <cell r="Z47"/>
          <cell r="AA47"/>
          <cell r="AB47">
            <v>40026</v>
          </cell>
          <cell r="AC47" t="str">
            <v/>
          </cell>
          <cell r="AD47" t="str">
            <v/>
          </cell>
          <cell r="AE47" t="str">
            <v/>
          </cell>
          <cell r="AF47" t="str">
            <v/>
          </cell>
          <cell r="AG47" t="str">
            <v/>
          </cell>
          <cell r="AH47" t="str">
            <v/>
          </cell>
          <cell r="AI47" t="str">
            <v/>
          </cell>
          <cell r="AJ47"/>
          <cell r="AK47" t="str">
            <v/>
          </cell>
          <cell r="AL47" t="str">
            <v/>
          </cell>
          <cell r="AM47" t="str">
            <v/>
          </cell>
          <cell r="AN47" t="str">
            <v/>
          </cell>
          <cell r="AO47" t="str">
            <v/>
          </cell>
          <cell r="AP47" t="str">
            <v/>
          </cell>
          <cell r="AQ47" t="str">
            <v/>
          </cell>
          <cell r="AR47">
            <v>0</v>
          </cell>
          <cell r="AS47"/>
          <cell r="AT47" t="str">
            <v/>
          </cell>
          <cell r="AU47" t="str">
            <v/>
          </cell>
        </row>
        <row r="48">
          <cell r="B48">
            <v>40057</v>
          </cell>
          <cell r="C48" t="str">
            <v/>
          </cell>
          <cell r="D48" t="str">
            <v/>
          </cell>
          <cell r="E48" t="str">
            <v/>
          </cell>
          <cell r="F48" t="str">
            <v/>
          </cell>
          <cell r="G48"/>
          <cell r="H48"/>
          <cell r="I48" t="e">
            <v>#DIV/0!</v>
          </cell>
          <cell r="J48" t="e">
            <v>#DIV/0!</v>
          </cell>
          <cell r="K48" t="e">
            <v>#DIV/0!</v>
          </cell>
          <cell r="L48" t="e">
            <v>#DIV/0!</v>
          </cell>
          <cell r="M48" t="e">
            <v>#N/A</v>
          </cell>
          <cell r="N48" t="e">
            <v>#N/A</v>
          </cell>
          <cell r="O48" t="str">
            <v/>
          </cell>
          <cell r="P48" t="str">
            <v/>
          </cell>
          <cell r="Q48" t="str">
            <v/>
          </cell>
          <cell r="R48" t="str">
            <v/>
          </cell>
          <cell r="S48"/>
          <cell r="T48"/>
          <cell r="U48"/>
          <cell r="V48" t="str">
            <v/>
          </cell>
          <cell r="W48" t="str">
            <v/>
          </cell>
          <cell r="X48" t="str">
            <v/>
          </cell>
          <cell r="Y48"/>
          <cell r="Z48"/>
          <cell r="AA48"/>
          <cell r="AB48">
            <v>40057</v>
          </cell>
          <cell r="AC48" t="str">
            <v/>
          </cell>
          <cell r="AD48" t="str">
            <v/>
          </cell>
          <cell r="AE48" t="str">
            <v/>
          </cell>
          <cell r="AF48" t="str">
            <v/>
          </cell>
          <cell r="AG48" t="str">
            <v/>
          </cell>
          <cell r="AH48" t="str">
            <v/>
          </cell>
          <cell r="AI48" t="str">
            <v/>
          </cell>
          <cell r="AJ48"/>
          <cell r="AK48" t="str">
            <v/>
          </cell>
          <cell r="AL48" t="str">
            <v/>
          </cell>
          <cell r="AM48" t="str">
            <v/>
          </cell>
          <cell r="AN48" t="str">
            <v/>
          </cell>
          <cell r="AO48" t="str">
            <v/>
          </cell>
          <cell r="AP48" t="str">
            <v/>
          </cell>
          <cell r="AQ48" t="str">
            <v/>
          </cell>
          <cell r="AR48">
            <v>0</v>
          </cell>
          <cell r="AS48"/>
          <cell r="AT48" t="str">
            <v/>
          </cell>
          <cell r="AU48" t="str">
            <v/>
          </cell>
        </row>
        <row r="49">
          <cell r="B49">
            <v>40087</v>
          </cell>
          <cell r="C49" t="str">
            <v/>
          </cell>
          <cell r="D49" t="str">
            <v/>
          </cell>
          <cell r="E49" t="str">
            <v/>
          </cell>
          <cell r="F49" t="str">
            <v/>
          </cell>
          <cell r="G49"/>
          <cell r="H49"/>
          <cell r="I49" t="e">
            <v>#DIV/0!</v>
          </cell>
          <cell r="J49" t="e">
            <v>#DIV/0!</v>
          </cell>
          <cell r="K49" t="e">
            <v>#DIV/0!</v>
          </cell>
          <cell r="L49" t="e">
            <v>#DIV/0!</v>
          </cell>
          <cell r="M49" t="e">
            <v>#N/A</v>
          </cell>
          <cell r="N49" t="e">
            <v>#N/A</v>
          </cell>
          <cell r="O49" t="str">
            <v/>
          </cell>
          <cell r="P49" t="str">
            <v/>
          </cell>
          <cell r="Q49" t="str">
            <v/>
          </cell>
          <cell r="R49" t="str">
            <v/>
          </cell>
          <cell r="S49"/>
          <cell r="T49"/>
          <cell r="U49"/>
          <cell r="V49" t="str">
            <v/>
          </cell>
          <cell r="W49" t="str">
            <v/>
          </cell>
          <cell r="X49" t="str">
            <v/>
          </cell>
          <cell r="Y49"/>
          <cell r="Z49"/>
          <cell r="AA49"/>
          <cell r="AB49">
            <v>40087</v>
          </cell>
          <cell r="AC49" t="str">
            <v/>
          </cell>
          <cell r="AD49" t="str">
            <v/>
          </cell>
          <cell r="AE49" t="str">
            <v/>
          </cell>
          <cell r="AF49" t="str">
            <v/>
          </cell>
          <cell r="AG49" t="str">
            <v/>
          </cell>
          <cell r="AH49" t="str">
            <v/>
          </cell>
          <cell r="AI49" t="str">
            <v/>
          </cell>
          <cell r="AJ49"/>
          <cell r="AK49" t="str">
            <v/>
          </cell>
          <cell r="AL49" t="str">
            <v/>
          </cell>
          <cell r="AM49" t="str">
            <v/>
          </cell>
          <cell r="AN49" t="str">
            <v/>
          </cell>
          <cell r="AO49" t="str">
            <v/>
          </cell>
          <cell r="AP49" t="str">
            <v/>
          </cell>
          <cell r="AQ49" t="str">
            <v/>
          </cell>
          <cell r="AR49">
            <v>0</v>
          </cell>
          <cell r="AS49"/>
          <cell r="AT49" t="str">
            <v/>
          </cell>
          <cell r="AU49" t="str">
            <v/>
          </cell>
        </row>
      </sheetData>
      <sheetData sheetId="92">
        <row r="12">
          <cell r="B12">
            <v>39083</v>
          </cell>
          <cell r="C12"/>
          <cell r="D12">
            <v>0.93</v>
          </cell>
          <cell r="E12" t="str">
            <v>g</v>
          </cell>
          <cell r="F12" t="str">
            <v>c</v>
          </cell>
          <cell r="G12" t="str">
            <v>c</v>
          </cell>
          <cell r="H12">
            <v>0.9</v>
          </cell>
          <cell r="I12">
            <v>0.85</v>
          </cell>
          <cell r="J12"/>
          <cell r="K12"/>
          <cell r="L12"/>
          <cell r="M12"/>
          <cell r="N12"/>
          <cell r="O12">
            <v>39083</v>
          </cell>
          <cell r="P12"/>
          <cell r="Q12">
            <v>0.93</v>
          </cell>
          <cell r="R12">
            <v>0.93</v>
          </cell>
          <cell r="S12"/>
          <cell r="T12">
            <v>4.59</v>
          </cell>
          <cell r="U12"/>
        </row>
        <row r="13">
          <cell r="B13">
            <v>39114</v>
          </cell>
          <cell r="C13"/>
          <cell r="D13"/>
          <cell r="E13" t="str">
            <v/>
          </cell>
          <cell r="F13" t="str">
            <v/>
          </cell>
          <cell r="G13" t="str">
            <v/>
          </cell>
          <cell r="H13">
            <v>0.9</v>
          </cell>
          <cell r="I13">
            <v>0.85</v>
          </cell>
          <cell r="J13"/>
          <cell r="K13"/>
          <cell r="L13"/>
          <cell r="M13"/>
          <cell r="N13"/>
          <cell r="O13">
            <v>39114</v>
          </cell>
          <cell r="P13"/>
          <cell r="Q13">
            <v>0</v>
          </cell>
          <cell r="R13">
            <v>0</v>
          </cell>
          <cell r="S13"/>
          <cell r="T13">
            <v>4.59</v>
          </cell>
          <cell r="U13"/>
        </row>
        <row r="14">
          <cell r="B14">
            <v>39142</v>
          </cell>
          <cell r="C14"/>
          <cell r="D14"/>
          <cell r="E14" t="str">
            <v/>
          </cell>
          <cell r="F14" t="str">
            <v/>
          </cell>
          <cell r="G14" t="str">
            <v/>
          </cell>
          <cell r="H14">
            <v>0.9</v>
          </cell>
          <cell r="I14">
            <v>0.85</v>
          </cell>
          <cell r="J14"/>
          <cell r="K14"/>
          <cell r="L14"/>
          <cell r="M14"/>
          <cell r="N14"/>
          <cell r="O14">
            <v>39142</v>
          </cell>
          <cell r="P14"/>
          <cell r="Q14">
            <v>0</v>
          </cell>
          <cell r="R14">
            <v>0</v>
          </cell>
          <cell r="S14"/>
          <cell r="T14">
            <v>4.59</v>
          </cell>
          <cell r="U14"/>
        </row>
        <row r="15">
          <cell r="B15">
            <v>39173</v>
          </cell>
          <cell r="C15"/>
          <cell r="D15"/>
          <cell r="E15" t="str">
            <v/>
          </cell>
          <cell r="F15" t="str">
            <v/>
          </cell>
          <cell r="G15" t="str">
            <v/>
          </cell>
          <cell r="H15">
            <v>0.9</v>
          </cell>
          <cell r="I15">
            <v>0.85</v>
          </cell>
          <cell r="J15"/>
          <cell r="K15"/>
          <cell r="L15"/>
          <cell r="M15"/>
          <cell r="N15"/>
          <cell r="O15">
            <v>39173</v>
          </cell>
          <cell r="P15"/>
          <cell r="Q15">
            <v>0</v>
          </cell>
          <cell r="R15">
            <v>0</v>
          </cell>
          <cell r="S15"/>
          <cell r="T15">
            <v>4.59</v>
          </cell>
          <cell r="U15"/>
        </row>
        <row r="16">
          <cell r="B16">
            <v>39203</v>
          </cell>
          <cell r="C16"/>
          <cell r="D16">
            <v>0.93</v>
          </cell>
          <cell r="E16" t="str">
            <v>g</v>
          </cell>
          <cell r="F16" t="str">
            <v>c</v>
          </cell>
          <cell r="G16" t="str">
            <v>c</v>
          </cell>
          <cell r="H16">
            <v>0.9</v>
          </cell>
          <cell r="I16">
            <v>0.85</v>
          </cell>
          <cell r="J16"/>
          <cell r="K16"/>
          <cell r="L16"/>
          <cell r="M16"/>
          <cell r="N16"/>
          <cell r="O16">
            <v>39203</v>
          </cell>
          <cell r="P16"/>
          <cell r="Q16">
            <v>0.93</v>
          </cell>
          <cell r="R16">
            <v>0.93</v>
          </cell>
          <cell r="S16"/>
          <cell r="T16">
            <v>4.59</v>
          </cell>
          <cell r="U16"/>
        </row>
        <row r="17">
          <cell r="B17">
            <v>39234</v>
          </cell>
          <cell r="C17"/>
          <cell r="D17"/>
          <cell r="E17" t="str">
            <v/>
          </cell>
          <cell r="F17" t="str">
            <v/>
          </cell>
          <cell r="G17" t="str">
            <v/>
          </cell>
          <cell r="H17">
            <v>0.9</v>
          </cell>
          <cell r="I17">
            <v>0.85</v>
          </cell>
          <cell r="J17"/>
          <cell r="K17"/>
          <cell r="L17"/>
          <cell r="M17"/>
          <cell r="N17"/>
          <cell r="O17">
            <v>39234</v>
          </cell>
          <cell r="P17"/>
          <cell r="Q17">
            <v>0</v>
          </cell>
          <cell r="R17">
            <v>0</v>
          </cell>
          <cell r="S17"/>
          <cell r="T17">
            <v>4.59</v>
          </cell>
          <cell r="U17"/>
        </row>
        <row r="18">
          <cell r="B18">
            <v>39264</v>
          </cell>
          <cell r="C18"/>
          <cell r="D18"/>
          <cell r="E18" t="str">
            <v/>
          </cell>
          <cell r="F18" t="str">
            <v/>
          </cell>
          <cell r="G18" t="str">
            <v/>
          </cell>
          <cell r="H18">
            <v>0.9</v>
          </cell>
          <cell r="I18">
            <v>0.85</v>
          </cell>
          <cell r="J18"/>
          <cell r="K18"/>
          <cell r="L18"/>
          <cell r="M18"/>
          <cell r="N18"/>
          <cell r="O18">
            <v>39264</v>
          </cell>
          <cell r="P18"/>
          <cell r="Q18">
            <v>0</v>
          </cell>
          <cell r="R18">
            <v>0</v>
          </cell>
          <cell r="S18"/>
          <cell r="T18">
            <v>4.59</v>
          </cell>
          <cell r="U18"/>
        </row>
        <row r="19">
          <cell r="B19">
            <v>39295</v>
          </cell>
          <cell r="C19"/>
          <cell r="D19">
            <v>0.9</v>
          </cell>
          <cell r="E19" t="str">
            <v>c</v>
          </cell>
          <cell r="F19" t="str">
            <v>g</v>
          </cell>
          <cell r="G19" t="str">
            <v>c</v>
          </cell>
          <cell r="H19">
            <v>0.9</v>
          </cell>
          <cell r="I19">
            <v>0.85</v>
          </cell>
          <cell r="J19"/>
          <cell r="K19"/>
          <cell r="L19"/>
          <cell r="M19"/>
          <cell r="N19"/>
          <cell r="O19">
            <v>39295</v>
          </cell>
          <cell r="P19"/>
          <cell r="Q19">
            <v>0.9</v>
          </cell>
          <cell r="R19">
            <v>0.9</v>
          </cell>
          <cell r="S19"/>
          <cell r="T19">
            <v>4.59</v>
          </cell>
          <cell r="U19"/>
        </row>
        <row r="20">
          <cell r="B20">
            <v>39326</v>
          </cell>
          <cell r="C20"/>
          <cell r="D20"/>
          <cell r="E20" t="str">
            <v/>
          </cell>
          <cell r="F20" t="str">
            <v/>
          </cell>
          <cell r="G20" t="str">
            <v/>
          </cell>
          <cell r="H20">
            <v>0.9</v>
          </cell>
          <cell r="I20">
            <v>0.85</v>
          </cell>
          <cell r="J20"/>
          <cell r="K20"/>
          <cell r="L20"/>
          <cell r="M20"/>
          <cell r="N20"/>
          <cell r="O20">
            <v>39326</v>
          </cell>
          <cell r="P20"/>
          <cell r="Q20">
            <v>0</v>
          </cell>
          <cell r="R20">
            <v>0</v>
          </cell>
          <cell r="S20"/>
          <cell r="T20">
            <v>4.59</v>
          </cell>
          <cell r="U20"/>
        </row>
        <row r="21">
          <cell r="B21">
            <v>39356</v>
          </cell>
          <cell r="C21"/>
          <cell r="D21">
            <v>0.9</v>
          </cell>
          <cell r="E21" t="str">
            <v>c</v>
          </cell>
          <cell r="F21" t="str">
            <v>g</v>
          </cell>
          <cell r="G21" t="str">
            <v>c</v>
          </cell>
          <cell r="H21">
            <v>0.9</v>
          </cell>
          <cell r="I21">
            <v>0.85</v>
          </cell>
          <cell r="J21"/>
          <cell r="K21"/>
          <cell r="L21"/>
          <cell r="M21"/>
          <cell r="N21"/>
          <cell r="O21">
            <v>39356</v>
          </cell>
          <cell r="P21"/>
          <cell r="Q21">
            <v>0.9</v>
          </cell>
          <cell r="R21">
            <v>0.9</v>
          </cell>
          <cell r="S21"/>
          <cell r="T21">
            <v>4.59</v>
          </cell>
          <cell r="U21"/>
        </row>
        <row r="22">
          <cell r="B22">
            <v>39387</v>
          </cell>
          <cell r="C22"/>
          <cell r="D22">
            <v>0.93</v>
          </cell>
          <cell r="E22" t="str">
            <v>g</v>
          </cell>
          <cell r="F22" t="str">
            <v>c</v>
          </cell>
          <cell r="G22" t="str">
            <v>c</v>
          </cell>
          <cell r="H22">
            <v>0.9</v>
          </cell>
          <cell r="I22">
            <v>0.85</v>
          </cell>
          <cell r="J22"/>
          <cell r="K22"/>
          <cell r="L22"/>
          <cell r="M22"/>
          <cell r="N22"/>
          <cell r="O22">
            <v>39387</v>
          </cell>
          <cell r="P22"/>
          <cell r="Q22">
            <v>0.93</v>
          </cell>
          <cell r="R22">
            <v>0.93</v>
          </cell>
          <cell r="S22"/>
          <cell r="T22">
            <v>4.59</v>
          </cell>
          <cell r="U22"/>
        </row>
        <row r="23">
          <cell r="B23">
            <v>39417</v>
          </cell>
          <cell r="C23"/>
          <cell r="D23"/>
          <cell r="E23" t="str">
            <v/>
          </cell>
          <cell r="F23" t="str">
            <v/>
          </cell>
          <cell r="G23" t="str">
            <v/>
          </cell>
          <cell r="H23">
            <v>0.9</v>
          </cell>
          <cell r="I23">
            <v>0.85</v>
          </cell>
          <cell r="J23"/>
          <cell r="K23"/>
          <cell r="L23"/>
          <cell r="M23"/>
          <cell r="N23"/>
          <cell r="O23">
            <v>39417</v>
          </cell>
          <cell r="P23"/>
          <cell r="Q23">
            <v>0</v>
          </cell>
          <cell r="R23">
            <v>0</v>
          </cell>
          <cell r="S23"/>
          <cell r="T23">
            <v>4.59</v>
          </cell>
          <cell r="U23"/>
        </row>
        <row r="24">
          <cell r="B24">
            <v>39448</v>
          </cell>
          <cell r="C24"/>
          <cell r="D24">
            <v>0.89</v>
          </cell>
          <cell r="E24" t="str">
            <v>c</v>
          </cell>
          <cell r="F24" t="str">
            <v>g</v>
          </cell>
          <cell r="G24" t="str">
            <v>c</v>
          </cell>
          <cell r="H24">
            <v>0.9</v>
          </cell>
          <cell r="I24">
            <v>0.85</v>
          </cell>
          <cell r="J24"/>
          <cell r="K24"/>
          <cell r="L24"/>
          <cell r="M24"/>
          <cell r="N24"/>
          <cell r="O24">
            <v>39448</v>
          </cell>
          <cell r="P24">
            <v>0.93</v>
          </cell>
          <cell r="Q24">
            <v>0.89</v>
          </cell>
          <cell r="R24">
            <v>-4.0000000000000036E-2</v>
          </cell>
          <cell r="S24">
            <v>-4.3010752688172116E-2</v>
          </cell>
          <cell r="T24">
            <v>3.56</v>
          </cell>
          <cell r="U24">
            <v>0.25</v>
          </cell>
        </row>
        <row r="25">
          <cell r="B25">
            <v>39479</v>
          </cell>
          <cell r="C25"/>
          <cell r="D25">
            <v>0.89</v>
          </cell>
          <cell r="E25" t="str">
            <v>c</v>
          </cell>
          <cell r="F25" t="str">
            <v>g</v>
          </cell>
          <cell r="G25" t="str">
            <v>c</v>
          </cell>
          <cell r="H25">
            <v>0.9</v>
          </cell>
          <cell r="I25">
            <v>0.85</v>
          </cell>
          <cell r="J25"/>
          <cell r="K25"/>
          <cell r="L25"/>
          <cell r="M25"/>
          <cell r="N25"/>
          <cell r="O25">
            <v>39479</v>
          </cell>
          <cell r="P25">
            <v>0</v>
          </cell>
          <cell r="Q25">
            <v>0.89</v>
          </cell>
          <cell r="R25">
            <v>0.89</v>
          </cell>
          <cell r="S25" t="str">
            <v/>
          </cell>
          <cell r="T25">
            <v>3.56</v>
          </cell>
          <cell r="U25">
            <v>0.5</v>
          </cell>
        </row>
        <row r="26">
          <cell r="B26">
            <v>39508</v>
          </cell>
          <cell r="C26"/>
          <cell r="D26">
            <v>0.89</v>
          </cell>
          <cell r="E26" t="str">
            <v>c</v>
          </cell>
          <cell r="F26" t="str">
            <v>g</v>
          </cell>
          <cell r="G26" t="str">
            <v>c</v>
          </cell>
          <cell r="H26">
            <v>0.9</v>
          </cell>
          <cell r="I26">
            <v>0.85</v>
          </cell>
          <cell r="J26"/>
          <cell r="K26"/>
          <cell r="L26"/>
          <cell r="M26"/>
          <cell r="N26"/>
          <cell r="O26">
            <v>39508</v>
          </cell>
          <cell r="P26">
            <v>0</v>
          </cell>
          <cell r="Q26">
            <v>0.89</v>
          </cell>
          <cell r="R26">
            <v>0.89</v>
          </cell>
          <cell r="S26" t="str">
            <v/>
          </cell>
          <cell r="T26">
            <v>3.56</v>
          </cell>
          <cell r="U26">
            <v>0.75</v>
          </cell>
        </row>
        <row r="27">
          <cell r="B27">
            <v>39539</v>
          </cell>
          <cell r="C27"/>
          <cell r="D27">
            <v>0.89</v>
          </cell>
          <cell r="E27" t="str">
            <v>c</v>
          </cell>
          <cell r="F27" t="str">
            <v>g</v>
          </cell>
          <cell r="G27" t="str">
            <v>c</v>
          </cell>
          <cell r="H27">
            <v>0.9</v>
          </cell>
          <cell r="I27">
            <v>0.85</v>
          </cell>
          <cell r="J27"/>
          <cell r="K27"/>
          <cell r="L27"/>
          <cell r="M27"/>
          <cell r="N27"/>
          <cell r="O27">
            <v>39539</v>
          </cell>
          <cell r="P27">
            <v>0</v>
          </cell>
          <cell r="Q27">
            <v>0.89</v>
          </cell>
          <cell r="R27">
            <v>0.89</v>
          </cell>
          <cell r="S27" t="str">
            <v/>
          </cell>
          <cell r="T27">
            <v>3.56</v>
          </cell>
          <cell r="U27">
            <v>1</v>
          </cell>
        </row>
        <row r="28">
          <cell r="B28">
            <v>39569</v>
          </cell>
          <cell r="C28"/>
          <cell r="D28"/>
          <cell r="E28" t="str">
            <v/>
          </cell>
          <cell r="F28" t="str">
            <v/>
          </cell>
          <cell r="G28" t="str">
            <v/>
          </cell>
          <cell r="H28">
            <v>0.9</v>
          </cell>
          <cell r="I28">
            <v>0.85</v>
          </cell>
          <cell r="J28"/>
          <cell r="K28"/>
          <cell r="L28"/>
          <cell r="M28"/>
          <cell r="N28"/>
          <cell r="O28">
            <v>39569</v>
          </cell>
          <cell r="P28">
            <v>0.93</v>
          </cell>
          <cell r="Q28" t="str">
            <v/>
          </cell>
          <cell r="R28" t="str">
            <v/>
          </cell>
          <cell r="S28" t="str">
            <v/>
          </cell>
          <cell r="T28">
            <v>3.56</v>
          </cell>
          <cell r="U28" t="str">
            <v/>
          </cell>
        </row>
        <row r="29">
          <cell r="B29">
            <v>39600</v>
          </cell>
          <cell r="C29"/>
          <cell r="D29"/>
          <cell r="E29" t="str">
            <v/>
          </cell>
          <cell r="F29" t="str">
            <v/>
          </cell>
          <cell r="G29" t="str">
            <v/>
          </cell>
          <cell r="H29">
            <v>0.9</v>
          </cell>
          <cell r="I29">
            <v>0.85</v>
          </cell>
          <cell r="J29"/>
          <cell r="K29"/>
          <cell r="L29"/>
          <cell r="M29"/>
          <cell r="N29"/>
          <cell r="O29">
            <v>39600</v>
          </cell>
          <cell r="P29">
            <v>0</v>
          </cell>
          <cell r="Q29" t="str">
            <v/>
          </cell>
          <cell r="R29" t="str">
            <v/>
          </cell>
          <cell r="S29" t="str">
            <v/>
          </cell>
          <cell r="T29">
            <v>3.56</v>
          </cell>
          <cell r="U29" t="str">
            <v/>
          </cell>
        </row>
        <row r="30">
          <cell r="B30">
            <v>39630</v>
          </cell>
          <cell r="C30"/>
          <cell r="D30"/>
          <cell r="E30" t="str">
            <v/>
          </cell>
          <cell r="F30" t="str">
            <v/>
          </cell>
          <cell r="G30" t="str">
            <v/>
          </cell>
          <cell r="H30">
            <v>0.9</v>
          </cell>
          <cell r="I30">
            <v>0.85</v>
          </cell>
          <cell r="J30"/>
          <cell r="K30"/>
          <cell r="L30"/>
          <cell r="M30"/>
          <cell r="N30"/>
          <cell r="O30">
            <v>39630</v>
          </cell>
          <cell r="P30">
            <v>0</v>
          </cell>
          <cell r="Q30" t="str">
            <v/>
          </cell>
          <cell r="R30" t="str">
            <v/>
          </cell>
          <cell r="S30" t="str">
            <v/>
          </cell>
          <cell r="T30">
            <v>3.56</v>
          </cell>
          <cell r="U30" t="str">
            <v/>
          </cell>
        </row>
        <row r="31">
          <cell r="B31">
            <v>39661</v>
          </cell>
          <cell r="C31"/>
          <cell r="D31"/>
          <cell r="E31" t="str">
            <v/>
          </cell>
          <cell r="F31" t="str">
            <v/>
          </cell>
          <cell r="G31" t="str">
            <v/>
          </cell>
          <cell r="H31">
            <v>0.9</v>
          </cell>
          <cell r="I31">
            <v>0.85</v>
          </cell>
          <cell r="J31"/>
          <cell r="K31"/>
          <cell r="L31"/>
          <cell r="M31"/>
          <cell r="N31"/>
          <cell r="O31">
            <v>39661</v>
          </cell>
          <cell r="P31">
            <v>0.9</v>
          </cell>
          <cell r="Q31" t="str">
            <v/>
          </cell>
          <cell r="R31" t="str">
            <v/>
          </cell>
          <cell r="S31" t="str">
            <v/>
          </cell>
          <cell r="T31">
            <v>3.56</v>
          </cell>
          <cell r="U31" t="str">
            <v/>
          </cell>
        </row>
        <row r="32">
          <cell r="B32">
            <v>39692</v>
          </cell>
          <cell r="C32"/>
          <cell r="D32"/>
          <cell r="E32" t="str">
            <v/>
          </cell>
          <cell r="F32" t="str">
            <v/>
          </cell>
          <cell r="G32" t="str">
            <v/>
          </cell>
          <cell r="H32">
            <v>0.9</v>
          </cell>
          <cell r="I32">
            <v>0.85</v>
          </cell>
          <cell r="J32"/>
          <cell r="K32"/>
          <cell r="L32"/>
          <cell r="M32"/>
          <cell r="N32"/>
          <cell r="O32">
            <v>39692</v>
          </cell>
          <cell r="P32">
            <v>0</v>
          </cell>
          <cell r="Q32" t="str">
            <v/>
          </cell>
          <cell r="R32"/>
          <cell r="S32" t="str">
            <v/>
          </cell>
          <cell r="T32">
            <v>3.56</v>
          </cell>
          <cell r="U32" t="str">
            <v/>
          </cell>
        </row>
        <row r="33">
          <cell r="B33">
            <v>39722</v>
          </cell>
          <cell r="C33"/>
          <cell r="D33"/>
          <cell r="E33" t="str">
            <v/>
          </cell>
          <cell r="F33" t="str">
            <v/>
          </cell>
          <cell r="G33" t="str">
            <v/>
          </cell>
          <cell r="H33">
            <v>0.9</v>
          </cell>
          <cell r="I33">
            <v>0.85</v>
          </cell>
          <cell r="J33"/>
          <cell r="K33"/>
          <cell r="L33"/>
          <cell r="M33"/>
          <cell r="N33"/>
          <cell r="O33">
            <v>39722</v>
          </cell>
          <cell r="P33">
            <v>0.9</v>
          </cell>
          <cell r="Q33" t="str">
            <v/>
          </cell>
          <cell r="R33"/>
          <cell r="S33" t="str">
            <v/>
          </cell>
          <cell r="T33">
            <v>3.56</v>
          </cell>
          <cell r="U33" t="str">
            <v/>
          </cell>
        </row>
        <row r="34">
          <cell r="B34">
            <v>39753</v>
          </cell>
          <cell r="C34"/>
          <cell r="D34"/>
          <cell r="E34" t="str">
            <v/>
          </cell>
          <cell r="F34" t="str">
            <v/>
          </cell>
          <cell r="G34" t="str">
            <v/>
          </cell>
          <cell r="H34">
            <v>0.9</v>
          </cell>
          <cell r="I34">
            <v>0.85</v>
          </cell>
          <cell r="J34"/>
          <cell r="K34"/>
          <cell r="L34"/>
          <cell r="M34"/>
          <cell r="N34"/>
          <cell r="O34">
            <v>39753</v>
          </cell>
          <cell r="P34">
            <v>0.93</v>
          </cell>
          <cell r="Q34" t="str">
            <v/>
          </cell>
          <cell r="R34"/>
          <cell r="S34" t="str">
            <v/>
          </cell>
          <cell r="T34">
            <v>3.56</v>
          </cell>
          <cell r="U34" t="str">
            <v/>
          </cell>
        </row>
        <row r="35">
          <cell r="B35">
            <v>39783</v>
          </cell>
          <cell r="C35"/>
          <cell r="D35"/>
          <cell r="E35" t="str">
            <v/>
          </cell>
          <cell r="F35" t="str">
            <v/>
          </cell>
          <cell r="G35" t="str">
            <v/>
          </cell>
          <cell r="H35">
            <v>0.9</v>
          </cell>
          <cell r="I35">
            <v>0.85</v>
          </cell>
          <cell r="J35"/>
          <cell r="K35"/>
          <cell r="L35"/>
          <cell r="M35"/>
          <cell r="N35"/>
          <cell r="O35">
            <v>39783</v>
          </cell>
          <cell r="P35">
            <v>0</v>
          </cell>
          <cell r="Q35" t="str">
            <v/>
          </cell>
          <cell r="R35"/>
          <cell r="S35" t="str">
            <v/>
          </cell>
          <cell r="T35">
            <v>3.56</v>
          </cell>
          <cell r="U35" t="str">
            <v/>
          </cell>
        </row>
        <row r="36">
          <cell r="B36">
            <v>39814</v>
          </cell>
          <cell r="C36"/>
          <cell r="D36"/>
          <cell r="E36" t="str">
            <v/>
          </cell>
          <cell r="F36" t="str">
            <v/>
          </cell>
          <cell r="G36" t="str">
            <v/>
          </cell>
          <cell r="H36">
            <v>0.9</v>
          </cell>
          <cell r="I36">
            <v>0.85</v>
          </cell>
          <cell r="J36"/>
          <cell r="K36"/>
          <cell r="L36"/>
          <cell r="M36"/>
          <cell r="N36"/>
          <cell r="O36">
            <v>39814</v>
          </cell>
          <cell r="P36">
            <v>0.89</v>
          </cell>
          <cell r="Q36" t="str">
            <v/>
          </cell>
          <cell r="R36"/>
          <cell r="S36" t="str">
            <v/>
          </cell>
          <cell r="T36"/>
          <cell r="U36"/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F5127-E43C-405A-A47D-1E069E013B3F}">
  <dimension ref="A1:J49"/>
  <sheetViews>
    <sheetView workbookViewId="0">
      <selection activeCell="D18" sqref="D18"/>
    </sheetView>
  </sheetViews>
  <sheetFormatPr baseColWidth="10" defaultRowHeight="15.75" customHeight="1" x14ac:dyDescent="0.25"/>
  <cols>
    <col min="1" max="1" width="10.7109375" style="7" customWidth="1"/>
    <col min="2" max="2" width="19.7109375" style="7" customWidth="1"/>
    <col min="3" max="3" width="9.7109375" style="7" customWidth="1"/>
    <col min="4" max="4" width="12.5703125" style="7" customWidth="1"/>
    <col min="5" max="6" width="11.42578125" style="7"/>
    <col min="7" max="7" width="8.140625" style="7" customWidth="1"/>
    <col min="8" max="8" width="8.28515625" style="7" customWidth="1"/>
    <col min="9" max="16384" width="11.42578125" style="7"/>
  </cols>
  <sheetData>
    <row r="1" spans="1:10" ht="15.75" customHeight="1" x14ac:dyDescent="0.25">
      <c r="A1" s="17" t="s">
        <v>152</v>
      </c>
      <c r="B1" s="17" t="s">
        <v>154</v>
      </c>
      <c r="D1" s="17" t="s">
        <v>152</v>
      </c>
      <c r="E1" s="17" t="s">
        <v>163</v>
      </c>
      <c r="F1" s="17" t="s">
        <v>164</v>
      </c>
      <c r="H1" s="17" t="s">
        <v>152</v>
      </c>
      <c r="I1" s="17" t="s">
        <v>153</v>
      </c>
      <c r="J1" s="17" t="s">
        <v>164</v>
      </c>
    </row>
    <row r="2" spans="1:10" ht="15.75" customHeight="1" x14ac:dyDescent="0.25">
      <c r="A2" s="17">
        <v>41</v>
      </c>
      <c r="B2" s="17" t="s">
        <v>129</v>
      </c>
      <c r="D2" s="17" t="s">
        <v>165</v>
      </c>
      <c r="E2" s="17" t="s">
        <v>161</v>
      </c>
      <c r="F2" s="17" t="s">
        <v>75</v>
      </c>
      <c r="H2" s="17" t="s">
        <v>75</v>
      </c>
      <c r="I2" s="17" t="s">
        <v>65</v>
      </c>
      <c r="J2" s="17" t="s">
        <v>174</v>
      </c>
    </row>
    <row r="3" spans="1:10" ht="15.75" customHeight="1" x14ac:dyDescent="0.25">
      <c r="A3" s="17">
        <v>43</v>
      </c>
      <c r="B3" s="17" t="s">
        <v>130</v>
      </c>
      <c r="D3" s="17" t="s">
        <v>168</v>
      </c>
      <c r="E3" s="17" t="s">
        <v>155</v>
      </c>
      <c r="F3" s="17" t="s">
        <v>75</v>
      </c>
      <c r="H3" s="17" t="s">
        <v>76</v>
      </c>
      <c r="I3" s="17" t="s">
        <v>72</v>
      </c>
      <c r="J3" s="17" t="s">
        <v>174</v>
      </c>
    </row>
    <row r="4" spans="1:10" ht="15.75" customHeight="1" x14ac:dyDescent="0.25">
      <c r="A4" s="17">
        <v>83</v>
      </c>
      <c r="B4" s="17" t="s">
        <v>131</v>
      </c>
      <c r="D4" s="17" t="s">
        <v>169</v>
      </c>
      <c r="E4" s="17" t="s">
        <v>156</v>
      </c>
      <c r="F4" s="17" t="s">
        <v>75</v>
      </c>
      <c r="H4" s="17">
        <v>17</v>
      </c>
      <c r="I4" s="17" t="s">
        <v>83</v>
      </c>
      <c r="J4" s="17" t="s">
        <v>174</v>
      </c>
    </row>
    <row r="5" spans="1:10" ht="15.75" customHeight="1" x14ac:dyDescent="0.25">
      <c r="A5" s="17">
        <v>54</v>
      </c>
      <c r="B5" s="17" t="s">
        <v>132</v>
      </c>
      <c r="D5" s="17" t="s">
        <v>170</v>
      </c>
      <c r="E5" s="17" t="s">
        <v>157</v>
      </c>
      <c r="F5" s="17" t="s">
        <v>75</v>
      </c>
      <c r="H5" s="17">
        <v>27</v>
      </c>
      <c r="I5" s="17" t="s">
        <v>84</v>
      </c>
      <c r="J5" s="17" t="s">
        <v>174</v>
      </c>
    </row>
    <row r="6" spans="1:10" ht="15.75" customHeight="1" x14ac:dyDescent="0.25">
      <c r="A6" s="17">
        <v>66</v>
      </c>
      <c r="B6" s="17" t="s">
        <v>133</v>
      </c>
      <c r="D6" s="17" t="s">
        <v>171</v>
      </c>
      <c r="E6" s="17" t="s">
        <v>162</v>
      </c>
      <c r="F6" s="17" t="s">
        <v>75</v>
      </c>
      <c r="H6" s="17">
        <v>37</v>
      </c>
      <c r="I6" s="17" t="s">
        <v>85</v>
      </c>
      <c r="J6" s="17" t="s">
        <v>174</v>
      </c>
    </row>
    <row r="7" spans="1:10" ht="15.75" customHeight="1" x14ac:dyDescent="0.25">
      <c r="A7" s="17">
        <v>76</v>
      </c>
      <c r="B7" s="17" t="s">
        <v>134</v>
      </c>
      <c r="D7" s="17" t="s">
        <v>166</v>
      </c>
      <c r="E7" s="17" t="s">
        <v>158</v>
      </c>
      <c r="F7" s="17" t="s">
        <v>75</v>
      </c>
      <c r="H7" s="17">
        <v>24</v>
      </c>
      <c r="I7" s="17" t="s">
        <v>86</v>
      </c>
      <c r="J7" s="17" t="s">
        <v>174</v>
      </c>
    </row>
    <row r="8" spans="1:10" ht="15.75" customHeight="1" x14ac:dyDescent="0.25">
      <c r="A8" s="17">
        <v>99</v>
      </c>
      <c r="B8" s="17" t="s">
        <v>74</v>
      </c>
      <c r="D8" s="17" t="s">
        <v>172</v>
      </c>
      <c r="E8" s="17" t="s">
        <v>159</v>
      </c>
      <c r="F8" s="17" t="s">
        <v>75</v>
      </c>
      <c r="H8" s="17">
        <v>20</v>
      </c>
      <c r="I8" s="17" t="s">
        <v>87</v>
      </c>
      <c r="J8" s="17" t="s">
        <v>174</v>
      </c>
    </row>
    <row r="9" spans="1:10" ht="15.75" customHeight="1" x14ac:dyDescent="0.25">
      <c r="A9" s="17">
        <v>84</v>
      </c>
      <c r="B9" s="17" t="s">
        <v>135</v>
      </c>
      <c r="D9" s="17" t="s">
        <v>167</v>
      </c>
      <c r="E9" s="17" t="s">
        <v>160</v>
      </c>
      <c r="F9" s="17" t="s">
        <v>75</v>
      </c>
      <c r="H9" s="17">
        <v>23</v>
      </c>
      <c r="I9" s="17" t="s">
        <v>88</v>
      </c>
      <c r="J9" s="17" t="s">
        <v>174</v>
      </c>
    </row>
    <row r="10" spans="1:10" ht="15.75" customHeight="1" x14ac:dyDescent="0.25">
      <c r="A10" s="17">
        <v>67</v>
      </c>
      <c r="B10" s="17" t="s">
        <v>136</v>
      </c>
      <c r="D10" s="17" t="s">
        <v>173</v>
      </c>
      <c r="E10" s="17" t="s">
        <v>74</v>
      </c>
      <c r="F10" s="17">
        <v>99</v>
      </c>
      <c r="H10" s="17">
        <v>16</v>
      </c>
      <c r="I10" s="17" t="s">
        <v>89</v>
      </c>
      <c r="J10" s="17" t="s">
        <v>174</v>
      </c>
    </row>
    <row r="11" spans="1:10" ht="15.75" customHeight="1" x14ac:dyDescent="0.25">
      <c r="A11" s="17">
        <v>62</v>
      </c>
      <c r="B11" s="17" t="s">
        <v>137</v>
      </c>
      <c r="D11" s="17" t="s">
        <v>174</v>
      </c>
      <c r="E11" s="17" t="s">
        <v>73</v>
      </c>
      <c r="F11" s="17" t="s">
        <v>75</v>
      </c>
      <c r="H11" s="17">
        <v>19</v>
      </c>
      <c r="I11" s="17" t="s">
        <v>90</v>
      </c>
      <c r="J11" s="17" t="s">
        <v>174</v>
      </c>
    </row>
    <row r="12" spans="1:10" ht="15.75" customHeight="1" x14ac:dyDescent="0.25">
      <c r="A12" s="17">
        <v>56</v>
      </c>
      <c r="B12" s="17" t="s">
        <v>138</v>
      </c>
      <c r="H12" s="17">
        <v>23</v>
      </c>
      <c r="I12" s="17" t="s">
        <v>88</v>
      </c>
      <c r="J12" s="17" t="s">
        <v>174</v>
      </c>
    </row>
    <row r="13" spans="1:10" ht="15.75" customHeight="1" x14ac:dyDescent="0.25">
      <c r="A13" s="17">
        <v>64</v>
      </c>
      <c r="B13" s="17" t="s">
        <v>139</v>
      </c>
      <c r="H13" s="17">
        <v>34</v>
      </c>
      <c r="I13" s="17" t="s">
        <v>91</v>
      </c>
      <c r="J13" s="17" t="s">
        <v>174</v>
      </c>
    </row>
    <row r="14" spans="1:10" ht="15.75" customHeight="1" x14ac:dyDescent="0.25">
      <c r="A14" s="17">
        <v>44</v>
      </c>
      <c r="B14" s="17" t="s">
        <v>149</v>
      </c>
      <c r="H14" s="17">
        <v>42</v>
      </c>
      <c r="I14" s="17" t="s">
        <v>92</v>
      </c>
      <c r="J14" s="17" t="s">
        <v>174</v>
      </c>
    </row>
    <row r="15" spans="1:10" ht="15.75" customHeight="1" x14ac:dyDescent="0.25">
      <c r="A15" s="17">
        <v>74</v>
      </c>
      <c r="B15" s="17" t="s">
        <v>140</v>
      </c>
      <c r="H15" s="17" t="s">
        <v>77</v>
      </c>
      <c r="I15" s="17" t="s">
        <v>68</v>
      </c>
      <c r="J15" s="17" t="s">
        <v>174</v>
      </c>
    </row>
    <row r="16" spans="1:10" ht="15.75" customHeight="1" x14ac:dyDescent="0.25">
      <c r="A16" s="17" t="s">
        <v>75</v>
      </c>
      <c r="B16" s="17" t="s">
        <v>73</v>
      </c>
      <c r="H16" s="17">
        <v>12</v>
      </c>
      <c r="I16" s="17" t="s">
        <v>93</v>
      </c>
      <c r="J16" s="17" t="s">
        <v>174</v>
      </c>
    </row>
    <row r="17" spans="1:10" ht="15.75" customHeight="1" x14ac:dyDescent="0.25">
      <c r="A17" s="17">
        <v>65</v>
      </c>
      <c r="B17" s="17" t="s">
        <v>141</v>
      </c>
      <c r="H17" s="17">
        <v>11</v>
      </c>
      <c r="I17" s="17" t="s">
        <v>94</v>
      </c>
      <c r="J17" s="17" t="s">
        <v>174</v>
      </c>
    </row>
    <row r="18" spans="1:10" ht="15.75" customHeight="1" x14ac:dyDescent="0.25">
      <c r="A18" s="17">
        <v>82</v>
      </c>
      <c r="B18" s="17" t="s">
        <v>150</v>
      </c>
      <c r="H18" s="17">
        <v>21</v>
      </c>
      <c r="I18" s="17" t="s">
        <v>95</v>
      </c>
      <c r="J18" s="17" t="s">
        <v>174</v>
      </c>
    </row>
    <row r="19" spans="1:10" ht="15.75" customHeight="1" x14ac:dyDescent="0.25">
      <c r="A19" s="17">
        <v>53</v>
      </c>
      <c r="B19" s="17" t="s">
        <v>142</v>
      </c>
      <c r="E19" s="18"/>
      <c r="H19" s="17">
        <v>13</v>
      </c>
      <c r="I19" s="17" t="s">
        <v>96</v>
      </c>
      <c r="J19" s="17" t="s">
        <v>174</v>
      </c>
    </row>
    <row r="20" spans="1:10" ht="15.75" customHeight="1" x14ac:dyDescent="0.25">
      <c r="A20" s="17">
        <v>63</v>
      </c>
      <c r="B20" s="17" t="s">
        <v>143</v>
      </c>
      <c r="H20" s="17">
        <v>32</v>
      </c>
      <c r="I20" s="17" t="s">
        <v>97</v>
      </c>
      <c r="J20" s="17" t="s">
        <v>174</v>
      </c>
    </row>
    <row r="21" spans="1:10" ht="15.75" customHeight="1" x14ac:dyDescent="0.25">
      <c r="A21" s="17">
        <v>73</v>
      </c>
      <c r="B21" s="17" t="s">
        <v>144</v>
      </c>
      <c r="H21" s="17">
        <v>14</v>
      </c>
      <c r="I21" s="17" t="s">
        <v>98</v>
      </c>
      <c r="J21" s="17" t="s">
        <v>174</v>
      </c>
    </row>
    <row r="22" spans="1:10" ht="15.75" customHeight="1" x14ac:dyDescent="0.25">
      <c r="A22" s="17">
        <v>51</v>
      </c>
      <c r="B22" s="17" t="s">
        <v>145</v>
      </c>
      <c r="H22" s="17">
        <v>31</v>
      </c>
      <c r="I22" s="17" t="s">
        <v>99</v>
      </c>
      <c r="J22" s="17" t="s">
        <v>174</v>
      </c>
    </row>
    <row r="23" spans="1:10" ht="15.75" customHeight="1" x14ac:dyDescent="0.25">
      <c r="A23" s="17">
        <v>42</v>
      </c>
      <c r="B23" s="17" t="s">
        <v>151</v>
      </c>
      <c r="H23" s="17" t="s">
        <v>78</v>
      </c>
      <c r="I23" s="17" t="s">
        <v>71</v>
      </c>
      <c r="J23" s="17" t="s">
        <v>174</v>
      </c>
    </row>
    <row r="24" spans="1:10" ht="15.75" customHeight="1" x14ac:dyDescent="0.25">
      <c r="A24" s="17">
        <v>52</v>
      </c>
      <c r="B24" s="17" t="s">
        <v>146</v>
      </c>
      <c r="H24" s="17" t="s">
        <v>79</v>
      </c>
      <c r="I24" s="17" t="s">
        <v>69</v>
      </c>
      <c r="J24" s="17" t="s">
        <v>174</v>
      </c>
    </row>
    <row r="25" spans="1:10" ht="15.75" customHeight="1" x14ac:dyDescent="0.25">
      <c r="A25" s="17">
        <v>72</v>
      </c>
      <c r="B25" s="17" t="s">
        <v>147</v>
      </c>
      <c r="H25" s="17">
        <v>36</v>
      </c>
      <c r="I25" s="17" t="s">
        <v>100</v>
      </c>
      <c r="J25" s="17" t="s">
        <v>174</v>
      </c>
    </row>
    <row r="26" spans="1:10" ht="15.75" customHeight="1" x14ac:dyDescent="0.25">
      <c r="A26" s="17">
        <v>61</v>
      </c>
      <c r="B26" s="17" t="s">
        <v>148</v>
      </c>
      <c r="H26" s="17">
        <v>10</v>
      </c>
      <c r="I26" s="17" t="s">
        <v>101</v>
      </c>
      <c r="J26" s="17" t="s">
        <v>174</v>
      </c>
    </row>
    <row r="27" spans="1:10" ht="15.75" customHeight="1" x14ac:dyDescent="0.25">
      <c r="H27" s="17">
        <v>30</v>
      </c>
      <c r="I27" s="17" t="s">
        <v>102</v>
      </c>
      <c r="J27" s="17" t="s">
        <v>174</v>
      </c>
    </row>
    <row r="28" spans="1:10" ht="15.75" customHeight="1" x14ac:dyDescent="0.25">
      <c r="H28" s="17">
        <v>40</v>
      </c>
      <c r="I28" s="17" t="s">
        <v>103</v>
      </c>
      <c r="J28" s="17" t="s">
        <v>174</v>
      </c>
    </row>
    <row r="29" spans="1:10" ht="15.75" customHeight="1" x14ac:dyDescent="0.25">
      <c r="H29" s="17">
        <v>29</v>
      </c>
      <c r="I29" s="17" t="s">
        <v>104</v>
      </c>
      <c r="J29" s="17" t="s">
        <v>174</v>
      </c>
    </row>
    <row r="30" spans="1:10" ht="15.75" customHeight="1" x14ac:dyDescent="0.25">
      <c r="H30" s="17" t="s">
        <v>80</v>
      </c>
      <c r="I30" s="17" t="s">
        <v>66</v>
      </c>
      <c r="J30" s="17" t="s">
        <v>174</v>
      </c>
    </row>
    <row r="31" spans="1:10" ht="15.75" customHeight="1" x14ac:dyDescent="0.25">
      <c r="H31" s="17">
        <v>35</v>
      </c>
      <c r="I31" s="17" t="s">
        <v>105</v>
      </c>
      <c r="J31" s="17" t="s">
        <v>174</v>
      </c>
    </row>
    <row r="32" spans="1:10" ht="15.75" customHeight="1" x14ac:dyDescent="0.25">
      <c r="H32" s="17">
        <v>38</v>
      </c>
      <c r="I32" s="17" t="s">
        <v>106</v>
      </c>
      <c r="J32" s="17" t="s">
        <v>174</v>
      </c>
    </row>
    <row r="33" spans="8:10" ht="15.75" customHeight="1" x14ac:dyDescent="0.25">
      <c r="H33" s="17">
        <v>26</v>
      </c>
      <c r="I33" s="17" t="s">
        <v>107</v>
      </c>
      <c r="J33" s="17" t="s">
        <v>174</v>
      </c>
    </row>
    <row r="34" spans="8:10" ht="15.75" customHeight="1" x14ac:dyDescent="0.25">
      <c r="H34" s="17" t="s">
        <v>116</v>
      </c>
      <c r="I34" s="17" t="s">
        <v>67</v>
      </c>
      <c r="J34" s="17" t="s">
        <v>174</v>
      </c>
    </row>
    <row r="35" spans="8:10" ht="15.75" customHeight="1" x14ac:dyDescent="0.25">
      <c r="H35" s="17">
        <v>28</v>
      </c>
      <c r="I35" s="17" t="s">
        <v>108</v>
      </c>
      <c r="J35" s="17" t="s">
        <v>174</v>
      </c>
    </row>
    <row r="36" spans="8:10" ht="15.75" customHeight="1" x14ac:dyDescent="0.25">
      <c r="H36" s="17">
        <v>15</v>
      </c>
      <c r="I36" s="17" t="s">
        <v>109</v>
      </c>
      <c r="J36" s="17" t="s">
        <v>174</v>
      </c>
    </row>
    <row r="37" spans="8:10" ht="15.75" customHeight="1" x14ac:dyDescent="0.25">
      <c r="H37" s="17" t="s">
        <v>81</v>
      </c>
      <c r="I37" s="17" t="s">
        <v>70</v>
      </c>
      <c r="J37" s="17" t="s">
        <v>174</v>
      </c>
    </row>
    <row r="38" spans="8:10" ht="15.75" customHeight="1" x14ac:dyDescent="0.25">
      <c r="H38" s="17">
        <v>92</v>
      </c>
      <c r="I38" s="17" t="s">
        <v>110</v>
      </c>
      <c r="J38" s="17" t="s">
        <v>174</v>
      </c>
    </row>
    <row r="39" spans="8:10" ht="15.75" customHeight="1" x14ac:dyDescent="0.25">
      <c r="H39" s="17">
        <v>33</v>
      </c>
      <c r="I39" s="17" t="s">
        <v>111</v>
      </c>
      <c r="J39" s="17" t="s">
        <v>174</v>
      </c>
    </row>
    <row r="40" spans="8:10" ht="15.75" customHeight="1" x14ac:dyDescent="0.25">
      <c r="H40" s="17" t="s">
        <v>82</v>
      </c>
      <c r="I40" s="17" t="s">
        <v>112</v>
      </c>
      <c r="J40" s="17" t="s">
        <v>174</v>
      </c>
    </row>
    <row r="41" spans="8:10" ht="15.75" customHeight="1" x14ac:dyDescent="0.25">
      <c r="H41" s="17">
        <v>91</v>
      </c>
      <c r="I41" s="17" t="s">
        <v>113</v>
      </c>
      <c r="J41" s="17" t="s">
        <v>174</v>
      </c>
    </row>
    <row r="42" spans="8:10" ht="15.75" customHeight="1" x14ac:dyDescent="0.25">
      <c r="H42" s="17">
        <v>39</v>
      </c>
      <c r="I42" s="17" t="s">
        <v>114</v>
      </c>
      <c r="J42" s="17" t="s">
        <v>174</v>
      </c>
    </row>
    <row r="43" spans="8:10" ht="15.75" customHeight="1" x14ac:dyDescent="0.25">
      <c r="H43" s="17">
        <v>43</v>
      </c>
      <c r="I43" s="17" t="s">
        <v>115</v>
      </c>
      <c r="J43" s="17" t="s">
        <v>174</v>
      </c>
    </row>
    <row r="44" spans="8:10" ht="15.75" customHeight="1" x14ac:dyDescent="0.25">
      <c r="H44" s="17" t="s">
        <v>123</v>
      </c>
      <c r="I44" s="17" t="s">
        <v>117</v>
      </c>
      <c r="J44" s="17" t="s">
        <v>173</v>
      </c>
    </row>
    <row r="45" spans="8:10" ht="15.75" customHeight="1" x14ac:dyDescent="0.25">
      <c r="H45" s="17" t="s">
        <v>124</v>
      </c>
      <c r="I45" s="17" t="s">
        <v>118</v>
      </c>
      <c r="J45" s="17" t="s">
        <v>173</v>
      </c>
    </row>
    <row r="46" spans="8:10" ht="15.75" customHeight="1" x14ac:dyDescent="0.25">
      <c r="H46" s="17" t="s">
        <v>125</v>
      </c>
      <c r="I46" s="17" t="s">
        <v>119</v>
      </c>
      <c r="J46" s="17" t="s">
        <v>173</v>
      </c>
    </row>
    <row r="47" spans="8:10" ht="15.75" customHeight="1" x14ac:dyDescent="0.25">
      <c r="H47" s="17" t="s">
        <v>126</v>
      </c>
      <c r="I47" s="17" t="s">
        <v>120</v>
      </c>
      <c r="J47" s="17" t="s">
        <v>173</v>
      </c>
    </row>
    <row r="48" spans="8:10" ht="15.75" customHeight="1" x14ac:dyDescent="0.25">
      <c r="H48" s="17" t="s">
        <v>127</v>
      </c>
      <c r="I48" s="17" t="s">
        <v>121</v>
      </c>
      <c r="J48" s="17" t="s">
        <v>173</v>
      </c>
    </row>
    <row r="49" spans="8:10" ht="15.75" customHeight="1" x14ac:dyDescent="0.25">
      <c r="H49" s="17" t="s">
        <v>128</v>
      </c>
      <c r="I49" s="17" t="s">
        <v>122</v>
      </c>
      <c r="J49" s="17" t="s">
        <v>173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5B2A5-2FF1-426A-BBB5-B0F33645CCA5}">
  <dimension ref="A1:D124"/>
  <sheetViews>
    <sheetView workbookViewId="0">
      <selection activeCell="A22" sqref="A22"/>
    </sheetView>
  </sheetViews>
  <sheetFormatPr baseColWidth="10" defaultRowHeight="15.75" customHeight="1" x14ac:dyDescent="0.25"/>
  <cols>
    <col min="1" max="1" width="73.7109375" bestFit="1" customWidth="1"/>
    <col min="2" max="3" width="23" customWidth="1"/>
    <col min="4" max="4" width="11.42578125" style="7"/>
  </cols>
  <sheetData>
    <row r="1" spans="1:3" ht="15.75" customHeight="1" thickBot="1" x14ac:dyDescent="0.3">
      <c r="A1" t="s">
        <v>0</v>
      </c>
      <c r="B1" s="3"/>
      <c r="C1" s="3"/>
    </row>
    <row r="2" spans="1:3" ht="15.75" customHeight="1" thickBot="1" x14ac:dyDescent="0.3">
      <c r="A2" t="s">
        <v>1</v>
      </c>
      <c r="B2" s="4"/>
      <c r="C2" s="9"/>
    </row>
    <row r="3" spans="1:3" ht="15.75" customHeight="1" thickBot="1" x14ac:dyDescent="0.3">
      <c r="A3" s="2" t="s">
        <v>3</v>
      </c>
      <c r="B3" s="4"/>
      <c r="C3" s="4"/>
    </row>
    <row r="4" spans="1:3" ht="15.75" customHeight="1" thickBot="1" x14ac:dyDescent="0.3">
      <c r="A4" s="16" t="s">
        <v>4</v>
      </c>
      <c r="B4" s="10">
        <v>74225991</v>
      </c>
      <c r="C4" s="10">
        <v>20543019201</v>
      </c>
    </row>
    <row r="5" spans="1:3" ht="15.75" customHeight="1" x14ac:dyDescent="0.25">
      <c r="A5" s="2" t="s">
        <v>5</v>
      </c>
      <c r="B5" t="s">
        <v>175</v>
      </c>
    </row>
    <row r="6" spans="1:3" ht="15.75" customHeight="1" thickBot="1" x14ac:dyDescent="0.3">
      <c r="A6" s="2" t="s">
        <v>180</v>
      </c>
      <c r="B6" s="4" t="s">
        <v>176</v>
      </c>
      <c r="C6" s="4"/>
    </row>
    <row r="7" spans="1:3" ht="15.75" customHeight="1" x14ac:dyDescent="0.25">
      <c r="A7" s="2" t="s">
        <v>6</v>
      </c>
      <c r="B7" t="s">
        <v>177</v>
      </c>
    </row>
    <row r="8" spans="1:3" ht="15.75" customHeight="1" thickBot="1" x14ac:dyDescent="0.3">
      <c r="A8" s="2" t="s">
        <v>179</v>
      </c>
      <c r="B8" s="4">
        <v>904875166</v>
      </c>
      <c r="C8" s="4"/>
    </row>
    <row r="9" spans="1:3" ht="15.75" customHeight="1" thickBot="1" x14ac:dyDescent="0.3">
      <c r="A9" s="8" t="s">
        <v>181</v>
      </c>
      <c r="B9" s="4" t="s">
        <v>178</v>
      </c>
      <c r="C9" s="4"/>
    </row>
    <row r="10" spans="1:3" ht="15.75" customHeight="1" thickBot="1" x14ac:dyDescent="0.3">
      <c r="A10" s="2" t="s">
        <v>2</v>
      </c>
      <c r="B10" s="4"/>
      <c r="C10" s="9"/>
    </row>
    <row r="11" spans="1:3" ht="15.75" customHeight="1" thickBot="1" x14ac:dyDescent="0.3">
      <c r="A11" t="s">
        <v>8</v>
      </c>
      <c r="B11" s="4"/>
      <c r="C11" s="4"/>
    </row>
    <row r="12" spans="1:3" ht="15.75" customHeight="1" thickBot="1" x14ac:dyDescent="0.3">
      <c r="A12" s="2" t="s">
        <v>9</v>
      </c>
      <c r="B12" s="13" t="s">
        <v>186</v>
      </c>
      <c r="C12" s="13"/>
    </row>
    <row r="13" spans="1:3" ht="15.75" customHeight="1" thickBot="1" x14ac:dyDescent="0.3">
      <c r="A13" s="8" t="s">
        <v>10</v>
      </c>
      <c r="B13" s="4" t="s">
        <v>182</v>
      </c>
      <c r="C13" s="4"/>
    </row>
    <row r="14" spans="1:3" ht="15.75" customHeight="1" thickBot="1" x14ac:dyDescent="0.3">
      <c r="A14" s="8" t="s">
        <v>192</v>
      </c>
      <c r="B14" s="4"/>
      <c r="C14" s="4"/>
    </row>
    <row r="15" spans="1:3" ht="15.75" customHeight="1" thickBot="1" x14ac:dyDescent="0.3">
      <c r="A15" t="s">
        <v>2</v>
      </c>
      <c r="B15" s="4"/>
      <c r="C15" s="4"/>
    </row>
    <row r="16" spans="1:3" ht="15.75" customHeight="1" thickBot="1" x14ac:dyDescent="0.3">
      <c r="A16" t="s">
        <v>11</v>
      </c>
      <c r="B16" s="4"/>
      <c r="C16" s="4"/>
    </row>
    <row r="17" spans="1:3" ht="15.75" customHeight="1" thickBot="1" x14ac:dyDescent="0.3">
      <c r="A17" t="s">
        <v>198</v>
      </c>
      <c r="B17" s="4" t="s">
        <v>185</v>
      </c>
      <c r="C17" s="4" t="s">
        <v>185</v>
      </c>
    </row>
    <row r="18" spans="1:3" ht="15.75" customHeight="1" thickBot="1" x14ac:dyDescent="0.3">
      <c r="A18" s="11" t="s">
        <v>12</v>
      </c>
      <c r="B18" s="4" t="s">
        <v>183</v>
      </c>
      <c r="C18" s="4" t="s">
        <v>183</v>
      </c>
    </row>
    <row r="19" spans="1:3" ht="15.75" customHeight="1" thickBot="1" x14ac:dyDescent="0.3">
      <c r="A19" s="11" t="s">
        <v>13</v>
      </c>
      <c r="B19" s="4" t="s">
        <v>184</v>
      </c>
      <c r="C19" s="4" t="s">
        <v>184</v>
      </c>
    </row>
    <row r="20" spans="1:3" ht="15.75" customHeight="1" thickBot="1" x14ac:dyDescent="0.3">
      <c r="A20" s="15" t="s">
        <v>14</v>
      </c>
      <c r="B20" s="4">
        <v>5</v>
      </c>
      <c r="C20" s="4"/>
    </row>
    <row r="21" spans="1:3" ht="15.75" customHeight="1" thickBot="1" x14ac:dyDescent="0.3">
      <c r="A21" s="2" t="s">
        <v>15</v>
      </c>
      <c r="B21" s="13" t="s">
        <v>186</v>
      </c>
      <c r="C21" s="13"/>
    </row>
    <row r="22" spans="1:3" ht="15.75" customHeight="1" thickBot="1" x14ac:dyDescent="0.3">
      <c r="A22" s="2" t="s">
        <v>16</v>
      </c>
      <c r="B22" s="4"/>
      <c r="C22" s="4"/>
    </row>
    <row r="23" spans="1:3" ht="15.75" customHeight="1" thickBot="1" x14ac:dyDescent="0.3">
      <c r="A23" t="s">
        <v>2</v>
      </c>
      <c r="B23" s="4"/>
      <c r="C23" s="4"/>
    </row>
    <row r="24" spans="1:3" ht="15.75" customHeight="1" thickBot="1" x14ac:dyDescent="0.3">
      <c r="A24" t="s">
        <v>17</v>
      </c>
      <c r="B24" s="4"/>
      <c r="C24" s="4"/>
    </row>
    <row r="25" spans="1:3" ht="15.75" customHeight="1" thickBot="1" x14ac:dyDescent="0.3">
      <c r="A25" t="s">
        <v>18</v>
      </c>
      <c r="B25" s="4">
        <v>701</v>
      </c>
      <c r="C25" s="4">
        <v>702</v>
      </c>
    </row>
    <row r="26" spans="1:3" ht="15.75" customHeight="1" thickBot="1" x14ac:dyDescent="0.3">
      <c r="A26" s="11" t="s">
        <v>190</v>
      </c>
      <c r="B26" s="4" t="s">
        <v>187</v>
      </c>
      <c r="C26" s="4" t="s">
        <v>187</v>
      </c>
    </row>
    <row r="27" spans="1:3" ht="15.75" customHeight="1" thickBot="1" x14ac:dyDescent="0.3">
      <c r="A27" s="11" t="s">
        <v>19</v>
      </c>
      <c r="B27" s="4" t="s">
        <v>188</v>
      </c>
      <c r="C27" s="4" t="s">
        <v>205</v>
      </c>
    </row>
    <row r="28" spans="1:3" ht="15.75" customHeight="1" thickBot="1" x14ac:dyDescent="0.3">
      <c r="A28" s="11" t="s">
        <v>20</v>
      </c>
      <c r="B28" s="14">
        <v>45134</v>
      </c>
      <c r="C28" s="14">
        <v>45135</v>
      </c>
    </row>
    <row r="29" spans="1:3" ht="15.75" customHeight="1" thickBot="1" x14ac:dyDescent="0.3">
      <c r="A29" s="11" t="s">
        <v>21</v>
      </c>
      <c r="B29" s="14">
        <f>B28+2</f>
        <v>45136</v>
      </c>
      <c r="C29" s="14">
        <v>45135</v>
      </c>
    </row>
    <row r="30" spans="1:3" ht="15.75" customHeight="1" thickBot="1" x14ac:dyDescent="0.3">
      <c r="A30" s="11"/>
      <c r="B30" s="14"/>
      <c r="C30" s="14"/>
    </row>
    <row r="31" spans="1:3" ht="15.75" customHeight="1" thickBot="1" x14ac:dyDescent="0.3">
      <c r="A31" t="s">
        <v>2</v>
      </c>
      <c r="B31" s="4"/>
      <c r="C31" s="4"/>
    </row>
    <row r="32" spans="1:3" ht="15.75" customHeight="1" thickBot="1" x14ac:dyDescent="0.3">
      <c r="A32" t="s">
        <v>22</v>
      </c>
      <c r="B32" s="4"/>
      <c r="C32" s="4"/>
    </row>
    <row r="33" spans="1:3" ht="15.75" customHeight="1" thickBot="1" x14ac:dyDescent="0.3">
      <c r="A33" t="s">
        <v>23</v>
      </c>
      <c r="B33" s="4">
        <v>800</v>
      </c>
      <c r="C33" s="4">
        <v>801</v>
      </c>
    </row>
    <row r="34" spans="1:3" ht="15.75" customHeight="1" x14ac:dyDescent="0.25">
      <c r="A34" s="11" t="s">
        <v>25</v>
      </c>
      <c r="B34" t="s">
        <v>203</v>
      </c>
      <c r="C34" t="s">
        <v>204</v>
      </c>
    </row>
    <row r="35" spans="1:3" ht="15.75" customHeight="1" x14ac:dyDescent="0.25">
      <c r="A35" s="11" t="s">
        <v>200</v>
      </c>
      <c r="B35">
        <v>10</v>
      </c>
    </row>
    <row r="36" spans="1:3" ht="15.75" customHeight="1" x14ac:dyDescent="0.25">
      <c r="A36" s="11" t="s">
        <v>199</v>
      </c>
      <c r="C36">
        <v>20</v>
      </c>
    </row>
    <row r="37" spans="1:3" ht="15.75" customHeight="1" x14ac:dyDescent="0.25">
      <c r="A37" s="15" t="s">
        <v>194</v>
      </c>
      <c r="B37" s="2">
        <f>B20</f>
        <v>5</v>
      </c>
      <c r="C37" s="2"/>
    </row>
    <row r="38" spans="1:3" ht="15.75" customHeight="1" x14ac:dyDescent="0.25">
      <c r="A38" s="11" t="s">
        <v>195</v>
      </c>
      <c r="B38" s="11"/>
      <c r="C38" s="11">
        <v>3</v>
      </c>
    </row>
    <row r="39" spans="1:3" ht="15.75" customHeight="1" x14ac:dyDescent="0.25">
      <c r="A39" s="11" t="s">
        <v>193</v>
      </c>
      <c r="B39" s="11">
        <f>B35*B37</f>
        <v>50</v>
      </c>
      <c r="C39" s="11">
        <f>C36*C38</f>
        <v>60</v>
      </c>
    </row>
    <row r="40" spans="1:3" ht="15.75" customHeight="1" x14ac:dyDescent="0.25">
      <c r="A40" s="2" t="s">
        <v>24</v>
      </c>
      <c r="B40" s="2">
        <v>701</v>
      </c>
      <c r="C40" s="2">
        <f>C25</f>
        <v>702</v>
      </c>
    </row>
    <row r="41" spans="1:3" ht="15.75" customHeight="1" thickBot="1" x14ac:dyDescent="0.3">
      <c r="A41" s="2" t="s">
        <v>7</v>
      </c>
      <c r="B41" s="10">
        <f>B4</f>
        <v>74225991</v>
      </c>
      <c r="C41" s="10">
        <f>C4</f>
        <v>20543019201</v>
      </c>
    </row>
    <row r="42" spans="1:3" ht="15.75" customHeight="1" thickBot="1" x14ac:dyDescent="0.3">
      <c r="A42" s="2" t="s">
        <v>191</v>
      </c>
      <c r="B42" s="10"/>
      <c r="C42" s="10"/>
    </row>
    <row r="43" spans="1:3" ht="15.75" customHeight="1" thickBot="1" x14ac:dyDescent="0.3">
      <c r="A43" s="2" t="s">
        <v>189</v>
      </c>
      <c r="B43" s="10"/>
      <c r="C43" s="10"/>
    </row>
    <row r="44" spans="1:3" ht="15.75" customHeight="1" thickBot="1" x14ac:dyDescent="0.3">
      <c r="A44" s="2" t="s">
        <v>26</v>
      </c>
      <c r="B44" s="10"/>
      <c r="C44" s="10"/>
    </row>
    <row r="45" spans="1:3" ht="15.75" customHeight="1" thickBot="1" x14ac:dyDescent="0.3">
      <c r="A45" t="s">
        <v>2</v>
      </c>
      <c r="B45" s="4"/>
      <c r="C45" s="4"/>
    </row>
    <row r="46" spans="1:3" ht="15.75" customHeight="1" x14ac:dyDescent="0.25">
      <c r="A46" t="s">
        <v>29</v>
      </c>
    </row>
    <row r="47" spans="1:3" ht="15.75" customHeight="1" x14ac:dyDescent="0.25">
      <c r="A47" s="11" t="s">
        <v>30</v>
      </c>
      <c r="B47" s="11" t="s">
        <v>196</v>
      </c>
      <c r="C47" s="11" t="s">
        <v>206</v>
      </c>
    </row>
    <row r="48" spans="1:3" ht="15.75" customHeight="1" x14ac:dyDescent="0.25">
      <c r="A48" t="s">
        <v>31</v>
      </c>
      <c r="B48">
        <v>0</v>
      </c>
      <c r="C48">
        <v>0</v>
      </c>
    </row>
    <row r="49" spans="1:3" ht="15.75" customHeight="1" x14ac:dyDescent="0.25">
      <c r="A49" s="15" t="s">
        <v>200</v>
      </c>
      <c r="B49" s="15">
        <v>10</v>
      </c>
      <c r="C49" s="15"/>
    </row>
    <row r="50" spans="1:3" ht="15.75" customHeight="1" x14ac:dyDescent="0.25">
      <c r="A50" s="15" t="s">
        <v>199</v>
      </c>
      <c r="B50" s="15"/>
      <c r="C50" s="15">
        <f>C36</f>
        <v>20</v>
      </c>
    </row>
    <row r="51" spans="1:3" ht="15.75" customHeight="1" x14ac:dyDescent="0.25">
      <c r="A51" s="11" t="s">
        <v>207</v>
      </c>
      <c r="B51">
        <f>B48-B49+B50</f>
        <v>-10</v>
      </c>
      <c r="C51">
        <f>C48-C49+C50</f>
        <v>20</v>
      </c>
    </row>
    <row r="52" spans="1:3" ht="15.75" customHeight="1" x14ac:dyDescent="0.25">
      <c r="A52" s="2" t="s">
        <v>197</v>
      </c>
      <c r="B52" s="2" t="str">
        <f>B17</f>
        <v>MZCHID</v>
      </c>
      <c r="C52" s="2" t="str">
        <f>C17</f>
        <v>MZCHID</v>
      </c>
    </row>
    <row r="53" spans="1:3" ht="15.75" customHeight="1" x14ac:dyDescent="0.25">
      <c r="A53" t="s">
        <v>208</v>
      </c>
      <c r="B53" s="2">
        <f>B25</f>
        <v>701</v>
      </c>
      <c r="C53" s="2">
        <f>C25</f>
        <v>702</v>
      </c>
    </row>
    <row r="54" spans="1:3" ht="15.75" customHeight="1" x14ac:dyDescent="0.25">
      <c r="A54" t="s">
        <v>27</v>
      </c>
      <c r="B54" s="2">
        <f>B33</f>
        <v>800</v>
      </c>
      <c r="C54" s="2">
        <f>C33</f>
        <v>801</v>
      </c>
    </row>
    <row r="55" spans="1:3" ht="15.75" customHeight="1" x14ac:dyDescent="0.25">
      <c r="A55" s="2" t="s">
        <v>26</v>
      </c>
      <c r="B55" s="2"/>
      <c r="C55" s="2"/>
    </row>
    <row r="56" spans="1:3" ht="15.75" customHeight="1" x14ac:dyDescent="0.25">
      <c r="A56" s="2" t="s">
        <v>209</v>
      </c>
      <c r="B56" s="2"/>
      <c r="C56" s="2"/>
    </row>
    <row r="57" spans="1:3" ht="15.75" customHeight="1" x14ac:dyDescent="0.25">
      <c r="A57" s="2" t="s">
        <v>28</v>
      </c>
      <c r="B57" s="2"/>
      <c r="C57" s="2"/>
    </row>
    <row r="58" spans="1:3" ht="15.75" customHeight="1" x14ac:dyDescent="0.25">
      <c r="A58" s="2" t="s">
        <v>202</v>
      </c>
      <c r="B58" s="2"/>
      <c r="C58" s="2"/>
    </row>
    <row r="59" spans="1:3" ht="15.75" customHeight="1" x14ac:dyDescent="0.25">
      <c r="A59" s="2" t="s">
        <v>201</v>
      </c>
      <c r="B59" s="2"/>
      <c r="C59" s="2"/>
    </row>
    <row r="60" spans="1:3" ht="15.75" customHeight="1" x14ac:dyDescent="0.25">
      <c r="A60" t="s">
        <v>2</v>
      </c>
    </row>
    <row r="61" spans="1:3" ht="15.75" customHeight="1" x14ac:dyDescent="0.25">
      <c r="A61" s="1"/>
    </row>
    <row r="62" spans="1:3" ht="15.75" customHeight="1" x14ac:dyDescent="0.25">
      <c r="A62" t="s">
        <v>34</v>
      </c>
    </row>
    <row r="63" spans="1:3" ht="15.75" customHeight="1" x14ac:dyDescent="0.25">
      <c r="A63" t="s">
        <v>35</v>
      </c>
    </row>
    <row r="64" spans="1:3" ht="15.75" customHeight="1" x14ac:dyDescent="0.25">
      <c r="A64" t="s">
        <v>36</v>
      </c>
    </row>
    <row r="66" spans="1:1" ht="15.75" customHeight="1" x14ac:dyDescent="0.25">
      <c r="A66" t="s">
        <v>37</v>
      </c>
    </row>
    <row r="67" spans="1:1" ht="15.75" customHeight="1" x14ac:dyDescent="0.25">
      <c r="A67" t="s">
        <v>38</v>
      </c>
    </row>
    <row r="68" spans="1:1" ht="15.75" customHeight="1" x14ac:dyDescent="0.25">
      <c r="A68" t="s">
        <v>36</v>
      </c>
    </row>
    <row r="70" spans="1:1" ht="15.75" customHeight="1" x14ac:dyDescent="0.25">
      <c r="A70" t="s">
        <v>39</v>
      </c>
    </row>
    <row r="71" spans="1:1" ht="15.75" customHeight="1" x14ac:dyDescent="0.25">
      <c r="A71" t="s">
        <v>40</v>
      </c>
    </row>
    <row r="72" spans="1:1" ht="15.75" customHeight="1" x14ac:dyDescent="0.25">
      <c r="A72" t="s">
        <v>36</v>
      </c>
    </row>
    <row r="74" spans="1:1" ht="15.75" customHeight="1" x14ac:dyDescent="0.25">
      <c r="A74" t="s">
        <v>32</v>
      </c>
    </row>
    <row r="75" spans="1:1" ht="15.75" customHeight="1" x14ac:dyDescent="0.25">
      <c r="A75" t="s">
        <v>41</v>
      </c>
    </row>
    <row r="76" spans="1:1" ht="15.75" customHeight="1" x14ac:dyDescent="0.25">
      <c r="A76" t="s">
        <v>36</v>
      </c>
    </row>
    <row r="78" spans="1:1" ht="15.75" customHeight="1" x14ac:dyDescent="0.25">
      <c r="A78" t="s">
        <v>42</v>
      </c>
    </row>
    <row r="79" spans="1:1" ht="15.75" customHeight="1" x14ac:dyDescent="0.25">
      <c r="A79" t="s">
        <v>43</v>
      </c>
    </row>
    <row r="80" spans="1:1" ht="15.75" customHeight="1" x14ac:dyDescent="0.25">
      <c r="A80" t="s">
        <v>36</v>
      </c>
    </row>
    <row r="82" spans="1:1" ht="15.75" customHeight="1" x14ac:dyDescent="0.25">
      <c r="A82" t="s">
        <v>44</v>
      </c>
    </row>
    <row r="83" spans="1:1" ht="15.75" customHeight="1" x14ac:dyDescent="0.25">
      <c r="A83" t="s">
        <v>45</v>
      </c>
    </row>
    <row r="84" spans="1:1" ht="15.75" customHeight="1" x14ac:dyDescent="0.25">
      <c r="A84" t="s">
        <v>36</v>
      </c>
    </row>
    <row r="86" spans="1:1" ht="15.75" customHeight="1" x14ac:dyDescent="0.25">
      <c r="A86" t="s">
        <v>46</v>
      </c>
    </row>
    <row r="87" spans="1:1" ht="15.75" customHeight="1" x14ac:dyDescent="0.25">
      <c r="A87" t="s">
        <v>45</v>
      </c>
    </row>
    <row r="88" spans="1:1" ht="15.75" customHeight="1" x14ac:dyDescent="0.25">
      <c r="A88" t="s">
        <v>36</v>
      </c>
    </row>
    <row r="90" spans="1:1" ht="15.75" customHeight="1" x14ac:dyDescent="0.25">
      <c r="A90" t="s">
        <v>47</v>
      </c>
    </row>
    <row r="91" spans="1:1" ht="15.75" customHeight="1" x14ac:dyDescent="0.25">
      <c r="A91" t="s">
        <v>48</v>
      </c>
    </row>
    <row r="92" spans="1:1" ht="15.75" customHeight="1" x14ac:dyDescent="0.25">
      <c r="A92" t="s">
        <v>36</v>
      </c>
    </row>
    <row r="94" spans="1:1" ht="15.75" customHeight="1" x14ac:dyDescent="0.25">
      <c r="A94" t="s">
        <v>49</v>
      </c>
    </row>
    <row r="95" spans="1:1" ht="15.75" customHeight="1" x14ac:dyDescent="0.25">
      <c r="A95" t="s">
        <v>50</v>
      </c>
    </row>
    <row r="96" spans="1:1" ht="15.75" customHeight="1" x14ac:dyDescent="0.25">
      <c r="A96" t="s">
        <v>36</v>
      </c>
    </row>
    <row r="98" spans="1:1" ht="15.75" customHeight="1" x14ac:dyDescent="0.25">
      <c r="A98" t="s">
        <v>51</v>
      </c>
    </row>
    <row r="99" spans="1:1" ht="15.75" customHeight="1" x14ac:dyDescent="0.25">
      <c r="A99" t="s">
        <v>52</v>
      </c>
    </row>
    <row r="100" spans="1:1" ht="15.75" customHeight="1" x14ac:dyDescent="0.25">
      <c r="A100" t="s">
        <v>36</v>
      </c>
    </row>
    <row r="102" spans="1:1" ht="15.75" customHeight="1" x14ac:dyDescent="0.25">
      <c r="A102" t="s">
        <v>53</v>
      </c>
    </row>
    <row r="103" spans="1:1" ht="15.75" customHeight="1" x14ac:dyDescent="0.25">
      <c r="A103" t="s">
        <v>54</v>
      </c>
    </row>
    <row r="104" spans="1:1" ht="15.75" customHeight="1" x14ac:dyDescent="0.25">
      <c r="A104" t="s">
        <v>36</v>
      </c>
    </row>
    <row r="106" spans="1:1" ht="15.75" customHeight="1" x14ac:dyDescent="0.25">
      <c r="A106" t="s">
        <v>55</v>
      </c>
    </row>
    <row r="107" spans="1:1" ht="15.75" customHeight="1" x14ac:dyDescent="0.25">
      <c r="A107" t="s">
        <v>56</v>
      </c>
    </row>
    <row r="108" spans="1:1" ht="15.75" customHeight="1" x14ac:dyDescent="0.25">
      <c r="A108" t="s">
        <v>36</v>
      </c>
    </row>
    <row r="109" spans="1:1" ht="15.75" customHeight="1" x14ac:dyDescent="0.25">
      <c r="A109" t="s">
        <v>57</v>
      </c>
    </row>
    <row r="110" spans="1:1" ht="15.75" customHeight="1" x14ac:dyDescent="0.25">
      <c r="A110" t="s">
        <v>58</v>
      </c>
    </row>
    <row r="111" spans="1:1" ht="15.75" customHeight="1" x14ac:dyDescent="0.25">
      <c r="A111" t="s">
        <v>59</v>
      </c>
    </row>
    <row r="112" spans="1:1" ht="15.75" customHeight="1" x14ac:dyDescent="0.25">
      <c r="A112" t="s">
        <v>36</v>
      </c>
    </row>
    <row r="113" spans="1:1" ht="15.75" customHeight="1" x14ac:dyDescent="0.25">
      <c r="A113" t="s">
        <v>57</v>
      </c>
    </row>
    <row r="114" spans="1:1" ht="15.75" customHeight="1" x14ac:dyDescent="0.25">
      <c r="A114" t="s">
        <v>60</v>
      </c>
    </row>
    <row r="115" spans="1:1" ht="15.75" customHeight="1" x14ac:dyDescent="0.25">
      <c r="A115" t="s">
        <v>54</v>
      </c>
    </row>
    <row r="116" spans="1:1" ht="15.75" customHeight="1" x14ac:dyDescent="0.25">
      <c r="A116" t="s">
        <v>36</v>
      </c>
    </row>
    <row r="117" spans="1:1" ht="15.75" customHeight="1" x14ac:dyDescent="0.25">
      <c r="A117" t="s">
        <v>57</v>
      </c>
    </row>
    <row r="118" spans="1:1" ht="15.75" customHeight="1" x14ac:dyDescent="0.25">
      <c r="A118" t="s">
        <v>61</v>
      </c>
    </row>
    <row r="119" spans="1:1" ht="15.75" customHeight="1" x14ac:dyDescent="0.25">
      <c r="A119" t="s">
        <v>62</v>
      </c>
    </row>
    <row r="120" spans="1:1" ht="15.75" customHeight="1" x14ac:dyDescent="0.25">
      <c r="A120" t="s">
        <v>36</v>
      </c>
    </row>
    <row r="122" spans="1:1" ht="15.75" customHeight="1" x14ac:dyDescent="0.25">
      <c r="A122" t="s">
        <v>63</v>
      </c>
    </row>
    <row r="123" spans="1:1" ht="15.75" customHeight="1" x14ac:dyDescent="0.25">
      <c r="A123" t="s">
        <v>64</v>
      </c>
    </row>
    <row r="124" spans="1:1" ht="15.75" customHeight="1" x14ac:dyDescent="0.25">
      <c r="A124" t="s">
        <v>36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6C435-252D-46A8-AF31-FFA05DA9C9AC}">
  <dimension ref="A1:P78"/>
  <sheetViews>
    <sheetView topLeftCell="A52" workbookViewId="0">
      <selection activeCell="D80" sqref="D80"/>
    </sheetView>
  </sheetViews>
  <sheetFormatPr baseColWidth="10" defaultRowHeight="12.75" customHeight="1" x14ac:dyDescent="0.25"/>
  <cols>
    <col min="1" max="10" width="23.28515625" customWidth="1"/>
    <col min="12" max="12" width="15.85546875" customWidth="1"/>
  </cols>
  <sheetData>
    <row r="1" spans="1:6" ht="12.75" customHeight="1" thickBot="1" x14ac:dyDescent="0.3">
      <c r="A1" s="194" t="s">
        <v>363</v>
      </c>
      <c r="B1" s="194" t="s">
        <v>364</v>
      </c>
      <c r="C1" s="194" t="s">
        <v>365</v>
      </c>
      <c r="D1" s="194" t="s">
        <v>366</v>
      </c>
      <c r="E1" s="195" t="s">
        <v>367</v>
      </c>
    </row>
    <row r="2" spans="1:6" ht="12.75" customHeight="1" thickBot="1" x14ac:dyDescent="0.3">
      <c r="A2">
        <v>200</v>
      </c>
      <c r="B2" s="196" t="s">
        <v>368</v>
      </c>
      <c r="C2" s="196" t="s">
        <v>369</v>
      </c>
      <c r="D2" s="196">
        <v>1500.75</v>
      </c>
      <c r="E2" s="5" t="s">
        <v>370</v>
      </c>
    </row>
    <row r="3" spans="1:6" ht="12.75" customHeight="1" thickBot="1" x14ac:dyDescent="0.3">
      <c r="A3">
        <v>201</v>
      </c>
      <c r="B3" s="196" t="s">
        <v>371</v>
      </c>
      <c r="C3" s="196" t="s">
        <v>372</v>
      </c>
      <c r="D3" s="196">
        <v>899.99</v>
      </c>
      <c r="E3" s="5" t="s">
        <v>373</v>
      </c>
    </row>
    <row r="4" spans="1:6" ht="12.75" customHeight="1" thickBot="1" x14ac:dyDescent="0.3">
      <c r="A4">
        <v>202</v>
      </c>
      <c r="B4" s="196" t="s">
        <v>374</v>
      </c>
      <c r="C4" s="196" t="s">
        <v>375</v>
      </c>
      <c r="D4" s="196">
        <v>35000.5</v>
      </c>
      <c r="E4" s="5" t="s">
        <v>376</v>
      </c>
    </row>
    <row r="5" spans="1:6" ht="12.75" customHeight="1" thickBot="1" x14ac:dyDescent="0.3">
      <c r="A5">
        <v>203</v>
      </c>
      <c r="B5" s="196" t="s">
        <v>377</v>
      </c>
      <c r="C5" s="196" t="s">
        <v>378</v>
      </c>
      <c r="D5" s="196">
        <v>7800.25</v>
      </c>
      <c r="E5" s="5" t="s">
        <v>379</v>
      </c>
    </row>
    <row r="6" spans="1:6" ht="12.75" customHeight="1" thickBot="1" x14ac:dyDescent="0.3">
      <c r="A6">
        <v>204</v>
      </c>
      <c r="B6" s="196" t="s">
        <v>380</v>
      </c>
      <c r="C6" s="196" t="s">
        <v>381</v>
      </c>
      <c r="D6" s="196">
        <v>299.5</v>
      </c>
      <c r="E6" s="5" t="s">
        <v>382</v>
      </c>
    </row>
    <row r="7" spans="1:6" ht="12.75" customHeight="1" thickBot="1" x14ac:dyDescent="0.3">
      <c r="A7">
        <v>205</v>
      </c>
      <c r="B7" s="196" t="s">
        <v>383</v>
      </c>
      <c r="C7" s="196" t="s">
        <v>384</v>
      </c>
      <c r="D7" s="196">
        <v>20</v>
      </c>
      <c r="E7" s="5" t="s">
        <v>385</v>
      </c>
    </row>
    <row r="8" spans="1:6" ht="12.75" customHeight="1" thickBot="1" x14ac:dyDescent="0.3">
      <c r="A8">
        <v>206</v>
      </c>
      <c r="B8" s="196" t="s">
        <v>386</v>
      </c>
      <c r="C8" s="196" t="s">
        <v>387</v>
      </c>
      <c r="D8" s="196">
        <v>30000</v>
      </c>
      <c r="E8" s="5" t="s">
        <v>388</v>
      </c>
    </row>
    <row r="9" spans="1:6" ht="12.75" customHeight="1" thickBot="1" x14ac:dyDescent="0.3">
      <c r="A9">
        <v>207</v>
      </c>
      <c r="B9" s="196" t="s">
        <v>389</v>
      </c>
      <c r="C9" s="196" t="s">
        <v>390</v>
      </c>
      <c r="D9" s="196">
        <v>45000.75</v>
      </c>
      <c r="E9" s="5" t="s">
        <v>391</v>
      </c>
    </row>
    <row r="10" spans="1:6" ht="12.75" customHeight="1" thickBot="1" x14ac:dyDescent="0.3">
      <c r="A10">
        <v>208</v>
      </c>
      <c r="B10" s="196" t="s">
        <v>392</v>
      </c>
      <c r="C10" s="196" t="s">
        <v>393</v>
      </c>
      <c r="D10" s="196">
        <v>699.99</v>
      </c>
      <c r="E10" s="5" t="s">
        <v>394</v>
      </c>
      <c r="F10" s="6"/>
    </row>
    <row r="11" spans="1:6" ht="12.75" customHeight="1" thickBot="1" x14ac:dyDescent="0.3">
      <c r="A11">
        <v>209</v>
      </c>
      <c r="B11" s="196" t="s">
        <v>395</v>
      </c>
      <c r="C11" s="196" t="s">
        <v>396</v>
      </c>
      <c r="D11" s="196">
        <v>249.5</v>
      </c>
      <c r="E11" s="5" t="s">
        <v>397</v>
      </c>
      <c r="F11" s="6"/>
    </row>
    <row r="12" spans="1:6" ht="12.75" customHeight="1" thickBot="1" x14ac:dyDescent="0.3">
      <c r="A12">
        <v>210</v>
      </c>
      <c r="B12" s="196" t="s">
        <v>398</v>
      </c>
      <c r="C12" s="196" t="s">
        <v>399</v>
      </c>
      <c r="D12" s="196">
        <v>899</v>
      </c>
      <c r="E12" s="5" t="s">
        <v>400</v>
      </c>
    </row>
    <row r="13" spans="1:6" ht="12.75" customHeight="1" thickBot="1" x14ac:dyDescent="0.3">
      <c r="A13">
        <v>211</v>
      </c>
      <c r="B13" s="196" t="s">
        <v>401</v>
      </c>
      <c r="C13" s="196" t="s">
        <v>402</v>
      </c>
      <c r="D13" s="196">
        <v>2500</v>
      </c>
      <c r="E13" s="5" t="s">
        <v>376</v>
      </c>
    </row>
    <row r="14" spans="1:6" ht="12.75" customHeight="1" thickBot="1" x14ac:dyDescent="0.3">
      <c r="A14">
        <v>212</v>
      </c>
      <c r="B14" s="196" t="s">
        <v>403</v>
      </c>
      <c r="C14" s="196" t="s">
        <v>404</v>
      </c>
      <c r="D14" s="196">
        <v>349.99</v>
      </c>
      <c r="E14" s="5" t="s">
        <v>379</v>
      </c>
    </row>
    <row r="15" spans="1:6" ht="12.75" customHeight="1" thickBot="1" x14ac:dyDescent="0.3">
      <c r="A15">
        <v>213</v>
      </c>
      <c r="B15" s="196" t="s">
        <v>405</v>
      </c>
      <c r="C15" s="196" t="s">
        <v>406</v>
      </c>
      <c r="D15" s="196">
        <v>599.5</v>
      </c>
      <c r="E15" s="5" t="s">
        <v>382</v>
      </c>
    </row>
    <row r="16" spans="1:6" ht="12.75" customHeight="1" thickBot="1" x14ac:dyDescent="0.3">
      <c r="A16">
        <v>214</v>
      </c>
      <c r="B16" s="196" t="s">
        <v>407</v>
      </c>
      <c r="C16" s="196" t="s">
        <v>408</v>
      </c>
      <c r="D16" s="196">
        <v>449</v>
      </c>
      <c r="E16" s="5" t="s">
        <v>385</v>
      </c>
    </row>
    <row r="17" spans="1:14" ht="12.75" customHeight="1" thickBot="1" x14ac:dyDescent="0.3">
      <c r="A17">
        <v>215</v>
      </c>
      <c r="B17" s="196" t="s">
        <v>409</v>
      </c>
      <c r="C17" s="196" t="s">
        <v>410</v>
      </c>
      <c r="D17" s="196">
        <v>1500</v>
      </c>
      <c r="E17" s="5" t="s">
        <v>388</v>
      </c>
    </row>
    <row r="18" spans="1:14" ht="12.75" customHeight="1" thickBot="1" x14ac:dyDescent="0.3">
      <c r="A18">
        <v>216</v>
      </c>
      <c r="B18" s="196" t="s">
        <v>411</v>
      </c>
      <c r="C18" s="196" t="s">
        <v>412</v>
      </c>
      <c r="D18" s="196">
        <v>299.99</v>
      </c>
      <c r="E18" s="5" t="s">
        <v>391</v>
      </c>
    </row>
    <row r="19" spans="1:14" ht="12.75" customHeight="1" thickBot="1" x14ac:dyDescent="0.3">
      <c r="A19">
        <v>217</v>
      </c>
      <c r="B19" s="196" t="s">
        <v>413</v>
      </c>
      <c r="C19" s="196" t="s">
        <v>414</v>
      </c>
      <c r="D19" s="196">
        <v>89.5</v>
      </c>
      <c r="E19" s="5" t="s">
        <v>394</v>
      </c>
    </row>
    <row r="20" spans="1:14" ht="12.75" customHeight="1" thickBot="1" x14ac:dyDescent="0.3">
      <c r="A20">
        <v>218</v>
      </c>
      <c r="B20" s="196" t="s">
        <v>415</v>
      </c>
      <c r="C20" s="196" t="s">
        <v>416</v>
      </c>
      <c r="D20" s="196">
        <v>1199</v>
      </c>
      <c r="E20" s="5" t="s">
        <v>397</v>
      </c>
    </row>
    <row r="21" spans="1:14" ht="12.75" customHeight="1" thickBot="1" x14ac:dyDescent="0.3"/>
    <row r="22" spans="1:14" ht="12.75" customHeight="1" thickBot="1" x14ac:dyDescent="0.3">
      <c r="A22" s="223" t="s">
        <v>336</v>
      </c>
      <c r="B22" s="194" t="s">
        <v>337</v>
      </c>
      <c r="C22" s="194" t="s">
        <v>338</v>
      </c>
      <c r="D22" s="194" t="s">
        <v>339</v>
      </c>
      <c r="E22" s="194" t="s">
        <v>340</v>
      </c>
      <c r="F22" s="194" t="s">
        <v>341</v>
      </c>
      <c r="G22" s="194" t="s">
        <v>342</v>
      </c>
      <c r="H22" s="194" t="s">
        <v>343</v>
      </c>
      <c r="I22" s="194" t="s">
        <v>344</v>
      </c>
      <c r="J22" s="194" t="s">
        <v>319</v>
      </c>
      <c r="K22" s="195" t="s">
        <v>345</v>
      </c>
      <c r="L22" s="214" t="s">
        <v>431</v>
      </c>
      <c r="M22" s="214" t="s">
        <v>429</v>
      </c>
    </row>
    <row r="23" spans="1:14" s="12" customFormat="1" ht="12.75" customHeight="1" thickBot="1" x14ac:dyDescent="0.3">
      <c r="A23" s="216">
        <v>2001</v>
      </c>
      <c r="B23" s="208" t="s">
        <v>348</v>
      </c>
      <c r="C23" s="208">
        <v>0</v>
      </c>
      <c r="D23" s="208">
        <v>8</v>
      </c>
      <c r="E23" s="209">
        <v>0</v>
      </c>
      <c r="F23" s="209">
        <v>1275.6375</v>
      </c>
      <c r="G23" s="209">
        <f>C23*E23</f>
        <v>0</v>
      </c>
      <c r="H23" s="208">
        <f>D23*F23</f>
        <v>10205.1</v>
      </c>
      <c r="I23" s="208" t="s">
        <v>349</v>
      </c>
      <c r="J23" s="196">
        <v>1001</v>
      </c>
      <c r="K23" s="210" t="s">
        <v>354</v>
      </c>
      <c r="L23" s="215" t="s">
        <v>370</v>
      </c>
      <c r="M23" s="216" t="s">
        <v>204</v>
      </c>
      <c r="N23" s="221">
        <f>G23+H23</f>
        <v>10205.1</v>
      </c>
    </row>
    <row r="24" spans="1:14" s="12" customFormat="1" ht="12.75" customHeight="1" thickBot="1" x14ac:dyDescent="0.3">
      <c r="A24" s="216">
        <v>2002</v>
      </c>
      <c r="B24" s="208" t="s">
        <v>348</v>
      </c>
      <c r="C24" s="208">
        <v>0</v>
      </c>
      <c r="D24" s="208">
        <v>15</v>
      </c>
      <c r="E24" s="209">
        <v>0</v>
      </c>
      <c r="F24" s="209">
        <v>494.99450000000007</v>
      </c>
      <c r="G24" s="209">
        <f t="shared" ref="G24:G36" si="0">C24*E24</f>
        <v>0</v>
      </c>
      <c r="H24" s="208">
        <f t="shared" ref="H24:H38" si="1">D24*F24</f>
        <v>7424.9175000000014</v>
      </c>
      <c r="I24" s="208" t="s">
        <v>349</v>
      </c>
      <c r="J24" s="196">
        <v>1002</v>
      </c>
      <c r="K24" s="210" t="s">
        <v>358</v>
      </c>
      <c r="L24" s="215" t="s">
        <v>373</v>
      </c>
      <c r="M24" s="216" t="s">
        <v>204</v>
      </c>
      <c r="N24" s="221">
        <f t="shared" ref="N24:N36" si="2">G24+H24</f>
        <v>7424.9175000000014</v>
      </c>
    </row>
    <row r="25" spans="1:14" s="12" customFormat="1" ht="12.75" customHeight="1" thickBot="1" x14ac:dyDescent="0.3">
      <c r="A25" s="216">
        <v>2003</v>
      </c>
      <c r="B25" s="208" t="s">
        <v>348</v>
      </c>
      <c r="C25" s="208">
        <v>0</v>
      </c>
      <c r="D25" s="208">
        <v>5</v>
      </c>
      <c r="E25" s="209">
        <v>0</v>
      </c>
      <c r="F25" s="209">
        <v>31500.45</v>
      </c>
      <c r="G25" s="209">
        <f t="shared" si="0"/>
        <v>0</v>
      </c>
      <c r="H25" s="208">
        <f t="shared" si="1"/>
        <v>157502.25</v>
      </c>
      <c r="I25" s="208" t="s">
        <v>349</v>
      </c>
      <c r="J25" s="196">
        <v>1003</v>
      </c>
      <c r="K25" s="210" t="s">
        <v>357</v>
      </c>
      <c r="L25" s="215" t="s">
        <v>376</v>
      </c>
      <c r="M25" s="216" t="s">
        <v>204</v>
      </c>
      <c r="N25" s="221">
        <f t="shared" si="2"/>
        <v>157502.25</v>
      </c>
    </row>
    <row r="26" spans="1:14" s="12" customFormat="1" ht="12.75" customHeight="1" thickBot="1" x14ac:dyDescent="0.3">
      <c r="A26" s="216">
        <v>2004</v>
      </c>
      <c r="B26" s="208" t="s">
        <v>348</v>
      </c>
      <c r="C26" s="208">
        <v>0</v>
      </c>
      <c r="D26" s="208">
        <v>8</v>
      </c>
      <c r="E26" s="209">
        <v>0</v>
      </c>
      <c r="F26" s="209">
        <v>3510.1125000000002</v>
      </c>
      <c r="G26" s="209">
        <f t="shared" si="0"/>
        <v>0</v>
      </c>
      <c r="H26" s="208">
        <f t="shared" si="1"/>
        <v>28080.9</v>
      </c>
      <c r="I26" s="208" t="s">
        <v>349</v>
      </c>
      <c r="J26" s="196">
        <v>1004</v>
      </c>
      <c r="K26" s="210" t="s">
        <v>355</v>
      </c>
      <c r="L26" s="215" t="s">
        <v>379</v>
      </c>
      <c r="M26" s="216" t="s">
        <v>204</v>
      </c>
      <c r="N26" s="221">
        <f t="shared" si="2"/>
        <v>28080.9</v>
      </c>
    </row>
    <row r="27" spans="1:14" s="12" customFormat="1" ht="12.75" customHeight="1" thickBot="1" x14ac:dyDescent="0.3">
      <c r="A27" s="216">
        <v>2005</v>
      </c>
      <c r="B27" s="208" t="s">
        <v>348</v>
      </c>
      <c r="C27" s="208">
        <v>0</v>
      </c>
      <c r="D27" s="208">
        <v>10</v>
      </c>
      <c r="E27" s="209">
        <v>0</v>
      </c>
      <c r="F27" s="209">
        <v>164.72500000000002</v>
      </c>
      <c r="G27" s="209">
        <f t="shared" si="0"/>
        <v>0</v>
      </c>
      <c r="H27" s="208">
        <f t="shared" si="1"/>
        <v>1647.2500000000002</v>
      </c>
      <c r="I27" s="208" t="s">
        <v>349</v>
      </c>
      <c r="J27" s="196">
        <v>1005</v>
      </c>
      <c r="K27" s="210" t="s">
        <v>359</v>
      </c>
      <c r="L27" s="215" t="s">
        <v>382</v>
      </c>
      <c r="M27" s="216" t="s">
        <v>204</v>
      </c>
      <c r="N27" s="221">
        <f t="shared" si="2"/>
        <v>1647.2500000000002</v>
      </c>
    </row>
    <row r="28" spans="1:14" ht="12.75" customHeight="1" thickBot="1" x14ac:dyDescent="0.3">
      <c r="A28" s="216">
        <v>2006</v>
      </c>
      <c r="B28" s="196" t="s">
        <v>348</v>
      </c>
      <c r="C28" s="196">
        <v>0</v>
      </c>
      <c r="D28" s="196">
        <v>150</v>
      </c>
      <c r="E28" s="201">
        <v>0</v>
      </c>
      <c r="F28" s="201">
        <v>5</v>
      </c>
      <c r="G28" s="201">
        <f t="shared" si="0"/>
        <v>0</v>
      </c>
      <c r="H28" s="196">
        <f t="shared" si="1"/>
        <v>750</v>
      </c>
      <c r="I28" s="196" t="s">
        <v>349</v>
      </c>
      <c r="J28" s="196">
        <v>1006</v>
      </c>
      <c r="K28" s="5" t="s">
        <v>356</v>
      </c>
      <c r="L28" s="217" t="s">
        <v>385</v>
      </c>
      <c r="M28" s="218" t="s">
        <v>204</v>
      </c>
      <c r="N28" s="221">
        <f t="shared" si="2"/>
        <v>750</v>
      </c>
    </row>
    <row r="29" spans="1:14" ht="12.75" customHeight="1" thickBot="1" x14ac:dyDescent="0.3">
      <c r="A29" s="216">
        <v>2007</v>
      </c>
      <c r="B29" s="196" t="s">
        <v>348</v>
      </c>
      <c r="C29" s="196">
        <v>0</v>
      </c>
      <c r="D29" s="196">
        <v>8</v>
      </c>
      <c r="E29" s="201">
        <f t="shared" ref="E29" si="3">D8</f>
        <v>30000</v>
      </c>
      <c r="F29" s="201">
        <v>25500</v>
      </c>
      <c r="G29" s="201">
        <f t="shared" si="0"/>
        <v>0</v>
      </c>
      <c r="H29" s="196">
        <f t="shared" si="1"/>
        <v>204000</v>
      </c>
      <c r="I29" s="196" t="s">
        <v>349</v>
      </c>
      <c r="J29" s="196">
        <v>1007</v>
      </c>
      <c r="K29" s="5" t="s">
        <v>347</v>
      </c>
      <c r="L29" s="217" t="s">
        <v>388</v>
      </c>
      <c r="M29" s="218" t="s">
        <v>204</v>
      </c>
      <c r="N29" s="221">
        <f t="shared" si="2"/>
        <v>204000</v>
      </c>
    </row>
    <row r="30" spans="1:14" ht="12.75" customHeight="1" thickBot="1" x14ac:dyDescent="0.3">
      <c r="A30" s="216">
        <v>2008</v>
      </c>
      <c r="B30" s="196" t="s">
        <v>348</v>
      </c>
      <c r="C30" s="196">
        <v>4</v>
      </c>
      <c r="D30" s="196">
        <v>0</v>
      </c>
      <c r="E30" s="201">
        <v>1500.75</v>
      </c>
      <c r="F30" s="201">
        <v>0</v>
      </c>
      <c r="G30" s="201">
        <f t="shared" si="0"/>
        <v>6003</v>
      </c>
      <c r="H30" s="196">
        <f t="shared" si="1"/>
        <v>0</v>
      </c>
      <c r="I30" s="196" t="s">
        <v>349</v>
      </c>
      <c r="J30" s="196">
        <v>1008</v>
      </c>
      <c r="K30" s="5" t="s">
        <v>351</v>
      </c>
      <c r="L30" s="217" t="s">
        <v>370</v>
      </c>
      <c r="M30" s="218" t="s">
        <v>203</v>
      </c>
      <c r="N30" s="221">
        <f t="shared" si="2"/>
        <v>6003</v>
      </c>
    </row>
    <row r="31" spans="1:14" ht="12.75" customHeight="1" thickBot="1" x14ac:dyDescent="0.3">
      <c r="A31" s="216">
        <v>2009</v>
      </c>
      <c r="B31" s="196" t="s">
        <v>348</v>
      </c>
      <c r="C31" s="196">
        <v>10</v>
      </c>
      <c r="D31" s="196">
        <v>0</v>
      </c>
      <c r="E31" s="201">
        <v>899.99</v>
      </c>
      <c r="F31" s="201">
        <v>0</v>
      </c>
      <c r="G31" s="201">
        <f t="shared" si="0"/>
        <v>8999.9</v>
      </c>
      <c r="H31" s="196">
        <f t="shared" si="1"/>
        <v>0</v>
      </c>
      <c r="I31" s="196" t="s">
        <v>349</v>
      </c>
      <c r="J31" s="196">
        <v>1009</v>
      </c>
      <c r="K31" s="5" t="s">
        <v>353</v>
      </c>
      <c r="L31" s="217" t="s">
        <v>373</v>
      </c>
      <c r="M31" s="218" t="s">
        <v>203</v>
      </c>
      <c r="N31" s="221">
        <f t="shared" si="2"/>
        <v>8999.9</v>
      </c>
    </row>
    <row r="32" spans="1:14" ht="12.75" customHeight="1" thickBot="1" x14ac:dyDescent="0.3">
      <c r="A32" s="216">
        <v>2010</v>
      </c>
      <c r="B32" s="196" t="s">
        <v>348</v>
      </c>
      <c r="C32" s="196">
        <v>5</v>
      </c>
      <c r="D32" s="196">
        <v>0</v>
      </c>
      <c r="E32" s="201">
        <v>35000.5</v>
      </c>
      <c r="F32" s="201">
        <v>0</v>
      </c>
      <c r="G32" s="201">
        <f t="shared" si="0"/>
        <v>175002.5</v>
      </c>
      <c r="H32" s="196">
        <f t="shared" si="1"/>
        <v>0</v>
      </c>
      <c r="I32" s="196" t="s">
        <v>349</v>
      </c>
      <c r="J32" s="196">
        <v>1010</v>
      </c>
      <c r="K32" s="5" t="s">
        <v>361</v>
      </c>
      <c r="L32" s="217" t="s">
        <v>376</v>
      </c>
      <c r="M32" s="218" t="s">
        <v>203</v>
      </c>
      <c r="N32" s="221">
        <f t="shared" si="2"/>
        <v>175002.5</v>
      </c>
    </row>
    <row r="33" spans="1:15" ht="12.75" customHeight="1" thickBot="1" x14ac:dyDescent="0.3">
      <c r="A33" s="216">
        <v>2011</v>
      </c>
      <c r="B33" s="196" t="s">
        <v>348</v>
      </c>
      <c r="C33" s="196">
        <v>8</v>
      </c>
      <c r="D33" s="196">
        <v>0</v>
      </c>
      <c r="E33" s="201">
        <v>7800.25</v>
      </c>
      <c r="F33" s="201">
        <v>0</v>
      </c>
      <c r="G33" s="201">
        <f t="shared" si="0"/>
        <v>62402</v>
      </c>
      <c r="H33" s="196">
        <f t="shared" si="1"/>
        <v>0</v>
      </c>
      <c r="I33" s="196" t="s">
        <v>349</v>
      </c>
      <c r="J33" s="196">
        <v>1011</v>
      </c>
      <c r="K33" s="5" t="s">
        <v>352</v>
      </c>
      <c r="L33" s="217" t="s">
        <v>379</v>
      </c>
      <c r="M33" s="218" t="s">
        <v>203</v>
      </c>
      <c r="N33" s="221">
        <f t="shared" si="2"/>
        <v>62402</v>
      </c>
    </row>
    <row r="34" spans="1:15" ht="12.75" customHeight="1" thickBot="1" x14ac:dyDescent="0.3">
      <c r="A34" s="216">
        <v>2012</v>
      </c>
      <c r="B34" s="196" t="s">
        <v>348</v>
      </c>
      <c r="C34" s="196">
        <v>8</v>
      </c>
      <c r="D34" s="196">
        <v>0</v>
      </c>
      <c r="E34" s="201">
        <v>299.5</v>
      </c>
      <c r="F34" s="201">
        <v>0</v>
      </c>
      <c r="G34" s="201">
        <f t="shared" si="0"/>
        <v>2396</v>
      </c>
      <c r="H34" s="196">
        <f t="shared" si="1"/>
        <v>0</v>
      </c>
      <c r="I34" s="196" t="s">
        <v>349</v>
      </c>
      <c r="J34" s="196">
        <v>1012</v>
      </c>
      <c r="K34" s="5" t="s">
        <v>350</v>
      </c>
      <c r="L34" s="217" t="s">
        <v>382</v>
      </c>
      <c r="M34" s="218" t="s">
        <v>203</v>
      </c>
      <c r="N34" s="221">
        <f t="shared" si="2"/>
        <v>2396</v>
      </c>
    </row>
    <row r="35" spans="1:15" ht="12.75" customHeight="1" thickBot="1" x14ac:dyDescent="0.3">
      <c r="A35" s="216">
        <v>2013</v>
      </c>
      <c r="B35" s="196" t="s">
        <v>348</v>
      </c>
      <c r="C35" s="196">
        <v>30</v>
      </c>
      <c r="D35" s="196">
        <v>0</v>
      </c>
      <c r="E35" s="201">
        <v>20</v>
      </c>
      <c r="F35" s="201">
        <v>0</v>
      </c>
      <c r="G35" s="201">
        <f t="shared" si="0"/>
        <v>600</v>
      </c>
      <c r="H35" s="196">
        <f t="shared" si="1"/>
        <v>0</v>
      </c>
      <c r="I35" s="196" t="s">
        <v>349</v>
      </c>
      <c r="J35" s="196">
        <v>1013</v>
      </c>
      <c r="K35" s="5" t="s">
        <v>362</v>
      </c>
      <c r="L35" s="217" t="s">
        <v>385</v>
      </c>
      <c r="M35" s="218" t="s">
        <v>203</v>
      </c>
      <c r="N35" s="221">
        <f t="shared" si="2"/>
        <v>600</v>
      </c>
    </row>
    <row r="36" spans="1:15" ht="12.75" customHeight="1" thickBot="1" x14ac:dyDescent="0.3">
      <c r="A36" s="216">
        <v>2014</v>
      </c>
      <c r="B36" s="199" t="s">
        <v>348</v>
      </c>
      <c r="C36" s="199">
        <v>3</v>
      </c>
      <c r="D36" s="199">
        <v>0</v>
      </c>
      <c r="E36" s="202">
        <v>30000</v>
      </c>
      <c r="F36" s="201">
        <v>0</v>
      </c>
      <c r="G36" s="201">
        <f t="shared" si="0"/>
        <v>90000</v>
      </c>
      <c r="H36" s="199">
        <f t="shared" si="1"/>
        <v>0</v>
      </c>
      <c r="I36" s="199" t="s">
        <v>349</v>
      </c>
      <c r="J36" s="196">
        <v>1014</v>
      </c>
      <c r="K36" s="200" t="s">
        <v>360</v>
      </c>
      <c r="L36" s="217" t="s">
        <v>388</v>
      </c>
      <c r="M36" s="218" t="s">
        <v>203</v>
      </c>
      <c r="N36" s="221">
        <f t="shared" si="2"/>
        <v>90000</v>
      </c>
    </row>
    <row r="37" spans="1:15" s="11" customFormat="1" ht="12.75" customHeight="1" thickBot="1" x14ac:dyDescent="0.3">
      <c r="A37" s="216">
        <v>2015</v>
      </c>
      <c r="B37" s="211" t="s">
        <v>348</v>
      </c>
      <c r="C37" s="211">
        <v>1</v>
      </c>
      <c r="D37" s="211">
        <v>0</v>
      </c>
      <c r="E37" s="212">
        <v>30000</v>
      </c>
      <c r="F37" s="207">
        <v>0</v>
      </c>
      <c r="G37" s="207">
        <f t="shared" ref="G37:G38" si="4">C37*E37</f>
        <v>30000</v>
      </c>
      <c r="H37" s="211">
        <f t="shared" si="1"/>
        <v>0</v>
      </c>
      <c r="I37" s="211" t="s">
        <v>346</v>
      </c>
      <c r="J37" s="211">
        <v>1009</v>
      </c>
      <c r="K37" s="213" t="s">
        <v>360</v>
      </c>
      <c r="L37" s="219" t="s">
        <v>388</v>
      </c>
      <c r="M37" s="220" t="s">
        <v>203</v>
      </c>
      <c r="N37" s="221"/>
    </row>
    <row r="38" spans="1:15" s="11" customFormat="1" ht="12.75" customHeight="1" thickBot="1" x14ac:dyDescent="0.3">
      <c r="A38" s="216">
        <v>2016</v>
      </c>
      <c r="B38" s="211" t="s">
        <v>348</v>
      </c>
      <c r="C38" s="211">
        <v>1</v>
      </c>
      <c r="D38" s="211">
        <v>0</v>
      </c>
      <c r="E38" s="212">
        <v>30000</v>
      </c>
      <c r="F38" s="207">
        <v>0</v>
      </c>
      <c r="G38" s="207">
        <f t="shared" si="4"/>
        <v>30000</v>
      </c>
      <c r="H38" s="211">
        <f t="shared" si="1"/>
        <v>0</v>
      </c>
      <c r="I38" s="211" t="s">
        <v>346</v>
      </c>
      <c r="J38" s="211">
        <v>1009</v>
      </c>
      <c r="K38" s="213" t="s">
        <v>360</v>
      </c>
      <c r="L38" s="219" t="s">
        <v>388</v>
      </c>
      <c r="M38" s="220" t="s">
        <v>203</v>
      </c>
      <c r="N38" s="221"/>
    </row>
    <row r="39" spans="1:15" ht="12.75" customHeight="1" thickBot="1" x14ac:dyDescent="0.3">
      <c r="A39" s="196"/>
      <c r="C39" s="204">
        <f t="shared" ref="C39" si="5">SUM(C23:C38)</f>
        <v>70</v>
      </c>
      <c r="D39" s="204">
        <f t="shared" ref="D39" si="6">SUM(D23:D38)</f>
        <v>204</v>
      </c>
      <c r="E39" s="204">
        <f t="shared" ref="E39:F39" si="7">SUM(E23:E38)</f>
        <v>165520.99</v>
      </c>
      <c r="F39" s="204">
        <f t="shared" si="7"/>
        <v>62450.919500000004</v>
      </c>
      <c r="G39" s="204">
        <f>SUM(G23:G38)</f>
        <v>405403.4</v>
      </c>
      <c r="H39" s="204">
        <f>SUM(H23:H38)</f>
        <v>409610.41749999998</v>
      </c>
      <c r="I39" s="205">
        <f>H39-G39</f>
        <v>4207.0174999999581</v>
      </c>
      <c r="L39" s="1"/>
      <c r="M39" s="1"/>
    </row>
    <row r="43" spans="1:15" ht="12.75" customHeight="1" thickBot="1" x14ac:dyDescent="0.3"/>
    <row r="44" spans="1:15" ht="12.75" customHeight="1" thickBot="1" x14ac:dyDescent="0.3">
      <c r="A44" s="223" t="s">
        <v>319</v>
      </c>
      <c r="B44" s="194" t="s">
        <v>320</v>
      </c>
      <c r="C44" s="194" t="s">
        <v>321</v>
      </c>
      <c r="D44" s="194" t="s">
        <v>322</v>
      </c>
      <c r="E44" s="194" t="s">
        <v>323</v>
      </c>
      <c r="F44" s="194" t="s">
        <v>324</v>
      </c>
      <c r="G44" s="194" t="s">
        <v>325</v>
      </c>
      <c r="H44" s="194" t="s">
        <v>326</v>
      </c>
      <c r="I44" s="194" t="s">
        <v>327</v>
      </c>
      <c r="J44" s="194" t="s">
        <v>328</v>
      </c>
      <c r="K44" s="194" t="s">
        <v>329</v>
      </c>
      <c r="L44" s="195" t="s">
        <v>330</v>
      </c>
      <c r="M44" t="s">
        <v>335</v>
      </c>
    </row>
    <row r="45" spans="1:15" ht="12.75" customHeight="1" thickBot="1" x14ac:dyDescent="0.3">
      <c r="A45" s="218">
        <v>1001</v>
      </c>
      <c r="B45" s="196" t="s">
        <v>187</v>
      </c>
      <c r="C45" s="196" t="s">
        <v>424</v>
      </c>
      <c r="D45" s="196" t="s">
        <v>204</v>
      </c>
      <c r="E45" s="197">
        <v>45092.4375</v>
      </c>
      <c r="F45" s="197">
        <v>45137.333333333336</v>
      </c>
      <c r="G45" s="196" t="s">
        <v>331</v>
      </c>
      <c r="H45" s="196">
        <v>0.18</v>
      </c>
      <c r="I45" s="196">
        <v>10205.1</v>
      </c>
      <c r="J45" s="201">
        <f>I45/1.18</f>
        <v>8648.3898305084749</v>
      </c>
      <c r="K45" s="201">
        <f>J45*0.18</f>
        <v>1556.7101694915254</v>
      </c>
      <c r="L45" s="5">
        <v>0</v>
      </c>
      <c r="M45" s="208"/>
      <c r="O45" s="203">
        <f t="shared" ref="O45:O58" si="8">J45+K45+L45</f>
        <v>10205.1</v>
      </c>
    </row>
    <row r="46" spans="1:15" ht="12.75" customHeight="1" thickBot="1" x14ac:dyDescent="0.3">
      <c r="A46" s="218">
        <v>1002</v>
      </c>
      <c r="B46" s="196" t="s">
        <v>333</v>
      </c>
      <c r="C46" s="196" t="s">
        <v>332</v>
      </c>
      <c r="D46" s="196" t="s">
        <v>204</v>
      </c>
      <c r="E46" s="197">
        <v>45099.704861111109</v>
      </c>
      <c r="F46" s="197">
        <v>45136.614583333336</v>
      </c>
      <c r="G46" s="206" t="s">
        <v>430</v>
      </c>
      <c r="H46" s="206">
        <v>0</v>
      </c>
      <c r="I46" s="207">
        <v>7424.9175000000014</v>
      </c>
      <c r="J46" s="207">
        <f>I46</f>
        <v>7424.9175000000014</v>
      </c>
      <c r="K46" s="201"/>
      <c r="L46" s="5">
        <v>0</v>
      </c>
      <c r="M46" s="208"/>
      <c r="O46" s="203">
        <f t="shared" si="8"/>
        <v>7424.9175000000014</v>
      </c>
    </row>
    <row r="47" spans="1:15" ht="12.75" customHeight="1" thickBot="1" x14ac:dyDescent="0.3">
      <c r="A47" s="218">
        <v>1003</v>
      </c>
      <c r="B47" s="196" t="s">
        <v>334</v>
      </c>
      <c r="C47" s="196" t="s">
        <v>425</v>
      </c>
      <c r="D47" s="196" t="s">
        <v>204</v>
      </c>
      <c r="E47" s="197">
        <v>45107.715277777781</v>
      </c>
      <c r="F47" s="197">
        <v>45137.715277777781</v>
      </c>
      <c r="G47" s="206" t="s">
        <v>430</v>
      </c>
      <c r="H47" s="206">
        <v>0</v>
      </c>
      <c r="I47" s="207">
        <v>157502.25</v>
      </c>
      <c r="J47" s="207">
        <f>I47</f>
        <v>157502.25</v>
      </c>
      <c r="K47" s="201"/>
      <c r="L47" s="5">
        <v>0</v>
      </c>
      <c r="M47" s="208"/>
      <c r="O47" s="203">
        <f t="shared" si="8"/>
        <v>157502.25</v>
      </c>
    </row>
    <row r="48" spans="1:15" ht="12.75" customHeight="1" thickBot="1" x14ac:dyDescent="0.3">
      <c r="A48" s="218">
        <v>1004</v>
      </c>
      <c r="B48" s="196" t="s">
        <v>187</v>
      </c>
      <c r="C48" s="196" t="s">
        <v>426</v>
      </c>
      <c r="D48" s="196" t="s">
        <v>204</v>
      </c>
      <c r="E48" s="197">
        <v>45107.715277777781</v>
      </c>
      <c r="F48" s="197">
        <v>45137.715277777781</v>
      </c>
      <c r="G48" s="206" t="s">
        <v>331</v>
      </c>
      <c r="H48" s="206">
        <v>0</v>
      </c>
      <c r="I48" s="206">
        <v>28080.9</v>
      </c>
      <c r="J48" s="207">
        <f>(I48-L48)/1.18</f>
        <v>23771.949152542376</v>
      </c>
      <c r="K48" s="207">
        <f t="shared" ref="K48:K58" si="9">J48*0.18</f>
        <v>4278.9508474576278</v>
      </c>
      <c r="L48" s="222">
        <v>30</v>
      </c>
      <c r="M48" s="206"/>
      <c r="O48" s="203">
        <f t="shared" si="8"/>
        <v>28080.900000000005</v>
      </c>
    </row>
    <row r="49" spans="1:16" ht="12.75" customHeight="1" thickBot="1" x14ac:dyDescent="0.3">
      <c r="A49" s="218">
        <v>1005</v>
      </c>
      <c r="B49" s="196" t="s">
        <v>187</v>
      </c>
      <c r="C49" s="196" t="s">
        <v>427</v>
      </c>
      <c r="D49" s="196" t="s">
        <v>204</v>
      </c>
      <c r="E49" s="197">
        <v>45122.715277777781</v>
      </c>
      <c r="F49" s="197">
        <v>45137.715277777781</v>
      </c>
      <c r="G49" s="196" t="s">
        <v>331</v>
      </c>
      <c r="H49" s="196">
        <v>0.18</v>
      </c>
      <c r="I49" s="196">
        <v>1647.2500000000002</v>
      </c>
      <c r="J49" s="201">
        <f t="shared" ref="J49:J57" si="10">I49/1.18</f>
        <v>1395.9745762711866</v>
      </c>
      <c r="K49" s="201">
        <f t="shared" si="9"/>
        <v>251.27542372881359</v>
      </c>
      <c r="L49" s="5">
        <v>0</v>
      </c>
      <c r="M49" s="208"/>
      <c r="O49" s="203">
        <f t="shared" si="8"/>
        <v>1647.2500000000002</v>
      </c>
    </row>
    <row r="50" spans="1:16" ht="12.75" customHeight="1" thickBot="1" x14ac:dyDescent="0.3">
      <c r="A50" s="218">
        <v>1006</v>
      </c>
      <c r="B50" s="196" t="s">
        <v>187</v>
      </c>
      <c r="C50" s="196" t="s">
        <v>427</v>
      </c>
      <c r="D50" s="196" t="s">
        <v>204</v>
      </c>
      <c r="E50" s="197">
        <v>45127.715277777781</v>
      </c>
      <c r="F50" s="197">
        <v>45137.715277777781</v>
      </c>
      <c r="G50" s="196" t="s">
        <v>331</v>
      </c>
      <c r="H50" s="196">
        <v>0.18</v>
      </c>
      <c r="I50" s="196">
        <v>750</v>
      </c>
      <c r="J50" s="201">
        <f t="shared" si="10"/>
        <v>635.59322033898309</v>
      </c>
      <c r="K50" s="201">
        <f t="shared" si="9"/>
        <v>114.40677966101696</v>
      </c>
      <c r="L50" s="5">
        <v>0</v>
      </c>
      <c r="M50" s="196"/>
      <c r="O50" s="203">
        <f t="shared" si="8"/>
        <v>750</v>
      </c>
    </row>
    <row r="51" spans="1:16" ht="12.75" customHeight="1" thickBot="1" x14ac:dyDescent="0.3">
      <c r="A51" s="218">
        <v>1007</v>
      </c>
      <c r="B51" s="196" t="s">
        <v>187</v>
      </c>
      <c r="C51" s="196" t="s">
        <v>428</v>
      </c>
      <c r="D51" s="196" t="s">
        <v>204</v>
      </c>
      <c r="E51" s="197">
        <v>45071.715277777781</v>
      </c>
      <c r="F51" s="197">
        <v>45137.715277777781</v>
      </c>
      <c r="G51" s="196" t="s">
        <v>331</v>
      </c>
      <c r="H51" s="196">
        <v>0.18</v>
      </c>
      <c r="I51" s="196">
        <v>204000</v>
      </c>
      <c r="J51" s="201">
        <f t="shared" si="10"/>
        <v>172881.35593220341</v>
      </c>
      <c r="K51" s="201">
        <f t="shared" si="9"/>
        <v>31118.644067796613</v>
      </c>
      <c r="L51" s="5">
        <v>0</v>
      </c>
      <c r="M51" s="196"/>
      <c r="O51" s="203">
        <f t="shared" si="8"/>
        <v>204000.00000000003</v>
      </c>
    </row>
    <row r="52" spans="1:16" ht="12.75" customHeight="1" thickBot="1" x14ac:dyDescent="0.3">
      <c r="A52" s="218">
        <v>1008</v>
      </c>
      <c r="B52" s="196" t="s">
        <v>187</v>
      </c>
      <c r="C52" s="196" t="s">
        <v>417</v>
      </c>
      <c r="D52" s="196" t="s">
        <v>203</v>
      </c>
      <c r="E52" s="197">
        <v>45125.489583333336</v>
      </c>
      <c r="F52" s="197">
        <v>45132.385416666664</v>
      </c>
      <c r="G52" s="196" t="s">
        <v>331</v>
      </c>
      <c r="H52" s="196">
        <v>0.18</v>
      </c>
      <c r="I52" s="196">
        <v>6003</v>
      </c>
      <c r="J52" s="201">
        <f t="shared" si="10"/>
        <v>5087.2881355932204</v>
      </c>
      <c r="K52" s="201">
        <f t="shared" si="9"/>
        <v>915.71186440677968</v>
      </c>
      <c r="L52" s="5">
        <v>0</v>
      </c>
      <c r="M52" s="196"/>
      <c r="O52" s="203">
        <f t="shared" si="8"/>
        <v>6003</v>
      </c>
    </row>
    <row r="53" spans="1:16" ht="12.75" customHeight="1" thickBot="1" x14ac:dyDescent="0.3">
      <c r="A53" s="218">
        <v>1009</v>
      </c>
      <c r="B53" s="196" t="s">
        <v>187</v>
      </c>
      <c r="C53" s="196" t="s">
        <v>418</v>
      </c>
      <c r="D53" s="196" t="s">
        <v>203</v>
      </c>
      <c r="E53" s="197">
        <v>45135.597222222219</v>
      </c>
      <c r="F53" s="197">
        <v>45134.479166666664</v>
      </c>
      <c r="G53" s="196" t="s">
        <v>331</v>
      </c>
      <c r="H53" s="196">
        <v>0.18</v>
      </c>
      <c r="I53" s="196">
        <v>8999.9</v>
      </c>
      <c r="J53" s="201">
        <f t="shared" si="10"/>
        <v>7627.0338983050851</v>
      </c>
      <c r="K53" s="201">
        <f t="shared" si="9"/>
        <v>1372.8661016949152</v>
      </c>
      <c r="L53" s="5">
        <v>0</v>
      </c>
      <c r="M53" s="196"/>
      <c r="O53" s="203">
        <f t="shared" si="8"/>
        <v>8999.9</v>
      </c>
    </row>
    <row r="54" spans="1:16" ht="12.75" customHeight="1" thickBot="1" x14ac:dyDescent="0.3">
      <c r="A54" s="218">
        <v>1010</v>
      </c>
      <c r="B54" s="196" t="s">
        <v>187</v>
      </c>
      <c r="C54" s="196" t="s">
        <v>419</v>
      </c>
      <c r="D54" s="196" t="s">
        <v>203</v>
      </c>
      <c r="E54" s="197">
        <v>45137.715277777781</v>
      </c>
      <c r="F54" s="197">
        <v>45137.715277777781</v>
      </c>
      <c r="G54" s="196" t="s">
        <v>331</v>
      </c>
      <c r="H54" s="196">
        <v>0.18</v>
      </c>
      <c r="I54" s="196">
        <v>175002.5</v>
      </c>
      <c r="J54" s="201">
        <f t="shared" si="10"/>
        <v>148307.20338983051</v>
      </c>
      <c r="K54" s="201">
        <f t="shared" si="9"/>
        <v>26695.296610169491</v>
      </c>
      <c r="L54" s="5">
        <v>0</v>
      </c>
      <c r="M54" s="196"/>
      <c r="O54" s="203">
        <f t="shared" si="8"/>
        <v>175002.5</v>
      </c>
    </row>
    <row r="55" spans="1:16" ht="12.75" customHeight="1" thickBot="1" x14ac:dyDescent="0.3">
      <c r="A55" s="218">
        <v>1011</v>
      </c>
      <c r="B55" s="196" t="s">
        <v>187</v>
      </c>
      <c r="C55" s="196" t="s">
        <v>420</v>
      </c>
      <c r="D55" s="196" t="s">
        <v>203</v>
      </c>
      <c r="E55" s="197">
        <v>45132.715277777781</v>
      </c>
      <c r="F55" s="197">
        <v>45137.715277777781</v>
      </c>
      <c r="G55" s="196" t="s">
        <v>331</v>
      </c>
      <c r="H55" s="196">
        <v>0.18</v>
      </c>
      <c r="I55" s="196">
        <v>62402</v>
      </c>
      <c r="J55" s="201">
        <f t="shared" si="10"/>
        <v>52883.050847457627</v>
      </c>
      <c r="K55" s="201">
        <f t="shared" si="9"/>
        <v>9518.9491525423728</v>
      </c>
      <c r="L55" s="5">
        <v>0</v>
      </c>
      <c r="M55" s="196"/>
      <c r="O55" s="203">
        <f t="shared" si="8"/>
        <v>62402</v>
      </c>
    </row>
    <row r="56" spans="1:16" ht="12.75" customHeight="1" thickBot="1" x14ac:dyDescent="0.3">
      <c r="A56" s="218">
        <v>1012</v>
      </c>
      <c r="B56" s="196" t="s">
        <v>187</v>
      </c>
      <c r="C56" s="196" t="s">
        <v>421</v>
      </c>
      <c r="D56" s="196" t="s">
        <v>203</v>
      </c>
      <c r="E56" s="197">
        <v>45132.715277777781</v>
      </c>
      <c r="F56" s="197">
        <v>45137.715277777781</v>
      </c>
      <c r="G56" s="196" t="s">
        <v>331</v>
      </c>
      <c r="H56" s="196">
        <v>0.18</v>
      </c>
      <c r="I56" s="196">
        <v>2396</v>
      </c>
      <c r="J56" s="201">
        <f t="shared" si="10"/>
        <v>2030.5084745762713</v>
      </c>
      <c r="K56" s="201">
        <f t="shared" si="9"/>
        <v>365.49152542372883</v>
      </c>
      <c r="L56" s="5">
        <v>0</v>
      </c>
      <c r="M56" s="196"/>
      <c r="O56" s="203">
        <f t="shared" si="8"/>
        <v>2396</v>
      </c>
    </row>
    <row r="57" spans="1:16" ht="12.75" customHeight="1" thickBot="1" x14ac:dyDescent="0.3">
      <c r="A57" s="218">
        <v>1013</v>
      </c>
      <c r="B57" s="196" t="s">
        <v>187</v>
      </c>
      <c r="C57" s="196" t="s">
        <v>422</v>
      </c>
      <c r="D57" s="196" t="s">
        <v>203</v>
      </c>
      <c r="E57" s="197">
        <v>45132.715277777781</v>
      </c>
      <c r="F57" s="197">
        <v>45137.715277777781</v>
      </c>
      <c r="G57" s="196" t="s">
        <v>331</v>
      </c>
      <c r="H57" s="196">
        <v>0.18</v>
      </c>
      <c r="I57" s="196">
        <v>600</v>
      </c>
      <c r="J57" s="201">
        <f t="shared" si="10"/>
        <v>508.47457627118649</v>
      </c>
      <c r="K57" s="201">
        <f t="shared" si="9"/>
        <v>91.525423728813564</v>
      </c>
      <c r="L57" s="5">
        <v>0</v>
      </c>
      <c r="M57" s="196"/>
      <c r="O57" s="203">
        <f t="shared" si="8"/>
        <v>600</v>
      </c>
    </row>
    <row r="58" spans="1:16" ht="12.75" customHeight="1" thickBot="1" x14ac:dyDescent="0.3">
      <c r="A58" s="218">
        <v>1014</v>
      </c>
      <c r="B58" s="196" t="s">
        <v>333</v>
      </c>
      <c r="C58" s="196" t="s">
        <v>423</v>
      </c>
      <c r="D58" s="196" t="s">
        <v>203</v>
      </c>
      <c r="E58" s="197">
        <v>45132.715277777781</v>
      </c>
      <c r="F58" s="197">
        <v>45137.715277777781</v>
      </c>
      <c r="G58" s="196" t="s">
        <v>331</v>
      </c>
      <c r="H58" s="196">
        <v>0.18</v>
      </c>
      <c r="I58" s="196">
        <v>90000</v>
      </c>
      <c r="J58" s="201">
        <f>I58/1.18</f>
        <v>76271.186440677964</v>
      </c>
      <c r="K58" s="201">
        <f t="shared" si="9"/>
        <v>13728.813559322032</v>
      </c>
      <c r="L58" s="5">
        <v>0</v>
      </c>
      <c r="M58" s="199"/>
      <c r="O58" s="203">
        <f t="shared" si="8"/>
        <v>90000</v>
      </c>
    </row>
    <row r="59" spans="1:16" ht="12.75" customHeight="1" x14ac:dyDescent="0.25">
      <c r="I59" s="205">
        <f>SUM(I45:I58)</f>
        <v>755013.8175</v>
      </c>
      <c r="J59" s="205">
        <f>SUM(J45:J58)</f>
        <v>664975.17597457627</v>
      </c>
      <c r="K59" s="205">
        <f>SUM(K45:K58)</f>
        <v>90008.641525423736</v>
      </c>
      <c r="L59" s="205">
        <f>SUM(L45:L58)</f>
        <v>30</v>
      </c>
      <c r="O59" s="205">
        <f>SUM(O45:O58)</f>
        <v>755013.81750000012</v>
      </c>
      <c r="P59" s="205">
        <f>I59-O59</f>
        <v>0</v>
      </c>
    </row>
    <row r="61" spans="1:16" ht="12.75" customHeight="1" thickBot="1" x14ac:dyDescent="0.3">
      <c r="A61" s="198"/>
      <c r="B61" s="198"/>
      <c r="C61" s="198"/>
      <c r="D61" s="198"/>
      <c r="E61" s="198"/>
      <c r="F61" s="198"/>
    </row>
    <row r="62" spans="1:16" ht="12.75" customHeight="1" thickBot="1" x14ac:dyDescent="0.3">
      <c r="A62" s="223" t="s">
        <v>432</v>
      </c>
      <c r="B62" s="194" t="s">
        <v>435</v>
      </c>
      <c r="C62" s="194" t="s">
        <v>433</v>
      </c>
      <c r="D62" s="194" t="s">
        <v>434</v>
      </c>
      <c r="E62" s="194" t="s">
        <v>363</v>
      </c>
      <c r="F62" s="194" t="s">
        <v>319</v>
      </c>
      <c r="G62" s="195" t="s">
        <v>336</v>
      </c>
    </row>
    <row r="63" spans="1:16" ht="12.75" customHeight="1" thickBot="1" x14ac:dyDescent="0.3">
      <c r="A63" s="218">
        <v>100</v>
      </c>
      <c r="B63" t="s">
        <v>436</v>
      </c>
      <c r="C63" s="196">
        <v>0</v>
      </c>
      <c r="D63" s="196">
        <v>8</v>
      </c>
      <c r="E63">
        <v>200</v>
      </c>
      <c r="F63" s="196">
        <v>1001</v>
      </c>
      <c r="G63" s="208">
        <v>2001</v>
      </c>
    </row>
    <row r="64" spans="1:16" ht="12.75" customHeight="1" thickBot="1" x14ac:dyDescent="0.3">
      <c r="A64" s="218">
        <v>101</v>
      </c>
      <c r="B64" t="s">
        <v>436</v>
      </c>
      <c r="C64" s="196">
        <v>0</v>
      </c>
      <c r="D64" s="196">
        <v>15</v>
      </c>
      <c r="E64">
        <v>201</v>
      </c>
      <c r="F64" s="196">
        <v>1002</v>
      </c>
      <c r="G64" s="208">
        <v>2002</v>
      </c>
    </row>
    <row r="65" spans="1:8" ht="12.75" customHeight="1" thickBot="1" x14ac:dyDescent="0.3">
      <c r="A65" s="218">
        <v>102</v>
      </c>
      <c r="B65" t="s">
        <v>436</v>
      </c>
      <c r="C65" s="196">
        <v>0</v>
      </c>
      <c r="D65" s="196">
        <v>5</v>
      </c>
      <c r="E65">
        <v>202</v>
      </c>
      <c r="F65" s="196">
        <v>1003</v>
      </c>
      <c r="G65" s="208">
        <v>2003</v>
      </c>
    </row>
    <row r="66" spans="1:8" ht="12.75" customHeight="1" thickBot="1" x14ac:dyDescent="0.3">
      <c r="A66" s="218">
        <v>103</v>
      </c>
      <c r="B66" t="s">
        <v>436</v>
      </c>
      <c r="C66" s="196">
        <v>0</v>
      </c>
      <c r="D66" s="196">
        <v>8</v>
      </c>
      <c r="E66">
        <v>203</v>
      </c>
      <c r="F66" s="196">
        <v>1004</v>
      </c>
      <c r="G66" s="208">
        <v>2004</v>
      </c>
      <c r="H66" s="6"/>
    </row>
    <row r="67" spans="1:8" ht="12.75" customHeight="1" thickBot="1" x14ac:dyDescent="0.3">
      <c r="A67" s="218">
        <v>104</v>
      </c>
      <c r="B67" t="s">
        <v>436</v>
      </c>
      <c r="C67" s="196">
        <v>0</v>
      </c>
      <c r="D67" s="196">
        <v>10</v>
      </c>
      <c r="E67">
        <v>204</v>
      </c>
      <c r="F67" s="196">
        <v>1005</v>
      </c>
      <c r="G67" s="208">
        <v>2005</v>
      </c>
    </row>
    <row r="68" spans="1:8" ht="12.75" customHeight="1" thickBot="1" x14ac:dyDescent="0.3">
      <c r="A68" s="218">
        <v>105</v>
      </c>
      <c r="B68" t="s">
        <v>436</v>
      </c>
      <c r="C68" s="196">
        <v>0</v>
      </c>
      <c r="D68" s="196">
        <v>150</v>
      </c>
      <c r="E68">
        <v>205</v>
      </c>
      <c r="F68" s="196">
        <v>1006</v>
      </c>
      <c r="G68" s="208">
        <v>2006</v>
      </c>
    </row>
    <row r="69" spans="1:8" ht="12.75" customHeight="1" thickBot="1" x14ac:dyDescent="0.3">
      <c r="A69" s="218">
        <v>106</v>
      </c>
      <c r="B69" t="s">
        <v>436</v>
      </c>
      <c r="C69" s="196">
        <v>0</v>
      </c>
      <c r="D69" s="196">
        <v>8</v>
      </c>
      <c r="E69">
        <v>206</v>
      </c>
      <c r="F69" s="196">
        <v>1007</v>
      </c>
      <c r="G69" s="208">
        <v>2007</v>
      </c>
    </row>
    <row r="70" spans="1:8" ht="12.75" customHeight="1" thickBot="1" x14ac:dyDescent="0.3">
      <c r="A70" s="218">
        <v>107</v>
      </c>
      <c r="B70" t="s">
        <v>436</v>
      </c>
      <c r="C70" s="196">
        <v>0</v>
      </c>
      <c r="D70" s="196">
        <f t="shared" ref="D70:D78" si="11">-C30</f>
        <v>-4</v>
      </c>
      <c r="E70">
        <v>200</v>
      </c>
      <c r="F70" s="196">
        <v>1008</v>
      </c>
      <c r="G70" s="208">
        <v>2008</v>
      </c>
    </row>
    <row r="71" spans="1:8" ht="12.75" customHeight="1" thickBot="1" x14ac:dyDescent="0.3">
      <c r="A71" s="218">
        <v>108</v>
      </c>
      <c r="B71" t="s">
        <v>436</v>
      </c>
      <c r="C71" s="196">
        <v>0</v>
      </c>
      <c r="D71" s="196">
        <f t="shared" si="11"/>
        <v>-10</v>
      </c>
      <c r="E71">
        <v>201</v>
      </c>
      <c r="F71" s="196">
        <v>1009</v>
      </c>
      <c r="G71" s="208">
        <v>2009</v>
      </c>
    </row>
    <row r="72" spans="1:8" ht="12.75" customHeight="1" thickBot="1" x14ac:dyDescent="0.3">
      <c r="A72" s="218">
        <v>109</v>
      </c>
      <c r="B72" t="s">
        <v>436</v>
      </c>
      <c r="C72" s="196">
        <v>0</v>
      </c>
      <c r="D72" s="196">
        <f t="shared" si="11"/>
        <v>-5</v>
      </c>
      <c r="E72">
        <v>202</v>
      </c>
      <c r="F72" s="196">
        <v>1010</v>
      </c>
      <c r="G72" s="208">
        <v>2010</v>
      </c>
    </row>
    <row r="73" spans="1:8" ht="12.75" customHeight="1" thickBot="1" x14ac:dyDescent="0.3">
      <c r="A73" s="218">
        <v>110</v>
      </c>
      <c r="B73" t="s">
        <v>436</v>
      </c>
      <c r="C73" s="196">
        <v>0</v>
      </c>
      <c r="D73" s="196">
        <f t="shared" si="11"/>
        <v>-8</v>
      </c>
      <c r="E73">
        <v>203</v>
      </c>
      <c r="F73" s="196">
        <v>1011</v>
      </c>
      <c r="G73" s="208">
        <v>2011</v>
      </c>
    </row>
    <row r="74" spans="1:8" ht="12.75" customHeight="1" thickBot="1" x14ac:dyDescent="0.3">
      <c r="A74" s="218">
        <v>111</v>
      </c>
      <c r="B74" t="s">
        <v>436</v>
      </c>
      <c r="C74" s="196">
        <v>0</v>
      </c>
      <c r="D74" s="196">
        <f t="shared" si="11"/>
        <v>-8</v>
      </c>
      <c r="E74">
        <v>204</v>
      </c>
      <c r="F74" s="196">
        <v>1012</v>
      </c>
      <c r="G74" s="208">
        <v>2012</v>
      </c>
    </row>
    <row r="75" spans="1:8" ht="12.75" customHeight="1" thickBot="1" x14ac:dyDescent="0.3">
      <c r="A75" s="218">
        <v>112</v>
      </c>
      <c r="B75" t="s">
        <v>436</v>
      </c>
      <c r="C75" s="196">
        <v>0</v>
      </c>
      <c r="D75" s="196">
        <f t="shared" si="11"/>
        <v>-30</v>
      </c>
      <c r="E75">
        <v>205</v>
      </c>
      <c r="F75" s="196">
        <v>1013</v>
      </c>
      <c r="G75" s="208">
        <v>2013</v>
      </c>
    </row>
    <row r="76" spans="1:8" ht="12.75" customHeight="1" thickBot="1" x14ac:dyDescent="0.3">
      <c r="A76" s="218">
        <v>113</v>
      </c>
      <c r="B76" t="s">
        <v>436</v>
      </c>
      <c r="C76" s="196">
        <v>0</v>
      </c>
      <c r="D76" s="196">
        <f t="shared" si="11"/>
        <v>-3</v>
      </c>
      <c r="E76">
        <v>206</v>
      </c>
      <c r="F76" s="196">
        <v>1014</v>
      </c>
      <c r="G76" s="208">
        <v>2014</v>
      </c>
    </row>
    <row r="77" spans="1:8" ht="12.75" customHeight="1" thickBot="1" x14ac:dyDescent="0.3">
      <c r="A77" s="218">
        <v>114</v>
      </c>
      <c r="B77" t="s">
        <v>436</v>
      </c>
      <c r="C77" s="196">
        <v>0</v>
      </c>
      <c r="D77" s="196">
        <f t="shared" si="11"/>
        <v>-1</v>
      </c>
      <c r="E77">
        <v>206</v>
      </c>
      <c r="F77" s="211">
        <v>1009</v>
      </c>
      <c r="G77" s="208">
        <v>2015</v>
      </c>
    </row>
    <row r="78" spans="1:8" ht="12.75" customHeight="1" thickBot="1" x14ac:dyDescent="0.3">
      <c r="A78" s="218">
        <v>115</v>
      </c>
      <c r="B78" t="s">
        <v>436</v>
      </c>
      <c r="C78" s="196">
        <v>0</v>
      </c>
      <c r="D78" s="196">
        <f t="shared" si="11"/>
        <v>-1</v>
      </c>
      <c r="E78">
        <v>206</v>
      </c>
      <c r="F78" s="211">
        <v>1009</v>
      </c>
      <c r="G78" s="208">
        <v>2016</v>
      </c>
    </row>
  </sheetData>
  <sortState xmlns:xlrd2="http://schemas.microsoft.com/office/spreadsheetml/2017/richdata2" ref="A23:L38">
    <sortCondition descending="1" ref="E23:E38"/>
  </sortState>
  <phoneticPr fontId="3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26083-51FD-4602-9C6E-21FBA53CBFEA}">
  <dimension ref="A1:AK72"/>
  <sheetViews>
    <sheetView topLeftCell="A31" workbookViewId="0">
      <selection activeCell="C24" sqref="C24"/>
    </sheetView>
  </sheetViews>
  <sheetFormatPr baseColWidth="10" defaultRowHeight="21" customHeight="1" x14ac:dyDescent="0.25"/>
  <cols>
    <col min="1" max="1" width="16.28515625" customWidth="1"/>
    <col min="2" max="2" width="11.85546875" customWidth="1"/>
    <col min="3" max="5" width="20.5703125" customWidth="1"/>
    <col min="6" max="6" width="24.7109375" customWidth="1"/>
    <col min="7" max="8" width="40.7109375" customWidth="1"/>
  </cols>
  <sheetData>
    <row r="1" spans="1:37" ht="21" customHeight="1" thickBot="1" x14ac:dyDescent="0.3">
      <c r="A1" s="138" t="s">
        <v>210</v>
      </c>
      <c r="B1" s="138"/>
      <c r="C1" s="19"/>
      <c r="D1" s="20">
        <v>39783</v>
      </c>
      <c r="E1" s="21">
        <f>D1</f>
        <v>39783</v>
      </c>
      <c r="F1" s="22"/>
      <c r="G1" s="22"/>
      <c r="H1" s="22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4"/>
      <c r="X1" s="23"/>
      <c r="Y1" s="23"/>
      <c r="Z1" s="23"/>
      <c r="AA1" s="23"/>
      <c r="AB1" s="23"/>
      <c r="AC1" s="25"/>
      <c r="AD1" s="26"/>
      <c r="AE1" s="24"/>
      <c r="AF1" s="24"/>
      <c r="AG1" s="24"/>
      <c r="AH1" s="24"/>
      <c r="AI1" s="24"/>
      <c r="AJ1" s="24"/>
      <c r="AK1" s="24"/>
    </row>
    <row r="2" spans="1:37" ht="21" customHeight="1" x14ac:dyDescent="0.25">
      <c r="A2" s="139" t="s">
        <v>211</v>
      </c>
      <c r="B2" s="140" t="s">
        <v>212</v>
      </c>
      <c r="C2" s="139" t="s">
        <v>213</v>
      </c>
      <c r="D2" s="141" t="s">
        <v>214</v>
      </c>
      <c r="E2" s="142" t="s">
        <v>215</v>
      </c>
      <c r="F2" s="142" t="s">
        <v>216</v>
      </c>
      <c r="G2" s="143" t="s">
        <v>217</v>
      </c>
      <c r="H2" s="185" t="s">
        <v>313</v>
      </c>
      <c r="I2" s="144" t="s">
        <v>218</v>
      </c>
      <c r="J2" s="145" t="s">
        <v>219</v>
      </c>
      <c r="K2" s="145"/>
      <c r="L2" s="145"/>
      <c r="M2" s="146"/>
      <c r="N2" s="147" t="s">
        <v>220</v>
      </c>
      <c r="O2" s="145"/>
      <c r="P2" s="145"/>
      <c r="Q2" s="146"/>
      <c r="R2" s="147" t="s">
        <v>221</v>
      </c>
      <c r="S2" s="145"/>
      <c r="T2" s="145"/>
      <c r="U2" s="145"/>
      <c r="V2" s="145"/>
      <c r="W2" s="145"/>
      <c r="X2" s="145"/>
      <c r="Y2" s="146"/>
      <c r="Z2" s="148" t="s">
        <v>220</v>
      </c>
      <c r="AA2" s="149"/>
      <c r="AB2" s="149"/>
      <c r="AC2" s="150" t="s">
        <v>222</v>
      </c>
      <c r="AD2" s="150" t="s">
        <v>223</v>
      </c>
      <c r="AE2" s="148" t="s">
        <v>224</v>
      </c>
      <c r="AF2" s="149"/>
      <c r="AG2" s="149"/>
      <c r="AH2" s="150" t="s">
        <v>225</v>
      </c>
      <c r="AI2" s="150" t="s">
        <v>226</v>
      </c>
      <c r="AJ2" s="151" t="s">
        <v>227</v>
      </c>
      <c r="AK2" s="152" t="s">
        <v>228</v>
      </c>
    </row>
    <row r="3" spans="1:37" ht="21" customHeight="1" thickBot="1" x14ac:dyDescent="0.3">
      <c r="A3" s="153"/>
      <c r="B3" s="154"/>
      <c r="C3" s="155"/>
      <c r="D3" s="156"/>
      <c r="E3" s="157"/>
      <c r="F3" s="157"/>
      <c r="G3" s="157"/>
      <c r="H3" s="185"/>
      <c r="I3" s="158"/>
      <c r="J3" s="27" t="s">
        <v>229</v>
      </c>
      <c r="K3" s="28" t="s">
        <v>230</v>
      </c>
      <c r="L3" s="28" t="s">
        <v>231</v>
      </c>
      <c r="M3" s="29" t="s">
        <v>232</v>
      </c>
      <c r="N3" s="30" t="s">
        <v>233</v>
      </c>
      <c r="O3" s="30" t="s">
        <v>234</v>
      </c>
      <c r="P3" s="159"/>
      <c r="Q3" s="27"/>
      <c r="R3" s="27" t="s">
        <v>229</v>
      </c>
      <c r="S3" s="28" t="s">
        <v>230</v>
      </c>
      <c r="T3" s="28" t="s">
        <v>231</v>
      </c>
      <c r="U3" s="29" t="s">
        <v>232</v>
      </c>
      <c r="V3" s="30" t="s">
        <v>233</v>
      </c>
      <c r="W3" s="30" t="s">
        <v>234</v>
      </c>
      <c r="X3" s="159"/>
      <c r="Y3" s="27"/>
      <c r="Z3" s="31" t="s">
        <v>235</v>
      </c>
      <c r="AA3" s="31" t="s">
        <v>236</v>
      </c>
      <c r="AB3" s="31" t="s">
        <v>237</v>
      </c>
      <c r="AC3" s="31"/>
      <c r="AD3" s="31"/>
      <c r="AE3" s="31" t="s">
        <v>235</v>
      </c>
      <c r="AF3" s="31" t="s">
        <v>236</v>
      </c>
      <c r="AG3" s="31" t="s">
        <v>237</v>
      </c>
      <c r="AH3" s="31"/>
      <c r="AI3" s="31"/>
      <c r="AJ3" s="160"/>
      <c r="AK3" s="161"/>
    </row>
    <row r="4" spans="1:37" ht="21" customHeight="1" thickBot="1" x14ac:dyDescent="0.3">
      <c r="A4" s="162" t="s">
        <v>238</v>
      </c>
      <c r="B4" s="32" t="s">
        <v>239</v>
      </c>
      <c r="C4" s="163" t="str">
        <f>VLOOKUP(B4,[1]IndiceIndicadores!$B$6:$N$75,3,FALSE)</f>
        <v>Crear valor para el accionista</v>
      </c>
      <c r="D4" s="33" t="str">
        <f>VLOOKUP(B4,[1]IndiceIndicadores!$B$6:$N$75,2,FALSE)</f>
        <v>Indice de lucratividad (común)</v>
      </c>
      <c r="E4" s="33" t="str">
        <f>VLOOKUP(B4,[1]IndiceIndicadores!$B$6:$N$75,8,FALSE)</f>
        <v>Todas las Gerencias</v>
      </c>
      <c r="F4" s="33" t="str">
        <f>VLOOKUP(B4,[1]IndiceIndicadores!$B$6:$N$75,9,FALSE)</f>
        <v>Alex Semino / Bernardo Rivera</v>
      </c>
      <c r="G4" s="34" t="str">
        <f>VLOOKUP(B4,[1]IndiceIndicadores!$B$6:$N$75,6,FALSE)</f>
        <v>IL: Pt-Po + Div / Po</v>
      </c>
      <c r="H4" s="186"/>
      <c r="I4" s="35" t="str">
        <f>VLOOKUP(B4,[1]IndiceIndicadores!$B$6:$N$75,4,FALSE)</f>
        <v>%</v>
      </c>
      <c r="J4" s="36">
        <f>VLOOKUP(D1,[1]PF01!$D$17:$T$46,9,FALSE)</f>
        <v>0</v>
      </c>
      <c r="K4" s="36"/>
      <c r="L4" s="36"/>
      <c r="M4" s="36">
        <f>VLOOKUP(D1,[1]PF01!$D$17:$T$46,9,FALSE)</f>
        <v>0</v>
      </c>
      <c r="N4" s="37">
        <f>VLOOKUP(D1,[1]PF01!$D$17:$T$46,5,FALSE)</f>
        <v>0</v>
      </c>
      <c r="O4" s="38" t="str">
        <f>IF(N4="","",IF(N4&gt;=J4,"g",""))</f>
        <v>g</v>
      </c>
      <c r="P4" s="39"/>
      <c r="Q4" s="40" t="str">
        <f t="shared" ref="Q4:Q9" si="0">IF(N4="","",IF(N4&lt;M4,"g",""))</f>
        <v/>
      </c>
      <c r="R4" s="41">
        <f>VLOOKUP(D1,[1]PF01!$D$17:$AL$46,27,FALSE)</f>
        <v>0</v>
      </c>
      <c r="S4" s="41"/>
      <c r="T4" s="41"/>
      <c r="U4" s="41">
        <f>VLOOKUP(D1,[1]PF01!$D$17:$AL$46,27,FALSE)</f>
        <v>0</v>
      </c>
      <c r="V4" s="42">
        <f>VLOOKUP(D1,[1]PF01!$D$17:$AL$46,23,FALSE)</f>
        <v>-0.16870527017328027</v>
      </c>
      <c r="W4" s="38" t="str">
        <f>IF(V4="","",IF(V4&gt;R4,"g",""))</f>
        <v/>
      </c>
      <c r="X4" s="39" t="str">
        <f>IF(V4="","",IF(V4&lt;=R4,IF(V4&gt;=U4,"g",""),""))</f>
        <v/>
      </c>
      <c r="Y4" s="40" t="str">
        <f>IF(V4="","",IF(V4&lt;U4,"g",""))</f>
        <v>g</v>
      </c>
      <c r="Z4" s="43">
        <f>VLOOKUP(D1,[1]PF01!AO14:BB43,2,FALSE)</f>
        <v>0</v>
      </c>
      <c r="AA4" s="44">
        <f>VLOOKUP(D1,[1]PF01!AO14:BB43,3,FALSE)</f>
        <v>0</v>
      </c>
      <c r="AB4" s="45"/>
      <c r="AC4" s="44">
        <f>VLOOKUP(D1,[1]PF01!AO14:BB43,5,FALSE)</f>
        <v>0</v>
      </c>
      <c r="AD4" s="45"/>
      <c r="AE4" s="44">
        <f>VLOOKUP(D1,[1]PF01!AO14:BP43,16,FALSE)</f>
        <v>8.8386262924667558E-2</v>
      </c>
      <c r="AF4" s="44">
        <f>VLOOKUP(D1,[1]PF01!AO14:BP43,17,FALSE)</f>
        <v>0</v>
      </c>
      <c r="AG4" s="45"/>
      <c r="AH4" s="44">
        <f>VLOOKUP(D1,[1]PF01!AO14:BP43,19,FALSE)</f>
        <v>0</v>
      </c>
      <c r="AI4" s="45"/>
      <c r="AJ4" s="45"/>
      <c r="AK4" s="45"/>
    </row>
    <row r="5" spans="1:37" ht="21" customHeight="1" thickBot="1" x14ac:dyDescent="0.3">
      <c r="A5" s="164"/>
      <c r="B5" s="46" t="s">
        <v>240</v>
      </c>
      <c r="C5" s="165"/>
      <c r="D5" s="47" t="str">
        <f>VLOOKUP(B5,[1]IndiceIndicadores!$B$6:$N$75,2,FALSE)</f>
        <v>Indice de lucratividad (inversión)</v>
      </c>
      <c r="E5" s="33" t="str">
        <f>VLOOKUP(B5,[1]IndiceIndicadores!$B$6:$N$75,8,FALSE)</f>
        <v>Todas las Gerencias</v>
      </c>
      <c r="F5" s="47" t="str">
        <f>VLOOKUP(B5,[1]IndiceIndicadores!$B$6:$N$75,9,FALSE)</f>
        <v>Alex Semino / Bernardo Rivera</v>
      </c>
      <c r="G5" s="48" t="str">
        <f>VLOOKUP(B5,[1]IndiceIndicadores!$B$6:$N$75,6,FALSE)</f>
        <v>IL: Pt-Po + Div / Po</v>
      </c>
      <c r="H5" s="186"/>
      <c r="I5" s="35" t="str">
        <f>VLOOKUP(B5,[1]IndiceIndicadores!$B$6:$N$75,4,FALSE)</f>
        <v>%</v>
      </c>
      <c r="J5" s="36">
        <f>VLOOKUP(D1,[1]PF01!$D$17:$T$46,17,FALSE)</f>
        <v>0</v>
      </c>
      <c r="K5" s="36"/>
      <c r="L5" s="36"/>
      <c r="M5" s="36">
        <f>VLOOKUP(D1,[1]PF01!$D$17:$T$46,17,FALSE)</f>
        <v>0</v>
      </c>
      <c r="N5" s="37">
        <f>VLOOKUP(D1,[1]PF01!$D$17:$T$46,13,FALSE)</f>
        <v>-4.9999999999999933E-2</v>
      </c>
      <c r="O5" s="38" t="str">
        <f>IF(N5="","",IF(N5&gt;=J5,"g",""))</f>
        <v/>
      </c>
      <c r="P5" s="39"/>
      <c r="Q5" s="40" t="str">
        <f t="shared" si="0"/>
        <v>g</v>
      </c>
      <c r="R5" s="41">
        <f>VLOOKUP(D1,[1]PF01!$D$17:$AL$46,35,FALSE)</f>
        <v>0</v>
      </c>
      <c r="S5" s="41"/>
      <c r="T5" s="41"/>
      <c r="U5" s="41">
        <f>VLOOKUP(D1,[1]PF01!$D$17:$AL$46,35,FALSE)</f>
        <v>0</v>
      </c>
      <c r="V5" s="42">
        <f>VLOOKUP(D1,[1]PF01!$D$17:$AL$46,31,FALSE)</f>
        <v>-0.10416666666666696</v>
      </c>
      <c r="W5" s="38" t="str">
        <f>IF(V5="","",IF(V5&gt;R5,"g",""))</f>
        <v/>
      </c>
      <c r="X5" s="39" t="str">
        <f>IF(V5="","",IF(V5&lt;=R5,IF(V5&gt;=U5,"g",""),""))</f>
        <v/>
      </c>
      <c r="Y5" s="40" t="str">
        <f>IF(V5="","",IF(V5&lt;U5,"g",""))</f>
        <v>g</v>
      </c>
      <c r="Z5" s="43">
        <f>VLOOKUP(D1,[1]PF01!AO14:BB43,9,FALSE)</f>
        <v>-5.0000000000000266E-2</v>
      </c>
      <c r="AA5" s="44">
        <f>VLOOKUP(D1,[1]PF01!AO14:BB43,10,FALSE)</f>
        <v>0</v>
      </c>
      <c r="AB5" s="45"/>
      <c r="AC5" s="44">
        <f>VLOOKUP(D1,[1]PF01!AO14:BB43,12,FALSE)</f>
        <v>0</v>
      </c>
      <c r="AD5" s="45"/>
      <c r="AE5" s="44">
        <f>VLOOKUP(D1,[1]PF01!AO14:BP43,23,FALSE)</f>
        <v>6.1878265412747914E-2</v>
      </c>
      <c r="AF5" s="44">
        <f>VLOOKUP(D1,[1]PF01!AO14:BP43,24,FALSE)</f>
        <v>0</v>
      </c>
      <c r="AG5" s="45"/>
      <c r="AH5" s="44">
        <f>VLOOKUP(D1,[1]PF01!AO14:BP43,26,FALSE)</f>
        <v>0</v>
      </c>
      <c r="AI5" s="45"/>
      <c r="AJ5" s="45"/>
      <c r="AK5" s="45"/>
    </row>
    <row r="6" spans="1:37" ht="21" customHeight="1" thickBot="1" x14ac:dyDescent="0.3">
      <c r="A6" s="166"/>
      <c r="B6" s="46" t="s">
        <v>241</v>
      </c>
      <c r="C6" s="48"/>
      <c r="D6" s="47" t="str">
        <f>VLOOKUP(B6,[1]IndiceIndicadores!$B$6:$N$75,2,FALSE)</f>
        <v>EVA</v>
      </c>
      <c r="E6" s="33" t="str">
        <f>VLOOKUP(B6,[1]IndiceIndicadores!$B$6:$N$75,8,FALSE)</f>
        <v>Todas las Gerencias</v>
      </c>
      <c r="F6" s="47" t="str">
        <f>VLOOKUP(B6,[1]IndiceIndicadores!$B$6:$N$75,9,FALSE)</f>
        <v>Alex Semino / Bernardo Rivera</v>
      </c>
      <c r="G6" s="48" t="str">
        <f>VLOOKUP(B6,[1]IndiceIndicadores!$B$6:$N$75,6,FALSE)</f>
        <v>NOPAT - CPPC * Capital Invertido</v>
      </c>
      <c r="H6" s="186"/>
      <c r="I6" s="35" t="str">
        <f>VLOOKUP(B6,[1]IndiceIndicadores!$B$6:$N$75,4,FALSE)</f>
        <v xml:space="preserve">Unid </v>
      </c>
      <c r="J6" s="49">
        <f>[1]PF02!K14</f>
        <v>0</v>
      </c>
      <c r="K6" s="50"/>
      <c r="L6" s="50"/>
      <c r="M6" s="49">
        <f>[1]PF02!K14</f>
        <v>0</v>
      </c>
      <c r="N6" s="51">
        <f>VLOOKUP(D1,[1]PF02!B14:K38,6,FALSE)</f>
        <v>25062241.278859153</v>
      </c>
      <c r="O6" s="38" t="str">
        <f>IF(N6="","",IF(N6&gt;J6,"g",""))</f>
        <v>g</v>
      </c>
      <c r="P6" s="39" t="str">
        <f>IF(N6="","",IF(N6&lt;=J6,IF(N6&gt;=M6,"g",""),""))</f>
        <v/>
      </c>
      <c r="Q6" s="40" t="str">
        <f t="shared" si="0"/>
        <v/>
      </c>
      <c r="R6" s="52"/>
      <c r="S6" s="52"/>
      <c r="T6" s="52"/>
      <c r="U6" s="52"/>
      <c r="V6" s="53"/>
      <c r="W6" s="38"/>
      <c r="X6" s="39"/>
      <c r="Y6" s="40"/>
      <c r="Z6" s="54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</row>
    <row r="7" spans="1:37" ht="21" customHeight="1" thickBot="1" x14ac:dyDescent="0.3">
      <c r="A7" s="166"/>
      <c r="B7" s="46" t="s">
        <v>242</v>
      </c>
      <c r="C7" s="163" t="str">
        <f>VLOOKUP(B7,[1]IndiceIndicadores!$B$6:$N$75,3,FALSE)</f>
        <v>Maximizar rentabilidad</v>
      </c>
      <c r="D7" s="47" t="str">
        <f>VLOOKUP(B7,[1]IndiceIndicadores!$B$6:$N$75,2,FALSE)</f>
        <v>Capital de trabajo / Ventas</v>
      </c>
      <c r="E7" s="33" t="str">
        <f>VLOOKUP(B7,[1]IndiceIndicadores!$B$6:$N$75,8,FALSE)</f>
        <v>Todas las Gerencias</v>
      </c>
      <c r="F7" s="47" t="str">
        <f>VLOOKUP(B7,[1]IndiceIndicadores!$B$6:$N$75,9,FALSE)</f>
        <v>Alex Semino / Bernardo Rivera</v>
      </c>
      <c r="G7" s="48" t="str">
        <f>VLOOKUP(B7,[1]IndiceIndicadores!$B$6:$N$75,6,FALSE)</f>
        <v>((Activo Cte -  Pasivo Cte) / Ventas)*12</v>
      </c>
      <c r="H7" s="186"/>
      <c r="I7" s="35" t="str">
        <f>VLOOKUP(B7,[1]IndiceIndicadores!$B$6:$N$75,4,FALSE)</f>
        <v xml:space="preserve">Unid </v>
      </c>
      <c r="J7" s="49">
        <f xml:space="preserve"> VLOOKUP( D1,[1]PF03!$B$15:$H$51, 6,FALSE)</f>
        <v>3</v>
      </c>
      <c r="K7" s="50"/>
      <c r="L7" s="50"/>
      <c r="M7" s="49">
        <f xml:space="preserve"> VLOOKUP( D1,[1]PF03!$B$15:$H$51, 7,FALSE)</f>
        <v>2</v>
      </c>
      <c r="N7" s="56">
        <f xml:space="preserve"> VLOOKUP( D1,[1]PF03!$B$15:$H$51, 2,FALSE)</f>
        <v>2.1421687482556426</v>
      </c>
      <c r="O7" s="38" t="str">
        <f>IF(N7="","",IF(N7&lt;=J7,IF(N7&gt;=M7,"g",""),""))</f>
        <v>g</v>
      </c>
      <c r="P7" s="57"/>
      <c r="Q7" s="40" t="str">
        <f>IF(N7="","",IF(N7&lt;M7,"g",IF(N7&gt;J7,"g","")))</f>
        <v/>
      </c>
      <c r="R7" s="58">
        <f xml:space="preserve"> VLOOKUP( D1,[1]PF03!$B$15:$AH$51, 12,FALSE)</f>
        <v>3</v>
      </c>
      <c r="S7" s="52"/>
      <c r="T7" s="52"/>
      <c r="U7" s="58">
        <f xml:space="preserve"> VLOOKUP( D1,[1]PF03!$B$15:$AH$51, 13,FALSE)</f>
        <v>2</v>
      </c>
      <c r="V7" s="56">
        <f xml:space="preserve"> VLOOKUP( D1,[1]PF03!$B$15:$AH$51, 8,FALSE)</f>
        <v>2.1421687482556426</v>
      </c>
      <c r="W7" s="38" t="str">
        <f>IF(V7="","",IF(V7&lt;=R7,IF(V7&gt;=U7,"g",""),""))</f>
        <v>g</v>
      </c>
      <c r="X7" s="57"/>
      <c r="Y7" s="40" t="str">
        <f>IF(V7="","",IF(V7&lt;U7,"g",IF(V7&gt;R7,"g","")))</f>
        <v/>
      </c>
      <c r="Z7" s="59">
        <f xml:space="preserve"> VLOOKUP( D1,[1]PF03!$B$15:$AH$51, 21,FALSE)</f>
        <v>1.9543958795857539</v>
      </c>
      <c r="AA7" s="60">
        <f xml:space="preserve"> VLOOKUP( D1,[1]PF03!$B$15:$AH$51, 22,FALSE)</f>
        <v>2.1421687482556426</v>
      </c>
      <c r="AB7" s="45"/>
      <c r="AC7" s="44">
        <f xml:space="preserve"> VLOOKUP( D1,[1]PF03!$B$15:$AH$51, 24,FALSE)</f>
        <v>9.607719225732736E-2</v>
      </c>
      <c r="AD7" s="45"/>
      <c r="AE7" s="60">
        <f xml:space="preserve"> VLOOKUP( D1,[1]PF03!$B$15:$AH$51, 28,FALSE)</f>
        <v>1.9543958795857539</v>
      </c>
      <c r="AF7" s="60">
        <f xml:space="preserve"> VLOOKUP( D1,[1]PF03!$B$15:$AH$51, 29,FALSE)</f>
        <v>2.1421687482556426</v>
      </c>
      <c r="AG7" s="45"/>
      <c r="AH7" s="44">
        <f xml:space="preserve"> VLOOKUP( D1,[1]PF03!$B$15:$AH$51, 31,FALSE)</f>
        <v>9.607719225732736E-2</v>
      </c>
      <c r="AI7" s="45"/>
      <c r="AJ7" s="45"/>
      <c r="AK7" s="45"/>
    </row>
    <row r="8" spans="1:37" ht="21" customHeight="1" thickBot="1" x14ac:dyDescent="0.3">
      <c r="A8" s="166"/>
      <c r="B8" s="46" t="s">
        <v>243</v>
      </c>
      <c r="C8" s="165"/>
      <c r="D8" s="47" t="str">
        <f>VLOOKUP(B8,[1]IndiceIndicadores!$B$6:$N$75,2,FALSE)</f>
        <v>Margen operativo</v>
      </c>
      <c r="E8" s="33" t="str">
        <f>VLOOKUP(B8,[1]IndiceIndicadores!$B$6:$N$75,8,FALSE)</f>
        <v>Todas las Gerencias</v>
      </c>
      <c r="F8" s="47" t="str">
        <f>VLOOKUP(B8,[1]IndiceIndicadores!$B$6:$N$75,9,FALSE)</f>
        <v>Alex Semino / Bernardo Rivera</v>
      </c>
      <c r="G8" s="48" t="str">
        <f>VLOOKUP(B8,[1]IndiceIndicadores!$B$6:$N$75,6,FALSE)</f>
        <v>MO= Utilidad Operativa/ Ventas</v>
      </c>
      <c r="H8" s="186"/>
      <c r="I8" s="35" t="str">
        <f>VLOOKUP(B8,[1]IndiceIndicadores!$B$6:$N$75,4,FALSE)</f>
        <v>%</v>
      </c>
      <c r="J8" s="36">
        <f xml:space="preserve"> VLOOKUP( D1,  [1]FP06!$B$16:$P49, 8,FALSE)</f>
        <v>0.21999999999999975</v>
      </c>
      <c r="K8" s="36"/>
      <c r="L8" s="36"/>
      <c r="M8" s="36">
        <f xml:space="preserve"> VLOOKUP( D1,  [1]FP06!$B$16:$P49, 9,FALSE)</f>
        <v>0.19000000000000039</v>
      </c>
      <c r="N8" s="37">
        <f xml:space="preserve"> VLOOKUP( D1,  [1]FP06!$B$16:$P49, 4,FALSE)</f>
        <v>0.12762553859727349</v>
      </c>
      <c r="O8" s="38" t="str">
        <f>IF(N8="","",IF(N8&gt;J8,"g",""))</f>
        <v/>
      </c>
      <c r="P8" s="39" t="str">
        <f>IF(N8="","",IF(N8&lt;=J8,IF(N8&gt;=M8,"g",""),""))</f>
        <v/>
      </c>
      <c r="Q8" s="40" t="str">
        <f t="shared" si="0"/>
        <v>g</v>
      </c>
      <c r="R8" s="61">
        <f xml:space="preserve"> VLOOKUP( D1,  [1]FP06!$B$16:$P49, 14,FALSE)</f>
        <v>0.21999999999999975</v>
      </c>
      <c r="S8" s="62"/>
      <c r="T8" s="62"/>
      <c r="U8" s="61">
        <f xml:space="preserve"> VLOOKUP( D1,  [1]FP06!$B$16:$P49, 15,FALSE)</f>
        <v>9.9999999999999645E-2</v>
      </c>
      <c r="V8" s="37">
        <f xml:space="preserve"> VLOOKUP( D1,  [1]FP06!$B$16:$P49, 10,FALSE)</f>
        <v>0.15705258689245957</v>
      </c>
      <c r="W8" s="38" t="str">
        <f>IF(V8="","",IF(V8&gt;R8,"g",""))</f>
        <v/>
      </c>
      <c r="X8" s="39" t="str">
        <f t="shared" ref="X8:X38" si="1">IF(V8="","",IF(V8&lt;=R8,IF(V8&gt;=U8,"g",""),""))</f>
        <v>g</v>
      </c>
      <c r="Y8" s="40" t="str">
        <f>IF(V8="","",IF(V8&lt;U8,"g",""))</f>
        <v/>
      </c>
      <c r="Z8" s="43">
        <f xml:space="preserve"> VLOOKUP( D1, [1]FP06!$R13:$AR$52, 3,FALSE)</f>
        <v>0.18019216884631786</v>
      </c>
      <c r="AA8" s="44">
        <f xml:space="preserve"> VLOOKUP( D1, [1]FP06!$R13:$AR$52, 4,FALSE)</f>
        <v>0.12762553859727349</v>
      </c>
      <c r="AB8" s="63"/>
      <c r="AC8" s="44">
        <f xml:space="preserve"> VLOOKUP( D1, [1]FP06!$R13:$AR$52, 7,FALSE)</f>
        <v>-0.29172538732178399</v>
      </c>
      <c r="AD8" s="45"/>
      <c r="AE8" s="44">
        <f xml:space="preserve"> VLOOKUP( D1, [1]FP06!$R13:$AR$52, 19,FALSE)</f>
        <v>0.16461858597163237</v>
      </c>
      <c r="AF8" s="44">
        <f xml:space="preserve"> VLOOKUP( D1, [1]FP06!$R13:$AR$52, 20,FALSE)</f>
        <v>0.15705258689245957</v>
      </c>
      <c r="AG8" s="63"/>
      <c r="AH8" s="44">
        <f xml:space="preserve"> VLOOKUP( D1, [1]FP06!$R13:$AR$52, 23,FALSE)</f>
        <v>-4.5960782827259794E-2</v>
      </c>
      <c r="AI8" s="45"/>
      <c r="AJ8" s="63"/>
      <c r="AK8" s="45"/>
    </row>
    <row r="9" spans="1:37" ht="21" customHeight="1" thickBot="1" x14ac:dyDescent="0.3">
      <c r="A9" s="166"/>
      <c r="B9" s="46" t="s">
        <v>244</v>
      </c>
      <c r="C9" s="165"/>
      <c r="D9" s="47" t="str">
        <f>VLOOKUP(B9,[1]IndiceIndicadores!$B$6:$N$75,2,FALSE)</f>
        <v>Margen neto</v>
      </c>
      <c r="E9" s="33" t="str">
        <f>VLOOKUP(B9,[1]IndiceIndicadores!$B$6:$N$75,8,FALSE)</f>
        <v>Todas las Gerencias</v>
      </c>
      <c r="F9" s="47" t="str">
        <f>VLOOKUP(B9,[1]IndiceIndicadores!$B$6:$N$75,9,FALSE)</f>
        <v>Alex Semino / Bernardo Rivera</v>
      </c>
      <c r="G9" s="48" t="str">
        <f>VLOOKUP(B9,[1]IndiceIndicadores!$B$6:$N$75,6,FALSE)</f>
        <v>MN= Utilidad Neta/Ventas</v>
      </c>
      <c r="H9" s="186"/>
      <c r="I9" s="35" t="str">
        <f>VLOOKUP(B9,[1]IndiceIndicadores!$B$6:$N$75,4,FALSE)</f>
        <v>%</v>
      </c>
      <c r="J9" s="36">
        <f xml:space="preserve"> VLOOKUP( D1, [1]FP07!$B$16:$P49, 8,FALSE)</f>
        <v>0.10000000000000009</v>
      </c>
      <c r="K9" s="36"/>
      <c r="L9" s="36"/>
      <c r="M9" s="36">
        <f xml:space="preserve"> VLOOKUP( D1,  [1]FP07!$B$16:$P49, 9,FALSE)</f>
        <v>8.9999999999999858E-2</v>
      </c>
      <c r="N9" s="37">
        <f xml:space="preserve"> VLOOKUP( D1,  [1]FP07!$B$16:$P49, 4,FALSE)</f>
        <v>-5.4140895898090555E-2</v>
      </c>
      <c r="O9" s="38" t="str">
        <f>IF(N9="","",IF(N9&gt;J9,"g",""))</f>
        <v/>
      </c>
      <c r="P9" s="39" t="str">
        <f>IF(N9="","",IF(N9&lt;=J9,IF(N9&gt;=M9,"g",""),""))</f>
        <v/>
      </c>
      <c r="Q9" s="40" t="str">
        <f t="shared" si="0"/>
        <v>g</v>
      </c>
      <c r="R9" s="61">
        <f xml:space="preserve"> VLOOKUP( D1,  [1]FP07!$B$16:$P49, 14,FALSE)</f>
        <v>0.10000000000000009</v>
      </c>
      <c r="S9" s="62"/>
      <c r="T9" s="62"/>
      <c r="U9" s="61">
        <f xml:space="preserve"> VLOOKUP( D1,  [1]FP07!$B$16:$P49, 15,FALSE)</f>
        <v>8.9999999999999858E-2</v>
      </c>
      <c r="V9" s="37">
        <f xml:space="preserve"> VLOOKUP( D1,  [1]FP07!$B$16:$P49, 10,FALSE)</f>
        <v>3.6069296253223221E-2</v>
      </c>
      <c r="W9" s="38" t="str">
        <f>IF(V9="","",IF(V9&gt;R9,"g",""))</f>
        <v/>
      </c>
      <c r="X9" s="39" t="str">
        <f t="shared" si="1"/>
        <v/>
      </c>
      <c r="Y9" s="40" t="str">
        <f>IF(V9="","",IF(V9&lt;U9,"g",""))</f>
        <v>g</v>
      </c>
      <c r="Z9" s="43">
        <f xml:space="preserve"> VLOOKUP( D1, [1]FP07!$R13:$AR$52, 3,FALSE)</f>
        <v>0.70089873023660332</v>
      </c>
      <c r="AA9" s="44">
        <f xml:space="preserve"> VLOOKUP( D1, [1]FP07!$R13:$AR$52, 4,FALSE)</f>
        <v>-5.4140895898090555E-2</v>
      </c>
      <c r="AB9" s="63"/>
      <c r="AC9" s="44">
        <f xml:space="preserve"> VLOOKUP( D1, [1]FP07!$R13:$AR$52, 7,FALSE)</f>
        <v>-1.0772449621642404</v>
      </c>
      <c r="AD9" s="45"/>
      <c r="AE9" s="44">
        <f xml:space="preserve"> VLOOKUP( D1, [1]FP07!$R13:$AR$52, 19,FALSE)</f>
        <v>0.14406571237072305</v>
      </c>
      <c r="AF9" s="44">
        <f xml:space="preserve"> VLOOKUP( D1, [1]FP07!$R13:$AR$52, 20,FALSE)</f>
        <v>3.6069296253223221E-2</v>
      </c>
      <c r="AG9" s="63"/>
      <c r="AH9" s="44">
        <f xml:space="preserve"> VLOOKUP( D1, [1]FP07!$R13:$AR$52, 23,FALSE)</f>
        <v>-0.74963302745898064</v>
      </c>
      <c r="AI9" s="45"/>
      <c r="AJ9" s="63"/>
      <c r="AK9" s="45"/>
    </row>
    <row r="10" spans="1:37" ht="21" customHeight="1" thickBot="1" x14ac:dyDescent="0.3">
      <c r="A10" s="166"/>
      <c r="B10" s="46" t="s">
        <v>245</v>
      </c>
      <c r="C10" s="48"/>
      <c r="D10" s="47" t="str">
        <f>VLOOKUP(B10,[1]IndiceIndicadores!$B$6:$N$75,2,FALSE)</f>
        <v>Margen Neto_Explosivo</v>
      </c>
      <c r="E10" s="33" t="str">
        <f>VLOOKUP(B10,[1]IndiceIndicadores!$B$6:$N$75,8,FALSE)</f>
        <v>Todas las Gerencias</v>
      </c>
      <c r="F10" s="47" t="str">
        <f>VLOOKUP(B10,[1]IndiceIndicadores!$B$6:$N$75,9,FALSE)</f>
        <v>Alex Semino / Bernardo Rivera</v>
      </c>
      <c r="G10" s="48" t="str">
        <f>VLOOKUP(B10,[1]IndiceIndicadores!$B$6:$N$75,6,FALSE)</f>
        <v>MN= Utilidad Neta/Ventas Explosivos</v>
      </c>
      <c r="H10" s="186"/>
      <c r="I10" s="35" t="str">
        <f>VLOOKUP(B10,[1]IndiceIndicadores!$B$6:$N$75,4,FALSE)</f>
        <v>%</v>
      </c>
      <c r="J10" s="36">
        <f xml:space="preserve"> VLOOKUP( D1, [1]FP07A!$B$16:$P49, 8,FALSE)</f>
        <v>8.9999999999999858E-2</v>
      </c>
      <c r="K10" s="36"/>
      <c r="L10" s="36"/>
      <c r="M10" s="36">
        <f xml:space="preserve"> VLOOKUP( D1, [1]FP07A!$B$16:$P49, 9,FALSE)</f>
        <v>7.0000000000000062E-2</v>
      </c>
      <c r="N10" s="37">
        <f xml:space="preserve"> VLOOKUP( D1, [1]FP07A!$B$16:$P49, 4,FALSE)</f>
        <v>-0.2835448730068591</v>
      </c>
      <c r="O10" s="38" t="str">
        <f>IF(N10="","",IF(N10&gt;J10,"g",""))</f>
        <v/>
      </c>
      <c r="P10" s="39" t="str">
        <f>IF(N10="","",IF(N10&lt;=J10,IF(N10&gt;=M10,"g",""),""))</f>
        <v/>
      </c>
      <c r="Q10" s="40" t="str">
        <f>IF(N10="","",IF(N10&lt;M10,"g",""))</f>
        <v>g</v>
      </c>
      <c r="R10" s="61">
        <f xml:space="preserve"> VLOOKUP( D1, [1]FP07A!$B$16:$P49, 14,FALSE)</f>
        <v>8.9999999999999858E-2</v>
      </c>
      <c r="S10" s="62"/>
      <c r="T10" s="62"/>
      <c r="U10" s="61">
        <f xml:space="preserve"> VLOOKUP( D1, [1]FP07A!$B$16:$P49, 15,FALSE)</f>
        <v>7.0000000000000062E-2</v>
      </c>
      <c r="V10" s="37">
        <f xml:space="preserve"> VLOOKUP( D1, [1]FP07A!$B$16:$P49, 10,FALSE)</f>
        <v>3.2604882774861045E-2</v>
      </c>
      <c r="W10" s="38" t="str">
        <f>IF(V10="","",IF(V10&gt;R10,"g",""))</f>
        <v/>
      </c>
      <c r="X10" s="39" t="str">
        <f>IF(V10="","",IF(V10&lt;=R10,IF(V10&gt;=U10,"g",""),""))</f>
        <v/>
      </c>
      <c r="Y10" s="40" t="str">
        <f>IF(V10="","",IF(V10&lt;U10,"g",""))</f>
        <v>g</v>
      </c>
      <c r="Z10" s="43">
        <f xml:space="preserve"> VLOOKUP( D1, [1]FP07A!$R13:$AR$52, 3,FALSE)</f>
        <v>0</v>
      </c>
      <c r="AA10" s="44">
        <f xml:space="preserve"> VLOOKUP( D1, [1]FP07!$R13:$AR$52, 4,FALSE)</f>
        <v>-5.4140895898090555E-2</v>
      </c>
      <c r="AB10" s="63"/>
      <c r="AC10" s="44">
        <f xml:space="preserve"> VLOOKUP( D1, [1]FP07!$R13:$AR$52, 7,FALSE)</f>
        <v>-1.0772449621642404</v>
      </c>
      <c r="AD10" s="45"/>
      <c r="AE10" s="44">
        <f xml:space="preserve"> VLOOKUP( D1, [1]FP07!$R13:$AR$52, 19,FALSE)</f>
        <v>0.14406571237072305</v>
      </c>
      <c r="AF10" s="44">
        <f xml:space="preserve"> VLOOKUP( D1, [1]FP07!$R13:$AR$52, 23,FALSE)</f>
        <v>-0.74963302745898064</v>
      </c>
      <c r="AG10" s="63"/>
      <c r="AH10" s="44">
        <f xml:space="preserve"> VLOOKUP( D1, [1]FP07!$R13:$AR$52, 23,FALSE)</f>
        <v>-0.74963302745898064</v>
      </c>
      <c r="AI10" s="45"/>
      <c r="AJ10" s="63"/>
      <c r="AK10" s="45"/>
    </row>
    <row r="11" spans="1:37" ht="21" customHeight="1" thickBot="1" x14ac:dyDescent="0.3">
      <c r="A11" s="166"/>
      <c r="B11" s="46" t="s">
        <v>246</v>
      </c>
      <c r="C11" s="163" t="str">
        <f>VLOOKUP(B11,[1]IndiceIndicadores!$B$6:$N$75,3,FALSE)</f>
        <v>Incrementar los ingresos</v>
      </c>
      <c r="D11" s="47" t="str">
        <f>VLOOKUP(B11,[1]IndiceIndicadores!$B$6:$N$75,2,FALSE)</f>
        <v>Cumplimiento de la proyección de ventas U$</v>
      </c>
      <c r="E11" s="33" t="str">
        <f>VLOOKUP(B11,[1]IndiceIndicadores!$B$6:$N$75,8,FALSE)</f>
        <v>Todas las Gerencias</v>
      </c>
      <c r="F11" s="47" t="str">
        <f>VLOOKUP(B11,[1]IndiceIndicadores!$B$6:$N$75,9,FALSE)</f>
        <v>Alex Semino / Bernardo Rivera / P. Espejo</v>
      </c>
      <c r="G11" s="48" t="str">
        <f>VLOOKUP(B11,[1]IndiceIndicadores!$B$6:$N$75,6,FALSE)</f>
        <v>CN=Ventas ejecutadas$/ Ventas pronosticadas * 100</v>
      </c>
      <c r="H11" s="186"/>
      <c r="I11" s="35" t="str">
        <f>VLOOKUP(B11,[1]IndiceIndicadores!$B$6:$N$75,4,FALSE)</f>
        <v>%</v>
      </c>
      <c r="J11" s="36">
        <f xml:space="preserve"> VLOOKUP( D1,  [1]FP08!$B$16:$AR$49, 10,FALSE)</f>
        <v>1.1000000000000014</v>
      </c>
      <c r="K11" s="36">
        <f xml:space="preserve"> VLOOKUP( D1,  [1]FP08!$B$16:$AR$49, 11,FALSE)</f>
        <v>1.0500000000000007</v>
      </c>
      <c r="L11" s="36">
        <f xml:space="preserve"> VLOOKUP( D1,  [1]FP08!$B$16:$AR$49, 12,FALSE)</f>
        <v>0.94999999999999929</v>
      </c>
      <c r="M11" s="36">
        <f xml:space="preserve"> VLOOKUP( D1,  [1]FP08!$B$16:$AR$49, 13,FALSE)</f>
        <v>0.89999999999999858</v>
      </c>
      <c r="N11" s="37">
        <f xml:space="preserve"> VLOOKUP( D1,  [1]FP08!$B$16:$AR$49, 4,FALSE)</f>
        <v>0.68020317020701537</v>
      </c>
      <c r="O11" s="38" t="str">
        <f>IF(N11="","",IF(N11&lt;=K11,IF(N11&gt;=L11,"g",""),"")      )</f>
        <v/>
      </c>
      <c r="P11" s="39" t="str">
        <f>IF(N11&gt;K11,IF(N11&lt;J11,"g",""),IF(N11&lt;L11,IF(N11&gt;M11,"g",""),""  ))</f>
        <v/>
      </c>
      <c r="Q11" s="40" t="str">
        <f>IF(N11="","",    IF(N11&gt;=J11,"g", IF(N11&lt;=M11,"g",""))     )</f>
        <v>g</v>
      </c>
      <c r="R11" s="61">
        <f xml:space="preserve"> VLOOKUP( D1,  [1]FP08!$B$16:$AR$49, 30,FALSE)</f>
        <v>1.1000000000000014</v>
      </c>
      <c r="S11" s="61">
        <f xml:space="preserve"> VLOOKUP( D1,  [1]FP08!$B$16:$AR$49, 31,FALSE)</f>
        <v>1.0500000000000007</v>
      </c>
      <c r="T11" s="61">
        <f xml:space="preserve"> VLOOKUP( D1,  [1]FP08!$B$16:$AR$49, 32,FALSE)</f>
        <v>0.94999999999999929</v>
      </c>
      <c r="U11" s="61">
        <f xml:space="preserve"> VLOOKUP( D1,  [1]FP08!$B$16:$AR$49, 33,FALSE)</f>
        <v>0.89999999999999858</v>
      </c>
      <c r="V11" s="37">
        <f xml:space="preserve"> VLOOKUP( D1,  [1]FP08!$B$16:$AR$49, 24,FALSE)</f>
        <v>0.96234746644526714</v>
      </c>
      <c r="W11" s="38" t="str">
        <f>IF(V11="","",IF(V11&lt;=S11,IF(V11&gt;=T11,"g",""),"")      )</f>
        <v>g</v>
      </c>
      <c r="X11" s="39" t="str">
        <f>IF(V11&gt;S11,IF(V11&lt;R11,"g",""),IF(V11&lt;T11,IF(V11&gt;U11,"g",""),""  ))</f>
        <v/>
      </c>
      <c r="Y11" s="40" t="str">
        <f>IF(V11="","",    IF(V11&gt;=R11,"g", IF(V11&lt;=U11,"g",""))     )</f>
        <v/>
      </c>
      <c r="Z11" s="64">
        <f xml:space="preserve"> VLOOKUP( D1,[1]FP08!$AT$16:$CA$49, 3,FALSE)</f>
        <v>3010388.8599999994</v>
      </c>
      <c r="AA11" s="65">
        <f xml:space="preserve"> VLOOKUP( D1,[1]FP08!$AT$16:$CA$49, 4,FALSE)</f>
        <v>2407747.2778083906</v>
      </c>
      <c r="AB11" s="63"/>
      <c r="AC11" s="44">
        <f xml:space="preserve"> VLOOKUP( D1,[1]FP08!$AT$16:$CA$49, 7,FALSE)</f>
        <v>-0.20018728816037701</v>
      </c>
      <c r="AD11" s="45"/>
      <c r="AE11" s="65">
        <f xml:space="preserve"> VLOOKUP( D1,[1]FP08!$AT$16:$CA$49, 19,FALSE)</f>
        <v>28186001.380000003</v>
      </c>
      <c r="AF11" s="65">
        <f xml:space="preserve"> VLOOKUP( D1,[1]FP08!$AT$16:$CA$49,20,FALSE)</f>
        <v>33347229.208171405</v>
      </c>
      <c r="AG11" s="63"/>
      <c r="AH11" s="44">
        <f xml:space="preserve"> VLOOKUP( D1,[1]FP08!$AT$16:$CA$49, 23,FALSE)</f>
        <v>0.18311316169287006</v>
      </c>
      <c r="AI11" s="45" t="str">
        <f xml:space="preserve"> VLOOKUP( D1,[1]FP08!$AT$16:$CA$49, 25,FALSE)</f>
        <v/>
      </c>
      <c r="AJ11" s="63"/>
      <c r="AK11" s="45"/>
    </row>
    <row r="12" spans="1:37" ht="21" customHeight="1" thickBot="1" x14ac:dyDescent="0.3">
      <c r="A12" s="166"/>
      <c r="B12" s="46" t="s">
        <v>247</v>
      </c>
      <c r="C12" s="48"/>
      <c r="D12" s="47" t="str">
        <f>VLOOKUP(B12,[1]IndiceIndicadores!$B$6:$N$75,2,FALSE)</f>
        <v>Cumplimiento de la proyección de ventas TM</v>
      </c>
      <c r="E12" s="33" t="str">
        <f>VLOOKUP(B12,[1]IndiceIndicadores!$B$6:$N$75,8,FALSE)</f>
        <v>Todas las Gerencias</v>
      </c>
      <c r="F12" s="47" t="str">
        <f>VLOOKUP(B12,[1]IndiceIndicadores!$B$6:$N$75,9,FALSE)</f>
        <v>Alex Semino / Bernardo Rivera / P. Espejo</v>
      </c>
      <c r="G12" s="48" t="str">
        <f>VLOOKUP(B12,[1]IndiceIndicadores!$B$6:$N$75,6,FALSE)</f>
        <v>CN=Ventas ejecutadas TM/ Ventas pronosticadas * 100</v>
      </c>
      <c r="H12" s="186"/>
      <c r="I12" s="35" t="str">
        <f>VLOOKUP(B12,[1]IndiceIndicadores!$B$6:$N$75,4,FALSE)</f>
        <v>%</v>
      </c>
      <c r="J12" s="66">
        <f xml:space="preserve"> VLOOKUP( D1,  [1]FP08!$B$16:$AR$49, 20,FALSE)</f>
        <v>1.1000000000000014</v>
      </c>
      <c r="K12" s="66">
        <f xml:space="preserve"> VLOOKUP( D1,  [1]FP08!$B$16:$AR$49, 21,FALSE)</f>
        <v>1.0500000000000007</v>
      </c>
      <c r="L12" s="66">
        <f xml:space="preserve"> VLOOKUP( D1,  [1]FP08!$B$16:$AR$49, 22,FALSE)</f>
        <v>0.94999999999999929</v>
      </c>
      <c r="M12" s="66">
        <f xml:space="preserve"> VLOOKUP( D1,  [1]FP08!$B$16:$AR$49, 23,FALSE)</f>
        <v>0.89999999999999858</v>
      </c>
      <c r="N12" s="42">
        <f xml:space="preserve"> VLOOKUP( D1,  [1]FP08!$B$16:$AR$49, 14,FALSE)</f>
        <v>0.6429618035898631</v>
      </c>
      <c r="O12" s="38" t="str">
        <f>IF(N12="","",IF(N12&lt;=K12,IF(N12&gt;=L12,"g",""),"")      )</f>
        <v/>
      </c>
      <c r="P12" s="39" t="str">
        <f>IF(N12&gt;K12,IF(N12&lt;J12,"g",""),IF(N12&lt;L12,IF(N12&gt;M12,"g",""),""  ))</f>
        <v/>
      </c>
      <c r="Q12" s="40" t="str">
        <f>IF(N12="","",    IF(N12&gt;=J12,"g", IF(N12&lt;=M12,"g",""))     )</f>
        <v>g</v>
      </c>
      <c r="R12" s="61">
        <f xml:space="preserve"> VLOOKUP( D1,  [1]FP08!$B$16:$AR$49, 40,FALSE)</f>
        <v>1.1000000000000014</v>
      </c>
      <c r="S12" s="61">
        <f xml:space="preserve"> VLOOKUP( D1,  [1]FP08!$B$16:$AR$49, 41,FALSE)</f>
        <v>1.0500000000000007</v>
      </c>
      <c r="T12" s="61">
        <f xml:space="preserve"> VLOOKUP( D1,  [1]FP08!$B$16:$AR$49, 42,FALSE)</f>
        <v>0.94999999999999929</v>
      </c>
      <c r="U12" s="61">
        <f xml:space="preserve"> VLOOKUP( D1,  [1]FP08!$B$16:$AR$49, 43,FALSE)</f>
        <v>0.89999999999999858</v>
      </c>
      <c r="V12" s="42">
        <f xml:space="preserve"> VLOOKUP( D1,  [1]FP08!$B$16:$AR$49, 34,FALSE)</f>
        <v>0.94854106932029014</v>
      </c>
      <c r="W12" s="38" t="str">
        <f>IF(V12="","",IF(V12&lt;=S12,IF(V12&gt;=T12,"g",""),"")      )</f>
        <v/>
      </c>
      <c r="X12" s="39" t="str">
        <f>IF(V12&gt;S12,IF(V12&lt;R12,"g",""),IF(V12&lt;T12,IF(V12&gt;U12,"g",""),""  ))</f>
        <v>g</v>
      </c>
      <c r="Y12" s="40" t="str">
        <f>IF(V12="","",    IF(V12&gt;=R12,"g", IF(V12&lt;=U12,"g",""))     )</f>
        <v/>
      </c>
      <c r="Z12" s="64">
        <f xml:space="preserve"> VLOOKUP( D1,[1]FP08!$AT$16:$CA$49, 11,FALSE)</f>
        <v>1419200</v>
      </c>
      <c r="AA12" s="65">
        <f xml:space="preserve"> VLOOKUP( D1,[1]FP08!$AT$16:$CA$49, 12,FALSE)</f>
        <v>965375</v>
      </c>
      <c r="AB12" s="63"/>
      <c r="AC12" s="44">
        <f xml:space="preserve"> VLOOKUP( D1,[1]FP08!$AT$16:$CA$49, 15,FALSE)</f>
        <v>-0.31977522547914317</v>
      </c>
      <c r="AD12" s="45"/>
      <c r="AE12" s="65">
        <f xml:space="preserve"> VLOOKUP( D1,[1]FP08!$AT$16:$CA$49, 28,FALSE)</f>
        <v>14649610</v>
      </c>
      <c r="AF12" s="65">
        <f xml:space="preserve"> VLOOKUP( D1,[1]FP08!$AT$16:$CA$49, 29,FALSE)</f>
        <v>14059750</v>
      </c>
      <c r="AG12" s="63"/>
      <c r="AH12" s="44">
        <f xml:space="preserve"> VLOOKUP( D1,[1]FP08!$AT$16:$CA$49, 32,FALSE)</f>
        <v>-4.0264553117796309E-2</v>
      </c>
      <c r="AI12" s="45" t="str">
        <f xml:space="preserve"> VLOOKUP( D1,[1]FP08!$AT$16:$CA$49, 34,FALSE)</f>
        <v/>
      </c>
      <c r="AJ12" s="63"/>
      <c r="AK12" s="45" t="str">
        <f xml:space="preserve"> VLOOKUP( D1,[1]FP08!$AT$16:$CC$49, 36,FALSE)</f>
        <v/>
      </c>
    </row>
    <row r="13" spans="1:37" ht="21" customHeight="1" thickBot="1" x14ac:dyDescent="0.3">
      <c r="A13" s="166"/>
      <c r="B13" s="46" t="s">
        <v>248</v>
      </c>
      <c r="C13" s="163" t="str">
        <f>VLOOKUP(B13,[1]IndiceIndicadores!$B$6:$N$75,3,FALSE)</f>
        <v>Ser eficiente en el uso de recursos financieros</v>
      </c>
      <c r="D13" s="47" t="str">
        <f>VLOOKUP(B13,[1]IndiceIndicadores!$B$6:$N$75,2,FALSE)</f>
        <v>Ciclo de caja</v>
      </c>
      <c r="E13" s="33" t="str">
        <f>VLOOKUP(B13,[1]IndiceIndicadores!$B$6:$N$75,8,FALSE)</f>
        <v>Todas las Gerencias</v>
      </c>
      <c r="F13" s="47" t="str">
        <f>VLOOKUP(B13,[1]IndiceIndicadores!$B$6:$N$75,9,FALSE)</f>
        <v>Alex Semino / Bernardo Rivera</v>
      </c>
      <c r="G13" s="48" t="str">
        <f>VLOOKUP(B13,[1]IndiceIndicadores!$B$6:$N$75,6,FALSE)</f>
        <v>CC=Días de inventario+días CxC - Días CxP</v>
      </c>
      <c r="H13" s="186" t="s">
        <v>317</v>
      </c>
      <c r="I13" s="35" t="str">
        <f>VLOOKUP(B13,[1]IndiceIndicadores!$B$6:$N$75,4,FALSE)</f>
        <v>Días</v>
      </c>
      <c r="J13" s="67">
        <f xml:space="preserve"> VLOOKUP( D1, [1]PF09!B9:L36, 10,FALSE)</f>
        <v>220</v>
      </c>
      <c r="K13" s="67"/>
      <c r="L13" s="67"/>
      <c r="M13" s="67">
        <f xml:space="preserve"> VLOOKUP( D1, [1]PF09!B9:L36, 11,FALSE)</f>
        <v>180</v>
      </c>
      <c r="N13" s="68">
        <f xml:space="preserve"> VLOOKUP( D1, [1]PF09!B9:L36, 6,FALSE)</f>
        <v>88.653326233083362</v>
      </c>
      <c r="O13" s="38" t="str">
        <f>IF(N13="","",IF(N13&lt;M13,"g",""))</f>
        <v>g</v>
      </c>
      <c r="P13" s="39" t="str">
        <f t="shared" ref="P13:P21" si="2">IF(N13="","",IF(N13&lt;=J13,IF(N13&gt;=M13,"g",""),""))</f>
        <v/>
      </c>
      <c r="Q13" s="40" t="str">
        <f>IF(N13="","",IF(N13&gt;J13,"g",""))</f>
        <v/>
      </c>
      <c r="R13" s="69">
        <f xml:space="preserve"> VLOOKUP( D1, [1]PF09!B9:AK39, 19,FALSE)</f>
        <v>220</v>
      </c>
      <c r="S13" s="58"/>
      <c r="T13" s="58"/>
      <c r="U13" s="69">
        <f xml:space="preserve"> VLOOKUP( D1, [1]PF09!B9:AK39, 20,FALSE)</f>
        <v>180</v>
      </c>
      <c r="V13" s="68">
        <f xml:space="preserve"> VLOOKUP( D1, [1]PF09!B9:AK39, 15,FALSE)</f>
        <v>191.38383286772898</v>
      </c>
      <c r="W13" s="38" t="str">
        <f>IF(V13="","",IF(V13&lt;U13,"g",""))</f>
        <v/>
      </c>
      <c r="X13" s="39" t="str">
        <f t="shared" si="1"/>
        <v>g</v>
      </c>
      <c r="Y13" s="40" t="str">
        <f>IF(V13="","",IF(V13&gt;R13,"g",""))</f>
        <v/>
      </c>
      <c r="Z13" s="70">
        <f xml:space="preserve"> VLOOKUP( D1, [1]PF09!B9:AK39, 24,FALSE)</f>
        <v>204.94402310811711</v>
      </c>
      <c r="AA13" s="63">
        <f xml:space="preserve"> VLOOKUP( D1, [1]PF09!B9:AK39, 25,FALSE)</f>
        <v>88.653326233083362</v>
      </c>
      <c r="AB13" s="45"/>
      <c r="AC13" s="44">
        <f xml:space="preserve"> VLOOKUP( D1, [1]PF09!B9:AK39, 27,FALSE)</f>
        <v>0</v>
      </c>
      <c r="AD13" s="45"/>
      <c r="AE13" s="63">
        <f xml:space="preserve"> VLOOKUP( D1, [1]PF09!B9:AK39, 31,FALSE)</f>
        <v>205.39199203318091</v>
      </c>
      <c r="AF13" s="63">
        <f xml:space="preserve"> VLOOKUP( D1, [1]PF09!B9:AK39, 32,FALSE)</f>
        <v>191.38383286772898</v>
      </c>
      <c r="AG13" s="45"/>
      <c r="AH13" s="44">
        <f xml:space="preserve"> VLOOKUP( D1, [1]PF09!B9:AK39, 34,FALSE)</f>
        <v>0</v>
      </c>
      <c r="AI13" s="45"/>
      <c r="AJ13" s="45"/>
      <c r="AK13" s="45"/>
    </row>
    <row r="14" spans="1:37" ht="21" customHeight="1" thickBot="1" x14ac:dyDescent="0.3">
      <c r="A14" s="166"/>
      <c r="B14" s="46" t="s">
        <v>249</v>
      </c>
      <c r="C14" s="165"/>
      <c r="D14" s="47" t="str">
        <f>VLOOKUP(B14,[1]IndiceIndicadores!$B$6:$N$75,2,FALSE)</f>
        <v>Periodo promedio de cobro (días)</v>
      </c>
      <c r="E14" s="33" t="str">
        <f>VLOOKUP(B14,[1]IndiceIndicadores!$B$6:$N$75,8,FALSE)</f>
        <v>Todas las Gerencias</v>
      </c>
      <c r="F14" s="47" t="str">
        <f>VLOOKUP(B14,[1]IndiceIndicadores!$B$6:$N$75,9,FALSE)</f>
        <v>Alex Semino / Bernardo Rivera</v>
      </c>
      <c r="G14" s="48" t="str">
        <f>VLOOKUP(B14,[1]IndiceIndicadores!$B$6:$N$75,6,FALSE)</f>
        <v>Periodo promedio de cobro (días)</v>
      </c>
      <c r="H14" s="186" t="s">
        <v>316</v>
      </c>
      <c r="I14" s="35" t="str">
        <f>VLOOKUP(B14,[1]IndiceIndicadores!$B$6:$N$75,4,FALSE)</f>
        <v>Días</v>
      </c>
      <c r="J14" s="71">
        <f xml:space="preserve"> VLOOKUP( D1, [1]PF09A!B13:X49, 8,FALSE)</f>
        <v>50</v>
      </c>
      <c r="K14" s="67"/>
      <c r="L14" s="67"/>
      <c r="M14" s="71">
        <f xml:space="preserve"> VLOOKUP( D1, [1]PF09A!B13:X49, 9,FALSE)</f>
        <v>40</v>
      </c>
      <c r="N14" s="68">
        <f xml:space="preserve"> VLOOKUP( D1, [1]PF09A!C13:X49, 3,FALSE)</f>
        <v>41.653326233083362</v>
      </c>
      <c r="O14" s="38" t="str">
        <f>IF(N14="","",IF(N14&lt;M14,"g",""))</f>
        <v/>
      </c>
      <c r="P14" s="39" t="str">
        <f t="shared" si="2"/>
        <v>g</v>
      </c>
      <c r="Q14" s="40" t="str">
        <f>IF(N14="","",IF(N14&gt;J14,"g",""))</f>
        <v/>
      </c>
      <c r="R14" s="58">
        <f xml:space="preserve"> VLOOKUP( D1, [1]PF09A!C13:AN49, 13,FALSE)</f>
        <v>50</v>
      </c>
      <c r="S14" s="58"/>
      <c r="T14" s="58"/>
      <c r="U14" s="58">
        <f xml:space="preserve"> VLOOKUP( D1, [1]PF09A!C13:AN49, 14,FALSE)</f>
        <v>40</v>
      </c>
      <c r="V14" s="68">
        <f xml:space="preserve"> VLOOKUP( D1, [1]PF09A!C13:X49, 9,FALSE)</f>
        <v>55.80717814463901</v>
      </c>
      <c r="W14" s="38" t="str">
        <f>IF(V14="","",IF(V14&lt;U14,"g",""))</f>
        <v/>
      </c>
      <c r="X14" s="39" t="str">
        <f>IF(V14="","",IF(V14&lt;=R14,IF(V14&gt;=U14,"g",""),""))</f>
        <v/>
      </c>
      <c r="Y14" s="40" t="str">
        <f>IF(V14="","",IF(V14&gt;R14,"g",""))</f>
        <v>g</v>
      </c>
      <c r="Z14" s="59">
        <f xml:space="preserve"> VLOOKUP( D1, [1]PF09A!C13:X49, 18,FALSE)</f>
        <v>77.403441537709455</v>
      </c>
      <c r="AA14" s="60">
        <f xml:space="preserve"> VLOOKUP( D1, [1]PF09A!C13:X49, 19,FALSE)</f>
        <v>41.653326233083362</v>
      </c>
      <c r="AB14" s="45"/>
      <c r="AC14" s="44">
        <f xml:space="preserve"> VLOOKUP( D1, [1]PF09A!C13:X49,22,FALSE)</f>
        <v>-0.46186725802378348</v>
      </c>
      <c r="AD14" s="45"/>
      <c r="AE14" s="60">
        <f xml:space="preserve"> VLOOKUP( D1, [1]PF09A!C13:AN49, 34,FALSE)</f>
        <v>75.135232184135134</v>
      </c>
      <c r="AF14" s="60">
        <f xml:space="preserve"> VLOOKUP( D1, [1]PF09A!C13:AN49, 35,FALSE)</f>
        <v>55.80717814463901</v>
      </c>
      <c r="AG14" s="45"/>
      <c r="AH14" s="44">
        <f xml:space="preserve"> VLOOKUP( D1, [1]PF09A!C13:AN49, 38,FALSE)</f>
        <v>-0.25724355242728936</v>
      </c>
      <c r="AI14" s="45"/>
      <c r="AJ14" s="45"/>
      <c r="AK14" s="45"/>
    </row>
    <row r="15" spans="1:37" ht="21" customHeight="1" thickBot="1" x14ac:dyDescent="0.3">
      <c r="A15" s="166"/>
      <c r="B15" s="46" t="s">
        <v>250</v>
      </c>
      <c r="C15" s="165"/>
      <c r="D15" s="47" t="str">
        <f>VLOOKUP(B15,[1]IndiceIndicadores!$B$6:$N$75,2,FALSE)</f>
        <v>Periodo promedio de pago (días)</v>
      </c>
      <c r="E15" s="33" t="str">
        <f>VLOOKUP(B15,[1]IndiceIndicadores!$B$6:$N$75,8,FALSE)</f>
        <v>Todas las Gerencias</v>
      </c>
      <c r="F15" s="47" t="str">
        <f>VLOOKUP(B15,[1]IndiceIndicadores!$B$6:$N$75,9,FALSE)</f>
        <v>Alex Semino / Bernardo Rivera</v>
      </c>
      <c r="G15" s="48" t="str">
        <f>VLOOKUP(B15,[1]IndiceIndicadores!$B$6:$N$75,6,FALSE)</f>
        <v>Periodo promedio de pago (días)</v>
      </c>
      <c r="H15" s="193" t="s">
        <v>315</v>
      </c>
      <c r="I15" s="35" t="str">
        <f>VLOOKUP(B15,[1]IndiceIndicadores!$B$6:$N$75,4,FALSE)</f>
        <v>Días</v>
      </c>
      <c r="J15" s="71">
        <f xml:space="preserve"> VLOOKUP( D1, [1]PF09B!B13:X49, 8,FALSE)</f>
        <v>60</v>
      </c>
      <c r="K15" s="67"/>
      <c r="L15" s="67"/>
      <c r="M15" s="71">
        <f xml:space="preserve"> VLOOKUP( D1, [1]PF09B!B13:X49, 9,FALSE)</f>
        <v>50</v>
      </c>
      <c r="N15" s="68">
        <f xml:space="preserve"> VLOOKUP( D1, [1]PF09B!C13:X49, 3,FALSE)</f>
        <v>63.948730017979642</v>
      </c>
      <c r="O15" s="38" t="str">
        <f>IF(N15="","",IF(N15&gt;J15,"g",""))</f>
        <v>g</v>
      </c>
      <c r="P15" s="39" t="str">
        <f t="shared" si="2"/>
        <v/>
      </c>
      <c r="Q15" s="40" t="str">
        <f>IF(N15="","",IF(N15&lt;M15,"g",""))</f>
        <v/>
      </c>
      <c r="R15" s="58">
        <f xml:space="preserve"> VLOOKUP( D1, [1]PF09B!C13:X49, 13,FALSE)</f>
        <v>60</v>
      </c>
      <c r="S15" s="58"/>
      <c r="T15" s="58"/>
      <c r="U15" s="58">
        <f xml:space="preserve"> VLOOKUP( D1, [1]PF09B!C13:X49, 14,FALSE)</f>
        <v>50</v>
      </c>
      <c r="V15" s="68">
        <f xml:space="preserve"> VLOOKUP( D1, [1]PF09B!C13:X49, 9,FALSE)</f>
        <v>50.322254431315969</v>
      </c>
      <c r="W15" s="38" t="str">
        <f>IF(V15="","",IF(V15&gt;R15,"g",""))</f>
        <v/>
      </c>
      <c r="X15" s="39" t="str">
        <f>IF(V15="","",IF(V15&lt;=R15,IF(V15&gt;=U15,"g",""),""))</f>
        <v>g</v>
      </c>
      <c r="Y15" s="40" t="str">
        <f>IF(V15="","",IF(V15&lt;U15,"g",""))</f>
        <v/>
      </c>
      <c r="Z15" s="59">
        <f xml:space="preserve"> VLOOKUP( D1, [1]PF09B!C13:X49, 18,FALSE)</f>
        <v>55.219064176707207</v>
      </c>
      <c r="AA15" s="60">
        <f xml:space="preserve"> VLOOKUP( D1, [1]PF09B!C13:X49, 19,FALSE)</f>
        <v>63.948730017979642</v>
      </c>
      <c r="AB15" s="45"/>
      <c r="AC15" s="44">
        <f xml:space="preserve"> VLOOKUP( D1, [1]PF09B!C13:X49, 22,FALSE)</f>
        <v>0.15809152095255596</v>
      </c>
      <c r="AD15" s="45"/>
      <c r="AE15" s="60">
        <f xml:space="preserve"> VLOOKUP( D1, [1]PF09B!C13:AN49, 34,FALSE)</f>
        <v>55.722734225988461</v>
      </c>
      <c r="AF15" s="60">
        <f xml:space="preserve"> VLOOKUP( D1, [1]PF09B!C13:AN49, 35,FALSE)</f>
        <v>50.322254431315969</v>
      </c>
      <c r="AG15" s="45"/>
      <c r="AH15" s="44">
        <f xml:space="preserve"> VLOOKUP( D1, [1]PF09B!C13:AN49, 38,FALSE)</f>
        <v>-9.691699213413274E-2</v>
      </c>
      <c r="AI15" s="45"/>
      <c r="AJ15" s="45"/>
      <c r="AK15" s="45"/>
    </row>
    <row r="16" spans="1:37" ht="21" customHeight="1" thickBot="1" x14ac:dyDescent="0.3">
      <c r="A16" s="166"/>
      <c r="B16" s="46" t="s">
        <v>251</v>
      </c>
      <c r="C16" s="165"/>
      <c r="D16" s="47" t="str">
        <f>VLOOKUP(B16,[1]IndiceIndicadores!$B$6:$N$75,2,FALSE)</f>
        <v>Periodo promedio de inventario (Días)</v>
      </c>
      <c r="E16" s="33" t="str">
        <f>VLOOKUP(B16,[1]IndiceIndicadores!$B$6:$N$75,8,FALSE)</f>
        <v>Todas las Gerencias</v>
      </c>
      <c r="F16" s="47" t="str">
        <f>VLOOKUP(B16,[1]IndiceIndicadores!$B$6:$N$75,9,FALSE)</f>
        <v>Alex Semino / Bernardo Rivera</v>
      </c>
      <c r="G16" s="48" t="str">
        <f>VLOOKUP(B16,[1]IndiceIndicadores!$B$6:$N$75,6,FALSE)</f>
        <v>Periodo promedio de inventario (Días)</v>
      </c>
      <c r="H16" s="192" t="s">
        <v>314</v>
      </c>
      <c r="I16" s="35" t="str">
        <f>VLOOKUP(B16,[1]IndiceIndicadores!$B$6:$N$75,4,FALSE)</f>
        <v>Días</v>
      </c>
      <c r="J16" s="71">
        <f xml:space="preserve"> VLOOKUP( D1, [1]PF09C!B14:X50, 8,FALSE)</f>
        <v>230</v>
      </c>
      <c r="K16" s="67"/>
      <c r="L16" s="67"/>
      <c r="M16" s="71">
        <f xml:space="preserve"> VLOOKUP( D1, [1]PF09C!B14:X50, 9,FALSE)</f>
        <v>190</v>
      </c>
      <c r="N16" s="68">
        <f xml:space="preserve"> VLOOKUP( D1, [1]PF09C!C14:X50, 3,FALSE)</f>
        <v>110</v>
      </c>
      <c r="O16" s="38" t="str">
        <f>IF(N16="","",IF(N16&lt;=M16,"g",""))</f>
        <v>g</v>
      </c>
      <c r="P16" s="39" t="str">
        <f>IF(N16="","",IF(N16&lt;J16,IF(N16&gt;M16,"g",""),""))</f>
        <v/>
      </c>
      <c r="Q16" s="40" t="str">
        <f>IF(N16="","",IF(N16&gt;=J16,"g",""))</f>
        <v/>
      </c>
      <c r="R16" s="58">
        <f xml:space="preserve"> VLOOKUP( D1, [1]PF09C!C14:X50, 13,FALSE)</f>
        <v>230</v>
      </c>
      <c r="S16" s="58"/>
      <c r="T16" s="58"/>
      <c r="U16" s="58">
        <f xml:space="preserve"> VLOOKUP( D1, [1]PF09C!C14:X50, 14,FALSE)</f>
        <v>190</v>
      </c>
      <c r="V16" s="68">
        <f xml:space="preserve"> VLOOKUP( D1, [1]PF09C!C14:X50, 9,FALSE)</f>
        <v>185.88696421934947</v>
      </c>
      <c r="W16" s="38" t="str">
        <f>IF(V16="","",IF(V16&lt;=U16,"g",""))</f>
        <v>g</v>
      </c>
      <c r="X16" s="39" t="str">
        <f>IF(V16="","",IF(V16&lt;R16,IF(V16&gt;U16,"g",""),""))</f>
        <v/>
      </c>
      <c r="Y16" s="40" t="str">
        <f>IF(V16="","",IF(V16&gt;=R16,"g",""))</f>
        <v/>
      </c>
      <c r="Z16" s="59">
        <f xml:space="preserve"> VLOOKUP( D1, [1]PF09C!C14:X50, 18,FALSE)</f>
        <v>182.75964574711497</v>
      </c>
      <c r="AA16" s="60">
        <f xml:space="preserve"> VLOOKUP( D1, [1]PF09C!C14:X50, 19,FALSE)</f>
        <v>110</v>
      </c>
      <c r="AB16" s="45"/>
      <c r="AC16" s="44">
        <f xml:space="preserve"> VLOOKUP( D1, [1]PF09C!C14:X50, 22,FALSE)</f>
        <v>-0.39811658339386746</v>
      </c>
      <c r="AD16" s="45"/>
      <c r="AE16" s="60">
        <f xml:space="preserve"> VLOOKUP( D1, [1]PF09C!C14:AN50, 34,FALSE)</f>
        <v>185.97949407503415</v>
      </c>
      <c r="AF16" s="60">
        <f xml:space="preserve"> VLOOKUP( D1, [1]PF09C!C14:AN50, 35,FALSE)</f>
        <v>185.88696421934947</v>
      </c>
      <c r="AG16" s="45"/>
      <c r="AH16" s="44">
        <f xml:space="preserve"> VLOOKUP( D1, [1]PF09C!C14:AN50, 38,FALSE)</f>
        <v>-4.9752719322571082E-4</v>
      </c>
      <c r="AI16" s="45"/>
      <c r="AJ16" s="45"/>
      <c r="AK16" s="45"/>
    </row>
    <row r="17" spans="1:37" ht="21" customHeight="1" thickBot="1" x14ac:dyDescent="0.3">
      <c r="A17" s="166"/>
      <c r="B17" s="46" t="s">
        <v>252</v>
      </c>
      <c r="C17" s="165"/>
      <c r="D17" s="47" t="str">
        <f>VLOOKUP(B17,[1]IndiceIndicadores!$B$6:$N$75,2,FALSE)</f>
        <v>Grado de endeudamiento</v>
      </c>
      <c r="E17" s="33" t="str">
        <f>VLOOKUP(B17,[1]IndiceIndicadores!$B$6:$N$75,8,FALSE)</f>
        <v>Todas las Gerencias</v>
      </c>
      <c r="F17" s="47" t="str">
        <f>VLOOKUP(B17,[1]IndiceIndicadores!$B$6:$N$75,9,FALSE)</f>
        <v>Alex Semino / Bernardo Rivera</v>
      </c>
      <c r="G17" s="48" t="str">
        <f>VLOOKUP(B17,[1]IndiceIndicadores!$B$6:$N$75,6,FALSE)</f>
        <v>GE=  Pasivo total / Patrimonio</v>
      </c>
      <c r="H17" s="186" t="s">
        <v>318</v>
      </c>
      <c r="I17" s="35" t="str">
        <f>VLOOKUP(B17,[1]IndiceIndicadores!$B$6:$N$75,4,FALSE)</f>
        <v>Veces</v>
      </c>
      <c r="J17" s="71">
        <f>VLOOKUP( D1, [1]PF10!B10:L45, 10, FALSE)</f>
        <v>1.1000000000000001</v>
      </c>
      <c r="K17" s="71"/>
      <c r="L17" s="71"/>
      <c r="M17" s="71">
        <f>VLOOKUP( D1, [1]PF10!B10:L45, 11, FALSE)</f>
        <v>0.8</v>
      </c>
      <c r="N17" s="72">
        <f xml:space="preserve"> VLOOKUP( D1, [1]PF10!B10:L45, 6,FALSE)</f>
        <v>1.3570188121421527</v>
      </c>
      <c r="O17" s="38" t="str">
        <f>IF(N17="","",IF(N17&lt;M17,"g",""))</f>
        <v/>
      </c>
      <c r="P17" s="39" t="str">
        <f t="shared" si="2"/>
        <v/>
      </c>
      <c r="Q17" s="40" t="str">
        <f>IF(N17="","",IF(N17&gt;J17,"g",""))</f>
        <v>g</v>
      </c>
      <c r="R17" s="73">
        <f xml:space="preserve"> VLOOKUP( D1, [1]PF10!B10:AR45, 19,FALSE)</f>
        <v>0.4</v>
      </c>
      <c r="S17" s="73"/>
      <c r="T17" s="73"/>
      <c r="U17" s="73">
        <f xml:space="preserve"> VLOOKUP( D1, [1]PF10!B10:AR45, 20,FALSE)</f>
        <v>0.3</v>
      </c>
      <c r="V17" s="72">
        <f xml:space="preserve"> VLOOKUP( D1, [1]PF10!B10:AR45, 15,FALSE)</f>
        <v>1.3158533704964375</v>
      </c>
      <c r="W17" s="38" t="str">
        <f>IF(V17="","",IF(V17&lt;U17,"g",""))</f>
        <v/>
      </c>
      <c r="X17" s="39" t="str">
        <f t="shared" si="1"/>
        <v/>
      </c>
      <c r="Y17" s="40" t="str">
        <f>IF(V17="","",IF(V17&gt;R17,"g",""))</f>
        <v>g</v>
      </c>
      <c r="Z17" s="59">
        <f xml:space="preserve"> VLOOKUP( D1, [1]PF10!B10:AR45, 25,FALSE)</f>
        <v>1.0895556693020283</v>
      </c>
      <c r="AA17" s="60">
        <f xml:space="preserve"> VLOOKUP( D1, [1]PF10!B10:AR45, 26,FALSE)</f>
        <v>0</v>
      </c>
      <c r="AB17" s="45"/>
      <c r="AC17" s="44">
        <f xml:space="preserve"> VLOOKUP( D1, [1]PF10!B10:AR45, 28,FALSE)</f>
        <v>0</v>
      </c>
      <c r="AD17" s="45"/>
      <c r="AE17" s="60">
        <f xml:space="preserve"> VLOOKUP( D1, [1]PF10!B10:AR45, 35,FALSE)</f>
        <v>0.91325589675699748</v>
      </c>
      <c r="AF17" s="60">
        <f xml:space="preserve"> VLOOKUP( D1, [1]PF10!B10:AR45, 36,FALSE)</f>
        <v>0</v>
      </c>
      <c r="AG17" s="45"/>
      <c r="AH17" s="44">
        <f xml:space="preserve"> VLOOKUP( D1, [1]PF10!B10:AR45, 38,FALSE)</f>
        <v>0</v>
      </c>
      <c r="AI17" s="45"/>
      <c r="AJ17" s="45"/>
      <c r="AK17" s="45"/>
    </row>
    <row r="18" spans="1:37" ht="21" customHeight="1" thickBot="1" x14ac:dyDescent="0.3">
      <c r="A18" s="167"/>
      <c r="B18" s="46" t="s">
        <v>253</v>
      </c>
      <c r="C18" s="165"/>
      <c r="D18" s="47" t="str">
        <f>VLOOKUP(B18,[1]IndiceIndicadores!$B$6:$N$75,2,FALSE)</f>
        <v>Cobertura de servicios de deuda</v>
      </c>
      <c r="E18" s="33" t="str">
        <f>VLOOKUP(B18,[1]IndiceIndicadores!$B$6:$N$75,8,FALSE)</f>
        <v>Todas las Gerencias</v>
      </c>
      <c r="F18" s="47" t="str">
        <f>VLOOKUP(B18,[1]IndiceIndicadores!$B$6:$N$75,9,FALSE)</f>
        <v>Alex Semino / Bernardo Rivera</v>
      </c>
      <c r="G18" s="74" t="str">
        <f>VLOOKUP(B18,[1]IndiceIndicadores!$B$6:$N$75,6,FALSE)</f>
        <v xml:space="preserve">CSD= EBITDA/Servicios de Deuda    </v>
      </c>
      <c r="H18" s="47"/>
      <c r="I18" s="35" t="str">
        <f>VLOOKUP(B18,[1]IndiceIndicadores!$B$6:$N$75,4,FALSE)</f>
        <v>Veces</v>
      </c>
      <c r="J18" s="71" t="e">
        <f xml:space="preserve"> VLOOKUP( D1,  [1]PF11!B8:R32, 10,FALSE)</f>
        <v>#N/A</v>
      </c>
      <c r="K18" s="75"/>
      <c r="L18" s="75"/>
      <c r="M18" s="71" t="e">
        <f xml:space="preserve"> VLOOKUP( D1,  [1]PF11!B8:R32, 11,FALSE)</f>
        <v>#N/A</v>
      </c>
      <c r="N18" s="56" t="e">
        <f xml:space="preserve"> VLOOKUP( D1,  [1]PF11!B8:R32, 6,FALSE)</f>
        <v>#N/A</v>
      </c>
      <c r="O18" s="38" t="e">
        <f>IF(N18="","",IF(N18&gt;J18,"g",""))</f>
        <v>#N/A</v>
      </c>
      <c r="P18" s="39" t="e">
        <f>IF(N18="","",IF(N18&lt;=J18,IF(N18&gt;=M18,"g",""),""))</f>
        <v>#N/A</v>
      </c>
      <c r="Q18" s="40" t="e">
        <f t="shared" ref="Q18:Q28" si="3">IF(N18="","",IF(N18&lt;M18,"g",""))</f>
        <v>#N/A</v>
      </c>
      <c r="R18" s="58">
        <f xml:space="preserve"> VLOOKUP( D1,  [1]PF11!B8:AZ45, 29,FALSE)</f>
        <v>12</v>
      </c>
      <c r="S18" s="58"/>
      <c r="T18" s="58"/>
      <c r="U18" s="58">
        <f xml:space="preserve"> VLOOKUP( D1,  [1]PF11!B8:AZ45, 30,FALSE)</f>
        <v>5</v>
      </c>
      <c r="V18" s="56">
        <f xml:space="preserve"> VLOOKUP( D1,  [1]PF11!B8:AZ45, 25,FALSE)</f>
        <v>11.145317764473026</v>
      </c>
      <c r="W18" s="38" t="str">
        <f t="shared" ref="W18:W28" si="4">IF(V18="","",IF(V18&gt;R18,"g",""))</f>
        <v/>
      </c>
      <c r="X18" s="39" t="str">
        <f t="shared" si="1"/>
        <v>g</v>
      </c>
      <c r="Y18" s="40" t="str">
        <f t="shared" ref="Y18:Y28" si="5">IF(V18="","",IF(V18&lt;U18,"g",""))</f>
        <v/>
      </c>
      <c r="Z18" s="59">
        <f xml:space="preserve"> VLOOKUP( D1,  [1]PF11!B8:AZ45, 39,FALSE)</f>
        <v>12.941331994172272</v>
      </c>
      <c r="AA18" s="60">
        <f xml:space="preserve"> VLOOKUP( D1,  [1]PF11!B8:AZ45, 40,FALSE)</f>
        <v>-13.383118761158714</v>
      </c>
      <c r="AB18" s="45"/>
      <c r="AC18" s="44">
        <f xml:space="preserve"> VLOOKUP( D1,  [1]PF11!B8:AZ45, 42,FALSE)</f>
        <v>0</v>
      </c>
      <c r="AD18" s="45"/>
      <c r="AE18" s="60">
        <f xml:space="preserve"> VLOOKUP( D1,  [1]PF11!B8:AZ45, 46,FALSE)</f>
        <v>11.82818206006994</v>
      </c>
      <c r="AF18" s="60">
        <f xml:space="preserve"> VLOOKUP( D1,  [1]PF11!B8:AZ45, 47,FALSE)</f>
        <v>11.145317764473026</v>
      </c>
      <c r="AG18" s="45"/>
      <c r="AH18" s="44">
        <f xml:space="preserve"> VLOOKUP( D1,  [1]PF11!B8:AZ45, 49,FALSE)</f>
        <v>0</v>
      </c>
      <c r="AI18" s="45"/>
      <c r="AJ18" s="45"/>
      <c r="AK18" s="45"/>
    </row>
    <row r="19" spans="1:37" ht="21" customHeight="1" thickBot="1" x14ac:dyDescent="0.3">
      <c r="A19" s="76"/>
      <c r="B19" s="46" t="s">
        <v>254</v>
      </c>
      <c r="C19" s="48"/>
      <c r="D19" s="47" t="str">
        <f>VLOOKUP(B19,[1]IndiceIndicadores!$B$6:$N$75,2,FALSE)</f>
        <v>Deuda financiera / Ventas</v>
      </c>
      <c r="E19" s="33" t="str">
        <f>VLOOKUP(B19,[1]IndiceIndicadores!$B$6:$N$75,8,FALSE)</f>
        <v>Todas las Gerencias</v>
      </c>
      <c r="F19" s="47" t="str">
        <f>VLOOKUP(B19,[1]IndiceIndicadores!$B$6:$N$75,9,FALSE)</f>
        <v>Alex Semino / Bernardo Rivera</v>
      </c>
      <c r="G19" s="74" t="str">
        <f>VLOOKUP(B19,[1]IndiceIndicadores!$B$6:$N$75,6,FALSE)</f>
        <v>Deuda financiera / Ventas</v>
      </c>
      <c r="H19" s="187"/>
      <c r="I19" s="35" t="str">
        <f>VLOOKUP(B19,[1]IndiceIndicadores!$B$6:$N$75,4,FALSE)</f>
        <v>%</v>
      </c>
      <c r="J19" s="36">
        <f xml:space="preserve"> VLOOKUP( D1,  [1]PF12!$B$16:$P49, 8,FALSE)</f>
        <v>0.20000000000000018</v>
      </c>
      <c r="K19" s="75"/>
      <c r="L19" s="75"/>
      <c r="M19" s="36">
        <f xml:space="preserve"> VLOOKUP( D1,  [1]PF12!$B$16:$P49, 9,FALSE)</f>
        <v>0.18000000000000016</v>
      </c>
      <c r="N19" s="42">
        <f xml:space="preserve"> VLOOKUP( D1,  [1]PF12!$B$16:$P49, 4,FALSE)</f>
        <v>0.17285318346858577</v>
      </c>
      <c r="O19" s="38" t="str">
        <f>IF(N19="","",IF(N19&lt;=M19,"g",""))</f>
        <v>g</v>
      </c>
      <c r="P19" s="39" t="str">
        <f>IF(N19="","",IF(N19&lt;J19,IF(N19&gt;M19,"g",""),""))</f>
        <v/>
      </c>
      <c r="Q19" s="40" t="str">
        <f>IF(N19="","",IF(N19&gt;J19,"g",""))</f>
        <v/>
      </c>
      <c r="R19" s="41">
        <f xml:space="preserve"> VLOOKUP( D1,  [1]PF12!$B$16:$P49, 14,FALSE)</f>
        <v>0.20000000000000018</v>
      </c>
      <c r="S19" s="58"/>
      <c r="T19" s="58"/>
      <c r="U19" s="41">
        <f xml:space="preserve"> VLOOKUP( D1,  [1]PF12!$B$16:$P49, 15,FALSE)</f>
        <v>0.18000000000000016</v>
      </c>
      <c r="V19" s="42">
        <f xml:space="preserve"> VLOOKUP( D1,  [1]PF12!$B$16:$P49, 10,FALSE)</f>
        <v>0.17285318346858577</v>
      </c>
      <c r="W19" s="38" t="str">
        <f>IF(V19="","",IF(V19&lt;=U19,"g",""))</f>
        <v>g</v>
      </c>
      <c r="X19" s="39" t="str">
        <f>IF(V19="","",IF(V19&lt;R19,IF(V19&gt;U19,"g",""),""))</f>
        <v/>
      </c>
      <c r="Y19" s="40" t="str">
        <f>IF(V19="","",IF(V19&gt;R19,"g",""))</f>
        <v/>
      </c>
      <c r="Z19" s="77">
        <f xml:space="preserve"> VLOOKUP( D1, [1]PF12!$R13:$AR$52, 3,FALSE)</f>
        <v>0</v>
      </c>
      <c r="AA19" s="45">
        <f xml:space="preserve"> VLOOKUP( D1, [1]PF12!$R13:$AR$52, 4,FALSE)</f>
        <v>0.17285318346858577</v>
      </c>
      <c r="AB19" s="45"/>
      <c r="AC19" s="44">
        <f xml:space="preserve"> VLOOKUP( D1, [1]PF12!$R13:$AR$52, 7,FALSE)</f>
        <v>0</v>
      </c>
      <c r="AD19" s="45"/>
      <c r="AE19" s="45">
        <f xml:space="preserve"> VLOOKUP( D1, [1]PF12!$R13:$AR$52, 19,FALSE)</f>
        <v>0</v>
      </c>
      <c r="AF19" s="45">
        <f xml:space="preserve"> VLOOKUP( D1, [1]PF12!$R13:$AR$52, 20,FALSE)</f>
        <v>0.17285318346858577</v>
      </c>
      <c r="AG19" s="45"/>
      <c r="AH19" s="44">
        <f xml:space="preserve"> VLOOKUP( D1, [1]PF12!$R13:$AR$52, 23,FALSE)</f>
        <v>0</v>
      </c>
      <c r="AI19" s="45"/>
      <c r="AJ19" s="45"/>
      <c r="AK19" s="45"/>
    </row>
    <row r="20" spans="1:37" ht="21" customHeight="1" thickBot="1" x14ac:dyDescent="0.3">
      <c r="A20" s="168" t="s">
        <v>255</v>
      </c>
      <c r="B20" s="78" t="s">
        <v>256</v>
      </c>
      <c r="C20" s="169" t="str">
        <f>VLOOKUP(B20,[1]IndiceIndicadores!$B$6:$N$75,3,FALSE)</f>
        <v>Diversificación en nuevos negocios relacionados</v>
      </c>
      <c r="D20" s="79" t="str">
        <f>VLOOKUP(B20,[1]IndiceIndicadores!$B$6:$N$75,2,FALSE)</f>
        <v>Venta en exportaciones vs venta total $</v>
      </c>
      <c r="E20" s="79" t="str">
        <f>VLOOKUP(B20,[1]IndiceIndicadores!$B$6:$N$75,8,FALSE)</f>
        <v>Gustavo Gómez Sánchez</v>
      </c>
      <c r="F20" s="79" t="str">
        <f>VLOOKUP(B20,[1]IndiceIndicadores!$B$6:$N$75,9,FALSE)</f>
        <v>Praxedes Espejo</v>
      </c>
      <c r="G20" s="80" t="str">
        <f>VLOOKUP(B20,[1]IndiceIndicadores!$B$6:$N$75,6,FALSE)</f>
        <v>Venta en exportaciones vs. ventas totales</v>
      </c>
      <c r="H20" s="188"/>
      <c r="I20" s="35" t="str">
        <f>VLOOKUP(B20,[1]IndiceIndicadores!$B$6:$N$75,4,FALSE)</f>
        <v>%</v>
      </c>
      <c r="J20" s="36">
        <f>VLOOKUP(D1, [1]PC03!B13:BM49,8,FALSE)</f>
        <v>8.0000000000000071E-2</v>
      </c>
      <c r="K20" s="36"/>
      <c r="L20" s="36"/>
      <c r="M20" s="36">
        <f>VLOOKUP(D1,[1]PC03!$B$16:$T$49,9,FALSE)</f>
        <v>5.0000000000000044E-2</v>
      </c>
      <c r="N20" s="37">
        <f>VLOOKUP(D1,[1]PC03!$B$16:$T$49,4,FALSE)</f>
        <v>3.1095227524698052E-2</v>
      </c>
      <c r="O20" s="38" t="str">
        <f t="shared" ref="O20:O28" si="6">IF(N20="","",IF(N20&gt;J20,"g",""))</f>
        <v/>
      </c>
      <c r="P20" s="39" t="str">
        <f t="shared" si="2"/>
        <v/>
      </c>
      <c r="Q20" s="40" t="str">
        <f t="shared" si="3"/>
        <v>g</v>
      </c>
      <c r="R20" s="81">
        <f>VLOOKUP(D1,[1]PC03!B13:T46,14,FALSE)</f>
        <v>8.0000000000000071E-2</v>
      </c>
      <c r="S20" s="81"/>
      <c r="T20" s="81"/>
      <c r="U20" s="81">
        <f>VLOOKUP(D1,[1]PC03!B13:T46,15,FALSE)</f>
        <v>5.0000000000000044E-2</v>
      </c>
      <c r="V20" s="37">
        <f>VLOOKUP(D1, [1]PC03!B13:BM49,16,FALSE)</f>
        <v>2.7063276789855716E-2</v>
      </c>
      <c r="W20" s="38" t="str">
        <f t="shared" si="4"/>
        <v/>
      </c>
      <c r="X20" s="39" t="str">
        <f t="shared" si="1"/>
        <v/>
      </c>
      <c r="Y20" s="40" t="str">
        <f t="shared" si="5"/>
        <v>g</v>
      </c>
      <c r="Z20" s="65">
        <f>VLOOKUP(D1, [1]PC03!B13:BM49,31,FALSE)</f>
        <v>119921</v>
      </c>
      <c r="AA20" s="65">
        <f>VLOOKUP(D1, [1]PC03!B13:BM49,32,FALSE)</f>
        <v>0</v>
      </c>
      <c r="AB20" s="63"/>
      <c r="AC20" s="45">
        <f>VLOOKUP(D1, [1]PC03!B13:BM49,35,FALSE)</f>
        <v>-1</v>
      </c>
      <c r="AD20" s="45"/>
      <c r="AE20" s="65">
        <f>VLOOKUP(D1, [1]PC03!B13:BM49,47,FALSE)</f>
        <v>2515526.9900000002</v>
      </c>
      <c r="AF20" s="65">
        <f>VLOOKUP(D1, [1]PC03!B13:BM49,48,FALSE)</f>
        <v>1261790.2000000002</v>
      </c>
      <c r="AG20" s="63"/>
      <c r="AH20" s="44">
        <f>VLOOKUP(D1, [1]PC03!B13:BM49,51,FALSE)</f>
        <v>-0.49839925987039402</v>
      </c>
      <c r="AI20" s="45"/>
      <c r="AJ20" s="63"/>
      <c r="AK20" s="45"/>
    </row>
    <row r="21" spans="1:37" ht="21" customHeight="1" thickBot="1" x14ac:dyDescent="0.3">
      <c r="A21" s="170"/>
      <c r="B21" s="78" t="s">
        <v>257</v>
      </c>
      <c r="C21" s="171"/>
      <c r="D21" s="79" t="str">
        <f>VLOOKUP(B21,[1]IndiceIndicadores!$B$6:$N$75,2,FALSE)</f>
        <v>Venta en exportaciones vs venta total TM</v>
      </c>
      <c r="E21" s="79" t="str">
        <f>VLOOKUP(B21,[1]IndiceIndicadores!$B$6:$N$75,8,FALSE)</f>
        <v>Gustavo Gómez Sánchez</v>
      </c>
      <c r="F21" s="79" t="str">
        <f>VLOOKUP(B21,[1]IndiceIndicadores!$B$6:$N$75,9,FALSE)</f>
        <v>Praxedes Espejo</v>
      </c>
      <c r="G21" s="80" t="str">
        <f>VLOOKUP(B21,[1]IndiceIndicadores!$B$6:$N$75,6,FALSE)</f>
        <v>Venta en exportaciones vs. ventas totales</v>
      </c>
      <c r="H21" s="188"/>
      <c r="I21" s="35" t="str">
        <f>VLOOKUP(B21,[1]IndiceIndicadores!$B$6:$N$75,4,FALSE)</f>
        <v>%</v>
      </c>
      <c r="J21" s="36">
        <f>VLOOKUP(D1, [1]PC03!B13:BM49,14,FALSE)</f>
        <v>8.0000000000000071E-2</v>
      </c>
      <c r="K21" s="36"/>
      <c r="L21" s="36"/>
      <c r="M21" s="36">
        <f>VLOOKUP(D1, [1]PC03!B13:BM49,15,FALSE)</f>
        <v>5.0000000000000044E-2</v>
      </c>
      <c r="N21" s="37">
        <f>VLOOKUP(D1, [1]PC03!B13:BM49,10,FALSE)</f>
        <v>2.1485864534815081E-2</v>
      </c>
      <c r="O21" s="38" t="str">
        <f t="shared" si="6"/>
        <v/>
      </c>
      <c r="P21" s="39" t="str">
        <f t="shared" si="2"/>
        <v/>
      </c>
      <c r="Q21" s="40" t="str">
        <f t="shared" si="3"/>
        <v>g</v>
      </c>
      <c r="R21" s="81">
        <f>VLOOKUP(D1, [1]PC03!B13:BM49,26,FALSE)</f>
        <v>8.0000000000000071E-2</v>
      </c>
      <c r="S21" s="81"/>
      <c r="T21" s="81"/>
      <c r="U21" s="81">
        <f>VLOOKUP(D1, [1]PC03!B13:BM49,27,FALSE)</f>
        <v>5.0000000000000044E-2</v>
      </c>
      <c r="V21" s="37">
        <f>VLOOKUP(D1, [1]PC03!B13:BM49,22,FALSE)</f>
        <v>1.423190442007837E-2</v>
      </c>
      <c r="W21" s="38" t="str">
        <f t="shared" si="4"/>
        <v/>
      </c>
      <c r="X21" s="39" t="str">
        <f t="shared" si="1"/>
        <v/>
      </c>
      <c r="Y21" s="40" t="str">
        <f t="shared" si="5"/>
        <v>g</v>
      </c>
      <c r="Z21" s="82">
        <f>VLOOKUP(D1, [1]PC03!B13:BM49,39,FALSE)</f>
        <v>79.5</v>
      </c>
      <c r="AA21" s="82">
        <f>VLOOKUP(D1, [1]PC03!B13:BM49,40,FALSE)</f>
        <v>0</v>
      </c>
      <c r="AB21" s="83"/>
      <c r="AC21" s="84">
        <f>VLOOKUP(D1, [1]PC03!B13:BM49,43,FALSE)</f>
        <v>-1</v>
      </c>
      <c r="AD21" s="84"/>
      <c r="AE21" s="82">
        <f>VLOOKUP(D1, [1]PC03!B13:BM49,56,FALSE)</f>
        <v>1321.92</v>
      </c>
      <c r="AF21" s="82">
        <f>VLOOKUP(D1, [1]PC03!B13:BM49,57,FALSE)</f>
        <v>517.60099999999989</v>
      </c>
      <c r="AG21" s="83"/>
      <c r="AH21" s="85">
        <f>VLOOKUP(D1, [1]PC03!B13:BM49,60,FALSE)</f>
        <v>-0.60844756112321485</v>
      </c>
      <c r="AI21" s="84"/>
      <c r="AJ21" s="83"/>
      <c r="AK21" s="84"/>
    </row>
    <row r="22" spans="1:37" ht="21" customHeight="1" thickBot="1" x14ac:dyDescent="0.3">
      <c r="A22" s="170"/>
      <c r="B22" s="86" t="s">
        <v>258</v>
      </c>
      <c r="C22" s="171"/>
      <c r="D22" s="79" t="str">
        <f>VLOOKUP(B22,[1]IndiceIndicadores!$B$6:$N$75,2,FALSE)</f>
        <v>Ventas reales &amp; proyectados en dolares</v>
      </c>
      <c r="E22" s="79" t="str">
        <f>VLOOKUP(B22,[1]IndiceIndicadores!$B$6:$N$75,8,FALSE)</f>
        <v>Gustavo Gómez Sánchez</v>
      </c>
      <c r="F22" s="79" t="str">
        <f>VLOOKUP(B22,[1]IndiceIndicadores!$B$6:$N$75,9,FALSE)</f>
        <v>Praxedes Espejo</v>
      </c>
      <c r="G22" s="80" t="str">
        <f>VLOOKUP(B22,[1]IndiceIndicadores!$B$6:$N$75,6,FALSE)</f>
        <v>Ventas reales &amp; proyectados en dolares</v>
      </c>
      <c r="H22" s="188"/>
      <c r="I22" s="35" t="str">
        <f>VLOOKUP(B22,[1]IndiceIndicadores!$B$6:$N$75,4,FALSE)</f>
        <v>%</v>
      </c>
      <c r="J22" s="36">
        <f xml:space="preserve"> VLOOKUP( D1,  [1]FP03C!C13:CC49, 9,FALSE)</f>
        <v>1.1000000000000001</v>
      </c>
      <c r="K22" s="36">
        <f xml:space="preserve"> VLOOKUP( D1,  [1]FP03C!C13:CC49, 10,FALSE)</f>
        <v>1.05</v>
      </c>
      <c r="L22" s="36">
        <f xml:space="preserve"> VLOOKUP( D1,  [1]FP03C!C13:CC49, 11,FALSE)</f>
        <v>0.95</v>
      </c>
      <c r="M22" s="36">
        <f xml:space="preserve"> VLOOKUP( D1,  [1]FP03C!C13:CC49, 12,FALSE)</f>
        <v>0.9</v>
      </c>
      <c r="N22" s="37">
        <f xml:space="preserve"> VLOOKUP( D1,  [1]FP03C!C13:CC49, 3,FALSE)</f>
        <v>0.91908649011827048</v>
      </c>
      <c r="O22" s="38" t="str">
        <f>IF(N22="","",IF(N22&lt;=K22,IF(N22&gt;=L22,"g",""),"")      )</f>
        <v/>
      </c>
      <c r="P22" s="39" t="str">
        <f>IF(N22&gt;K22,IF(N22&lt;J22,"g",""),IF(N22&lt;L22,IF(N22&gt;M22,"g",""),""  ))</f>
        <v>g</v>
      </c>
      <c r="Q22" s="40" t="str">
        <f>IF(N22="","",    IF(N22&gt;=J22,"g", IF(N22&lt;=M22,"g",""))     )</f>
        <v/>
      </c>
      <c r="R22" s="81">
        <f xml:space="preserve"> VLOOKUP( D1,  [1]FP03C!C13:CC49, 29,FALSE)</f>
        <v>1.1000000000000001</v>
      </c>
      <c r="S22" s="81">
        <f xml:space="preserve"> VLOOKUP( D1,  [1]FP03C!C13:CC49, 30,FALSE)</f>
        <v>1.05</v>
      </c>
      <c r="T22" s="81">
        <f xml:space="preserve"> VLOOKUP( D1,  [1]FP03C!C13:CC49, 31,FALSE)</f>
        <v>0.95</v>
      </c>
      <c r="U22" s="81">
        <f xml:space="preserve"> VLOOKUP( D1,  [1]FP03C!C13:CC49, 32,FALSE)</f>
        <v>0.9</v>
      </c>
      <c r="V22" s="37">
        <f xml:space="preserve"> VLOOKUP( D1,  [1]FP03C!C13:CC49, 23,FALSE)</f>
        <v>0.99328107526855658</v>
      </c>
      <c r="W22" s="38" t="str">
        <f>IF(V22="","",IF(V22&lt;=S22,IF(V22&gt;=T22,"g",""),"")      )</f>
        <v>g</v>
      </c>
      <c r="X22" s="39" t="str">
        <f>IF(V22&gt;S22,IF(V22&lt;R22,"g",""),IF(V22&lt;T22,IF(V22&gt;U22,"g",""),""  ))</f>
        <v/>
      </c>
      <c r="Y22" s="40" t="str">
        <f>IF(V22="","",    IF(V22&gt;=R22,"g", IF(V22&lt;=U22,"g",""))     )</f>
        <v/>
      </c>
      <c r="Z22" s="82">
        <f xml:space="preserve"> VLOOKUP( D1,  [1]FP03C!C13:CC49, 46,FALSE)</f>
        <v>0</v>
      </c>
      <c r="AA22" s="82">
        <f xml:space="preserve"> VLOOKUP( D1,  [1]FP03C!C13:CC49, 47,FALSE)</f>
        <v>7558876.9952981323</v>
      </c>
      <c r="AB22" s="83"/>
      <c r="AC22" s="84" t="str">
        <f xml:space="preserve"> VLOOKUP( D1,  [1]FP03C!C13:CC49, 50,FALSE)</f>
        <v/>
      </c>
      <c r="AD22" s="84"/>
      <c r="AE22" s="82">
        <f xml:space="preserve"> VLOOKUP( D1,  [1]FP03C!C13:CC49, 62,FALSE)</f>
        <v>0</v>
      </c>
      <c r="AF22" s="82">
        <f xml:space="preserve"> VLOOKUP( D1,  [1]FP03C!C13:CC49, 63,FALSE)</f>
        <v>77119753.301768854</v>
      </c>
      <c r="AG22" s="83"/>
      <c r="AH22" s="85" t="str">
        <f xml:space="preserve"> VLOOKUP( D1,  [1]FP03C!C13:CC49, 66,FALSE)</f>
        <v/>
      </c>
      <c r="AI22" s="84"/>
      <c r="AJ22" s="83"/>
      <c r="AK22" s="84"/>
    </row>
    <row r="23" spans="1:37" ht="21" customHeight="1" thickBot="1" x14ac:dyDescent="0.3">
      <c r="A23" s="170"/>
      <c r="B23" s="86" t="s">
        <v>259</v>
      </c>
      <c r="C23" s="172"/>
      <c r="D23" s="79" t="str">
        <f>VLOOKUP(B23,[1]IndiceIndicadores!$B$6:$N$75,2,FALSE)</f>
        <v>Cumplimiento de produccion a ventas / Distribucion</v>
      </c>
      <c r="E23" s="79" t="str">
        <f>VLOOKUP(B23,[1]IndiceIndicadores!$B$6:$N$75,8,FALSE)</f>
        <v>Gustavo Gómez Sánchez</v>
      </c>
      <c r="F23" s="79" t="str">
        <f>VLOOKUP(B23,[1]IndiceIndicadores!$B$6:$N$75,9,FALSE)</f>
        <v>Praxedes Espejo</v>
      </c>
      <c r="G23" s="80" t="str">
        <f>VLOOKUP(B23,[1]IndiceIndicadores!$B$6:$N$75,6,FALSE)</f>
        <v>Cumplimiento de produccion a ventas / Distribucion</v>
      </c>
      <c r="H23" s="188"/>
      <c r="I23" s="35" t="str">
        <f>VLOOKUP(B23,[1]IndiceIndicadores!$B$6:$N$75,4,FALSE)</f>
        <v>%</v>
      </c>
      <c r="J23" s="36" t="str">
        <f xml:space="preserve"> VLOOKUP( D1,  [1]PC03D!$B$16:$P49, 8,FALSE)</f>
        <v/>
      </c>
      <c r="K23" s="36"/>
      <c r="L23" s="36"/>
      <c r="M23" s="36" t="str">
        <f xml:space="preserve"> VLOOKUP( D1,  [1]PC03D!$B$16:$P49, 9,FALSE)</f>
        <v/>
      </c>
      <c r="N23" s="37" t="str">
        <f xml:space="preserve"> VLOOKUP( D1,  [1]PC03D!$B$16:$P49, 4,FALSE)</f>
        <v/>
      </c>
      <c r="O23" s="38" t="str">
        <f>IF(N23="","",IF(N23&gt;J23,"g",""))</f>
        <v/>
      </c>
      <c r="P23" s="39" t="str">
        <f t="shared" ref="P23:P40" si="7">IF(N23="","",IF(N23&lt;=J23,IF(N23&gt;=M23,"g",""),""))</f>
        <v/>
      </c>
      <c r="Q23" s="40" t="str">
        <f>IF(N23="","",IF(N23&lt;M23,"g",""))</f>
        <v/>
      </c>
      <c r="R23" s="81" t="str">
        <f xml:space="preserve"> VLOOKUP( D1,  [1]PC03D!$B$16:$P49, 14,FALSE)</f>
        <v/>
      </c>
      <c r="S23" s="81"/>
      <c r="T23" s="81"/>
      <c r="U23" s="81" t="str">
        <f xml:space="preserve"> VLOOKUP( D1,  [1]PC03D!$B$16:$P49, 15,FALSE)</f>
        <v/>
      </c>
      <c r="V23" s="37" t="str">
        <f xml:space="preserve"> VLOOKUP( D1,  [1]PC03D!$B$16:$P49, 10,FALSE)</f>
        <v/>
      </c>
      <c r="W23" s="38" t="str">
        <f>IF(V23="","",IF(V23&gt;R23,"g",""))</f>
        <v/>
      </c>
      <c r="X23" s="39" t="str">
        <f>IF(V23="","",IF(V23&lt;=R23,IF(V23&gt;=U23,"g",""),""))</f>
        <v/>
      </c>
      <c r="Y23" s="40" t="str">
        <f>IF(V23="","",IF(V23&lt;U23,"g",""))</f>
        <v/>
      </c>
      <c r="Z23" s="82" t="str">
        <f xml:space="preserve"> VLOOKUP( D1, [1]PC03D!$R13:$AR$52, 3,FALSE)</f>
        <v/>
      </c>
      <c r="AA23" s="82" t="str">
        <f xml:space="preserve"> VLOOKUP( D1, [1]PC03D!$R13:$AR$52, 4,FALSE)</f>
        <v/>
      </c>
      <c r="AB23" s="83"/>
      <c r="AC23" s="84" t="str">
        <f xml:space="preserve"> VLOOKUP( D1, [1]PC03D!$R13:$AR$52, 7,FALSE)</f>
        <v/>
      </c>
      <c r="AD23" s="84"/>
      <c r="AE23" s="82" t="str">
        <f xml:space="preserve"> VLOOKUP( D1, [1]PC03D!$R13:$AR$52, 19,FALSE)</f>
        <v/>
      </c>
      <c r="AF23" s="82" t="str">
        <f xml:space="preserve"> VLOOKUP( D1, [1]PC03D!$R13:$AR$52, 20,FALSE)</f>
        <v/>
      </c>
      <c r="AG23" s="83"/>
      <c r="AH23" s="85" t="str">
        <f xml:space="preserve"> VLOOKUP( D1, [1]PC03D!$R13:$AR$52, 23,FALSE)</f>
        <v/>
      </c>
      <c r="AI23" s="84"/>
      <c r="AJ23" s="83"/>
      <c r="AK23" s="84"/>
    </row>
    <row r="24" spans="1:37" ht="21" customHeight="1" thickBot="1" x14ac:dyDescent="0.3">
      <c r="A24" s="170"/>
      <c r="B24" s="87" t="s">
        <v>260</v>
      </c>
      <c r="C24" s="169" t="str">
        <f>VLOOKUP(B24,[1]IndiceIndicadores!$B$6:$N$75,3,FALSE)</f>
        <v>Mantener liderazgo en el mercado nacional</v>
      </c>
      <c r="D24" s="79" t="str">
        <f>VLOOKUP(B24,[1]IndiceIndicadores!$B$6:$N$75,2,FALSE)</f>
        <v>% Participación de mercado $ (Mercado Dinamitas)</v>
      </c>
      <c r="E24" s="79" t="str">
        <f>VLOOKUP(B24,[1]IndiceIndicadores!$B$6:$N$75,8,FALSE)</f>
        <v>Gustavo Gómez Sánchez</v>
      </c>
      <c r="F24" s="79" t="str">
        <f>VLOOKUP(B24,[1]IndiceIndicadores!$B$6:$N$75,9,FALSE)</f>
        <v>Renzo Zamudio</v>
      </c>
      <c r="G24" s="80" t="str">
        <f>VLOOKUP(B24,[1]IndiceIndicadores!$B$6:$N$75,6,FALSE)</f>
        <v>Venta Empresa / Venta Mercado Dinamitas</v>
      </c>
      <c r="H24" s="188"/>
      <c r="I24" s="35" t="str">
        <f>VLOOKUP(B24,[1]IndiceIndicadores!$B$6:$N$75,4,FALSE)</f>
        <v>%</v>
      </c>
      <c r="J24" s="36">
        <f>VLOOKUP(D1,[1]PC04!$B$16:$CC$49,8,FALSE)</f>
        <v>0.89999999999999858</v>
      </c>
      <c r="K24" s="36"/>
      <c r="L24" s="36"/>
      <c r="M24" s="36">
        <f>VLOOKUP(D1,[1]PC04!$B$16:$CC$49,9,FALSE)</f>
        <v>0.85000000000000142</v>
      </c>
      <c r="N24" s="37">
        <f>VLOOKUP(D1,[1]PC04!$B$16:$CC$49,4,FALSE)</f>
        <v>0.89908120702760119</v>
      </c>
      <c r="O24" s="38" t="str">
        <f t="shared" si="6"/>
        <v/>
      </c>
      <c r="P24" s="39" t="str">
        <f t="shared" si="7"/>
        <v>g</v>
      </c>
      <c r="Q24" s="40" t="str">
        <f t="shared" si="3"/>
        <v/>
      </c>
      <c r="R24" s="88"/>
      <c r="S24" s="88"/>
      <c r="T24" s="88"/>
      <c r="U24" s="88"/>
      <c r="V24" s="89"/>
      <c r="W24" s="38" t="str">
        <f t="shared" si="4"/>
        <v/>
      </c>
      <c r="X24" s="39" t="str">
        <f t="shared" si="1"/>
        <v/>
      </c>
      <c r="Y24" s="90" t="str">
        <f t="shared" si="5"/>
        <v/>
      </c>
      <c r="Z24" s="65">
        <f>VLOOKUP(D1,[1]PC04!B13:CB49,47,FALSE)</f>
        <v>25854397.260000005</v>
      </c>
      <c r="AA24" s="65">
        <f>VLOOKUP(D1,[1]PC04!$B$16:$CC$49,48,FALSE)</f>
        <v>30592965.332987577</v>
      </c>
      <c r="AB24" s="63"/>
      <c r="AC24" s="44">
        <f>VLOOKUP(D1,[1]PC04!B13:CB49,51,FALSE)</f>
        <v>0.18327899990609064</v>
      </c>
      <c r="AD24" s="45"/>
      <c r="AE24" s="63"/>
      <c r="AF24" s="63"/>
      <c r="AG24" s="63"/>
      <c r="AH24" s="91"/>
      <c r="AI24" s="45"/>
      <c r="AJ24" s="63"/>
      <c r="AK24" s="45"/>
    </row>
    <row r="25" spans="1:37" ht="21" customHeight="1" thickBot="1" x14ac:dyDescent="0.3">
      <c r="A25" s="170"/>
      <c r="B25" s="87" t="s">
        <v>261</v>
      </c>
      <c r="C25" s="171"/>
      <c r="D25" s="79" t="str">
        <f>VLOOKUP(B25,[1]IndiceIndicadores!$B$6:$N$75,2,FALSE)</f>
        <v>% Participación de mercado TM (Mercado Dinamitas)</v>
      </c>
      <c r="E25" s="79" t="str">
        <f>VLOOKUP(B25,[1]IndiceIndicadores!$B$6:$N$75,8,FALSE)</f>
        <v>Gustavo Gómez Sánchez</v>
      </c>
      <c r="F25" s="79" t="str">
        <f>VLOOKUP(B25,[1]IndiceIndicadores!$B$6:$N$75,9,FALSE)</f>
        <v>Renzo Zamudio</v>
      </c>
      <c r="G25" s="80" t="str">
        <f>VLOOKUP(B25,[1]IndiceIndicadores!$B$6:$N$75,6,FALSE)</f>
        <v>Venta Empresa / Venta Mercado Dinamitas</v>
      </c>
      <c r="H25" s="188"/>
      <c r="I25" s="35" t="str">
        <f>VLOOKUP(B25,[1]IndiceIndicadores!$B$6:$N$75,4,FALSE)</f>
        <v>%</v>
      </c>
      <c r="J25" s="36">
        <f>VLOOKUP(D1,[1]PC04!$B$16:$CC$49,14,FALSE)</f>
        <v>0.89999999999999858</v>
      </c>
      <c r="K25" s="36"/>
      <c r="L25" s="36"/>
      <c r="M25" s="36">
        <f>VLOOKUP(D1,[1]PC04!$B$16:$CC$49,15,FALSE)</f>
        <v>0.85000000000000142</v>
      </c>
      <c r="N25" s="37">
        <f>VLOOKUP(D1,[1]PC04!$B$16:$CC$49,10,FALSE)</f>
        <v>0.88585851802638582</v>
      </c>
      <c r="O25" s="38" t="str">
        <f t="shared" si="6"/>
        <v/>
      </c>
      <c r="P25" s="39" t="str">
        <f t="shared" si="7"/>
        <v>g</v>
      </c>
      <c r="Q25" s="40" t="str">
        <f t="shared" si="3"/>
        <v/>
      </c>
      <c r="R25" s="88"/>
      <c r="S25" s="88"/>
      <c r="T25" s="88"/>
      <c r="U25" s="88"/>
      <c r="V25" s="89"/>
      <c r="W25" s="38" t="str">
        <f t="shared" si="4"/>
        <v/>
      </c>
      <c r="X25" s="39" t="str">
        <f t="shared" si="1"/>
        <v/>
      </c>
      <c r="Y25" s="90" t="str">
        <f t="shared" si="5"/>
        <v/>
      </c>
      <c r="Z25" s="65">
        <f>VLOOKUP(D1,[1]PC04!$B$16:$CC$49,63,FALSE)</f>
        <v>151949481.43000001</v>
      </c>
      <c r="AA25" s="65">
        <f>VLOOKUP(D1,[1]PC04!$B$16:$CC$49,64,FALSE)</f>
        <v>122336498.74335569</v>
      </c>
      <c r="AB25" s="63"/>
      <c r="AC25" s="44">
        <f>VLOOKUP(D1,[1]PC04!$B$16:$CC$49,67,FALSE)</f>
        <v>-0.19488702697736027</v>
      </c>
      <c r="AD25" s="45"/>
      <c r="AE25" s="63"/>
      <c r="AF25" s="92"/>
      <c r="AG25" s="63"/>
      <c r="AH25" s="93"/>
      <c r="AI25" s="45"/>
      <c r="AJ25" s="63"/>
      <c r="AK25" s="45"/>
    </row>
    <row r="26" spans="1:37" ht="21" customHeight="1" thickBot="1" x14ac:dyDescent="0.3">
      <c r="A26" s="170"/>
      <c r="B26" s="87" t="s">
        <v>262</v>
      </c>
      <c r="C26" s="171"/>
      <c r="D26" s="79" t="s">
        <v>263</v>
      </c>
      <c r="E26" s="79" t="str">
        <f>VLOOKUP(B24,[1]IndiceIndicadores!$B$6:$N$75,8,FALSE)</f>
        <v>Gustavo Gómez Sánchez</v>
      </c>
      <c r="F26" s="79" t="str">
        <f>VLOOKUP(B24,[1]IndiceIndicadores!$B$6:$N$75,9,FALSE)</f>
        <v>Renzo Zamudio</v>
      </c>
      <c r="G26" s="80" t="s">
        <v>264</v>
      </c>
      <c r="H26" s="188"/>
      <c r="I26" s="35" t="str">
        <f>VLOOKUP(B25,[1]IndiceIndicadores!$B$6:$N$75,4,FALSE)</f>
        <v>%</v>
      </c>
      <c r="J26" s="36">
        <f>VLOOKUP(E1,[1]BDPC04!W12:AA52,  2, FALSE)</f>
        <v>0.45</v>
      </c>
      <c r="K26" s="36"/>
      <c r="L26" s="36"/>
      <c r="M26" s="36">
        <f>VLOOKUP(E1,[1]BDPC04!W12:AA52,  3, FALSE)</f>
        <v>0.35</v>
      </c>
      <c r="N26" s="37" t="e">
        <f>DSUM([1]BDPC04!$D$15:$N$276,3,#REF!)  / DSUM([1]BDPC04!$D$15:$N$276,2,#REF!)</f>
        <v>#REF!</v>
      </c>
      <c r="O26" s="38" t="e">
        <f>IF(N26="","",IF(N26&gt;J26,"g",""))</f>
        <v>#REF!</v>
      </c>
      <c r="P26" s="39" t="e">
        <f>IF(N26="","",IF(N26&lt;=J26,IF(N26&gt;=M26,"g",""),""))</f>
        <v>#REF!</v>
      </c>
      <c r="Q26" s="40" t="e">
        <f>IF(N26="","",IF(N26&lt;M26,"g",""))</f>
        <v>#REF!</v>
      </c>
      <c r="R26" s="88"/>
      <c r="S26" s="88"/>
      <c r="T26" s="88"/>
      <c r="U26" s="88"/>
      <c r="V26" s="89"/>
      <c r="W26" s="38"/>
      <c r="X26" s="39"/>
      <c r="Y26" s="90"/>
      <c r="Z26" s="65"/>
      <c r="AA26" s="65"/>
      <c r="AB26" s="63"/>
      <c r="AC26" s="44"/>
      <c r="AD26" s="45"/>
      <c r="AE26" s="63"/>
      <c r="AF26" s="92"/>
      <c r="AG26" s="63"/>
      <c r="AH26" s="93"/>
      <c r="AI26" s="45"/>
      <c r="AJ26" s="63"/>
      <c r="AK26" s="45"/>
    </row>
    <row r="27" spans="1:37" ht="21" customHeight="1" thickBot="1" x14ac:dyDescent="0.3">
      <c r="A27" s="170"/>
      <c r="B27" s="87" t="s">
        <v>265</v>
      </c>
      <c r="C27" s="172"/>
      <c r="D27" s="79" t="s">
        <v>266</v>
      </c>
      <c r="E27" s="79" t="str">
        <f>VLOOKUP(B24,[1]IndiceIndicadores!$B$6:$N$75,8,FALSE)</f>
        <v>Gustavo Gómez Sánchez</v>
      </c>
      <c r="F27" s="79" t="str">
        <f>VLOOKUP(B24,[1]IndiceIndicadores!$B$6:$N$75,9,FALSE)</f>
        <v>Renzo Zamudio</v>
      </c>
      <c r="G27" s="80" t="s">
        <v>264</v>
      </c>
      <c r="H27" s="188"/>
      <c r="I27" s="35" t="str">
        <f>VLOOKUP(B25,[1]IndiceIndicadores!$B$6:$N$75,4,FALSE)</f>
        <v>%</v>
      </c>
      <c r="J27" s="36">
        <f>VLOOKUP(E1,[1]BDPC04!W12:AA52,  4, FALSE)</f>
        <v>0.3</v>
      </c>
      <c r="K27" s="36"/>
      <c r="L27" s="36"/>
      <c r="M27" s="36">
        <f>VLOOKUP(E1,[1]BDPC04!W12:AA52,  5, FALSE)</f>
        <v>0.2</v>
      </c>
      <c r="N27" s="37" t="e">
        <f>DSUM([1]BDPC04!$D$15:$N$276,5,#REF!)  / DSUM([1]BDPC04!$D$15:$N$276,4,#REF!)</f>
        <v>#REF!</v>
      </c>
      <c r="O27" s="38" t="e">
        <f>IF(N27="","",IF(N27&gt;J27,"g",""))</f>
        <v>#REF!</v>
      </c>
      <c r="P27" s="39" t="e">
        <f>IF(N27="","",IF(N27&lt;=J27,IF(N27&gt;=M27,"g",""),""))</f>
        <v>#REF!</v>
      </c>
      <c r="Q27" s="40" t="e">
        <f>IF(N27="","",IF(N27&lt;M27,"g",""))</f>
        <v>#REF!</v>
      </c>
      <c r="R27" s="88"/>
      <c r="S27" s="88"/>
      <c r="T27" s="88"/>
      <c r="U27" s="88"/>
      <c r="V27" s="89"/>
      <c r="W27" s="38"/>
      <c r="X27" s="39"/>
      <c r="Y27" s="90"/>
      <c r="Z27" s="65"/>
      <c r="AA27" s="65"/>
      <c r="AB27" s="63"/>
      <c r="AC27" s="44"/>
      <c r="AD27" s="45"/>
      <c r="AE27" s="63"/>
      <c r="AF27" s="92"/>
      <c r="AG27" s="63"/>
      <c r="AH27" s="93"/>
      <c r="AI27" s="45"/>
      <c r="AJ27" s="63"/>
      <c r="AK27" s="45"/>
    </row>
    <row r="28" spans="1:37" ht="21" customHeight="1" thickBot="1" x14ac:dyDescent="0.3">
      <c r="A28" s="170"/>
      <c r="B28" s="94" t="s">
        <v>267</v>
      </c>
      <c r="C28" s="79" t="str">
        <f>VLOOKUP(B28,[1]IndiceIndicadores!$B$6:$N$75,3,FALSE)</f>
        <v>Lanzar nuevos productos al mercado</v>
      </c>
      <c r="D28" s="79" t="str">
        <f>VLOOKUP(B28,[1]IndiceIndicadores!$B$6:$N$75,2,FALSE)</f>
        <v>Ventas en prod nuevos vs. Ventas totales</v>
      </c>
      <c r="E28" s="79" t="str">
        <f>VLOOKUP(B28,[1]IndiceIndicadores!$B$6:$N$75,8,FALSE)</f>
        <v>Gustavo Gómez Sánchez</v>
      </c>
      <c r="F28" s="79" t="str">
        <f>VLOOKUP(B28,[1]IndiceIndicadores!$B$6:$N$75,9,FALSE)</f>
        <v>Praxedes Espejo / Renzo Zamudio</v>
      </c>
      <c r="G28" s="80" t="str">
        <f>VLOOKUP(B28,[1]IndiceIndicadores!$B$6:$N$75,6,FALSE)</f>
        <v>Ventas en prod nuevos vs. Ventas totales</v>
      </c>
      <c r="H28" s="188"/>
      <c r="I28" s="35" t="str">
        <f>VLOOKUP(B28,[1]IndiceIndicadores!$B$6:$N$75,4,FALSE)</f>
        <v>%</v>
      </c>
      <c r="J28" s="36" t="str">
        <f>VLOOKUP(D1,[1]PC05!$B$16:$AT$49,6,FALSE)</f>
        <v/>
      </c>
      <c r="K28" s="36"/>
      <c r="L28" s="36"/>
      <c r="M28" s="36" t="str">
        <f>VLOOKUP(D1, [1]PC05!B13:AU48,7,FALSE)</f>
        <v/>
      </c>
      <c r="N28" s="95" t="str">
        <f>VLOOKUP(D1, [1]PC05!B13:AU48,2,FALSE)</f>
        <v/>
      </c>
      <c r="O28" s="38" t="str">
        <f t="shared" si="6"/>
        <v/>
      </c>
      <c r="P28" s="39" t="str">
        <f t="shared" si="7"/>
        <v/>
      </c>
      <c r="Q28" s="40" t="str">
        <f t="shared" si="3"/>
        <v/>
      </c>
      <c r="R28" s="88" t="str">
        <f>VLOOKUP(D1, [1]PC05!B13:AU48,18,FALSE)</f>
        <v/>
      </c>
      <c r="S28" s="88"/>
      <c r="T28" s="88"/>
      <c r="U28" s="88" t="str">
        <f>VLOOKUP(D1, [1]PC05!B13:AU48,19,FALSE)</f>
        <v/>
      </c>
      <c r="V28" s="95" t="str">
        <f>VLOOKUP(D1, [1]PC05!B13:AU48,14,FALSE)</f>
        <v/>
      </c>
      <c r="W28" s="38" t="str">
        <f t="shared" si="4"/>
        <v/>
      </c>
      <c r="X28" s="39" t="str">
        <f t="shared" si="1"/>
        <v/>
      </c>
      <c r="Y28" s="40" t="str">
        <f t="shared" si="5"/>
        <v/>
      </c>
      <c r="Z28" s="63" t="str">
        <f>VLOOKUP(D1, [1]PC05!B13:AU48,28,FALSE)</f>
        <v/>
      </c>
      <c r="AA28" s="63" t="str">
        <f>VLOOKUP(D1, [1]PC05!B13:AU48,29,FALSE)</f>
        <v/>
      </c>
      <c r="AB28" s="63"/>
      <c r="AC28" s="45" t="str">
        <f>VLOOKUP(D1, [1]PC05!B13:AU48,32,FALSE)</f>
        <v/>
      </c>
      <c r="AD28" s="45"/>
      <c r="AE28" s="63" t="str">
        <f>VLOOKUP(D1, [1]PC05!B13:AU48,36,FALSE)</f>
        <v/>
      </c>
      <c r="AF28" s="63" t="str">
        <f>VLOOKUP(D1, [1]PC05!B13:AU48,37,FALSE)</f>
        <v/>
      </c>
      <c r="AG28" s="63"/>
      <c r="AH28" s="91" t="str">
        <f>VLOOKUP(D1, [1]PC05!B13:AU48,40,FALSE)</f>
        <v/>
      </c>
      <c r="AI28" s="45"/>
      <c r="AJ28" s="63"/>
      <c r="AK28" s="45" t="s">
        <v>33</v>
      </c>
    </row>
    <row r="29" spans="1:37" ht="21" customHeight="1" thickBot="1" x14ac:dyDescent="0.3">
      <c r="A29" s="170"/>
      <c r="B29" s="94" t="s">
        <v>268</v>
      </c>
      <c r="C29" s="169" t="str">
        <f>VLOOKUP(B29,[1]IndiceIndicadores!$B$6:$N$75,3,FALSE)</f>
        <v>Mejorar la satisfacción del cliente</v>
      </c>
      <c r="D29" s="79" t="str">
        <f>VLOOKUP(B29,[1]IndiceIndicadores!$B$6:$N$75,2,FALSE)</f>
        <v xml:space="preserve">Ratio de reclamos </v>
      </c>
      <c r="E29" s="79" t="str">
        <f>VLOOKUP(B29,[1]IndiceIndicadores!$B$6:$N$75,8,FALSE)</f>
        <v>Gustavo Gómez Sánchez</v>
      </c>
      <c r="F29" s="79" t="str">
        <f>VLOOKUP(B29,[1]IndiceIndicadores!$B$6:$N$75,9,FALSE)</f>
        <v xml:space="preserve">Yann Baudran / Renzo Zamudio </v>
      </c>
      <c r="G29" s="80" t="str">
        <f>VLOOKUP(B29,[1]IndiceIndicadores!$B$6:$N$75,6,FALSE)</f>
        <v>RR= Nº reclamos/Nº Items vendidos*100%</v>
      </c>
      <c r="H29" s="188"/>
      <c r="I29" s="35" t="str">
        <f>VLOOKUP(B29,[1]IndiceIndicadores!$B$6:$N$75,4,FALSE)</f>
        <v>%</v>
      </c>
      <c r="J29" s="36">
        <f>VLOOKUP(D1,[1]PC06!$B$16:$AT$49,6,FALSE)</f>
        <v>0</v>
      </c>
      <c r="K29" s="36"/>
      <c r="L29" s="36"/>
      <c r="M29" s="36">
        <f>VLOOKUP(D1,[1]PC06!$B$16:$AT$49,7,FALSE)</f>
        <v>0</v>
      </c>
      <c r="N29" s="95" t="str">
        <f>VLOOKUP(D1,[1]PC06!$B$16:$AT$49,2,FALSE)</f>
        <v/>
      </c>
      <c r="O29" s="38" t="str">
        <f>IF(N29="","",IF(N29&lt;M29,"g",""))</f>
        <v/>
      </c>
      <c r="P29" s="39" t="str">
        <f t="shared" si="7"/>
        <v/>
      </c>
      <c r="Q29" s="40" t="str">
        <f>IF(N29="","",IF(N29&gt;J29,"g",""))</f>
        <v/>
      </c>
      <c r="R29" s="88">
        <f>VLOOKUP(D1,[1]PC06!$B$16:$AT$49,18,FALSE)</f>
        <v>0</v>
      </c>
      <c r="S29" s="88"/>
      <c r="T29" s="88"/>
      <c r="U29" s="88">
        <f>VLOOKUP(D1,[1]PC06!$B$16:$AT$49,19,FALSE)</f>
        <v>0</v>
      </c>
      <c r="V29" s="95" t="str">
        <f>VLOOKUP(D1,[1]PC06!$B$16:$AT$49,14,FALSE)</f>
        <v/>
      </c>
      <c r="W29" s="38" t="str">
        <f>IF(V29="","",IF(V29&lt;U29,"g",""))</f>
        <v/>
      </c>
      <c r="X29" s="39" t="str">
        <f t="shared" si="1"/>
        <v/>
      </c>
      <c r="Y29" s="40" t="str">
        <f>IF(V29="","",IF(V29&gt;R29,"g",""))</f>
        <v/>
      </c>
      <c r="Z29" s="63" t="str">
        <f>VLOOKUP(D1,[1]PC06!$B$16:$AT$49,28,FALSE)</f>
        <v/>
      </c>
      <c r="AA29" s="63" t="str">
        <f>VLOOKUP(D1,[1]PC06!$B$16:$AT$49,29,FALSE)</f>
        <v/>
      </c>
      <c r="AB29" s="63" t="str">
        <f xml:space="preserve"> VLOOKUP( D1,[1]PC06!$AB$16:$AQ$49, 4,FALSE)</f>
        <v/>
      </c>
      <c r="AC29" s="45" t="str">
        <f>VLOOKUP(D1,[1]PC06!$B$16:$AT$49,31,FALSE)</f>
        <v/>
      </c>
      <c r="AD29" s="45" t="str">
        <f xml:space="preserve"> VLOOKUP( D1,[1]PC06!$AB$16:$AQ$49, 8,FALSE)</f>
        <v/>
      </c>
      <c r="AE29" s="63" t="str">
        <f>VLOOKUP(D1,[1]PC06!$B$16:$AT$49,36,FALSE)</f>
        <v/>
      </c>
      <c r="AF29" s="63" t="str">
        <f>VLOOKUP(D1,[1]PC06!$B$16:$AT$49,37,FALSE)</f>
        <v/>
      </c>
      <c r="AG29" s="63" t="str">
        <f xml:space="preserve"> VLOOKUP( D1,[1]PC06!$AB$16:$AQ$49, 12,FALSE)</f>
        <v/>
      </c>
      <c r="AH29" s="91" t="str">
        <f>VLOOKUP(D1,[1]PC06!$B$16:$AT$49,40,FALSE)</f>
        <v/>
      </c>
      <c r="AI29" s="45" t="str">
        <f xml:space="preserve"> VLOOKUP( D1,[1]PC06!$AB$16:$AQ$49, 16,FALSE)</f>
        <v/>
      </c>
      <c r="AJ29" s="63"/>
      <c r="AK29" s="45" t="str">
        <f xml:space="preserve"> VLOOKUP( D1,[1]PC06!$AB$16:$AU$49, 18,FALSE)</f>
        <v/>
      </c>
    </row>
    <row r="30" spans="1:37" ht="21" customHeight="1" thickBot="1" x14ac:dyDescent="0.3">
      <c r="A30" s="173"/>
      <c r="B30" s="78" t="s">
        <v>269</v>
      </c>
      <c r="C30" s="172"/>
      <c r="D30" s="79" t="str">
        <f>VLOOKUP(B30,[1]IndiceIndicadores!$B$6:$N$75,2,FALSE)</f>
        <v>Nivel de satisfacción del cliente (Resultado Total - Encuesta Satisfacción)</v>
      </c>
      <c r="E30" s="79" t="str">
        <f>VLOOKUP(B30,[1]IndiceIndicadores!$B$6:$N$75,8,FALSE)</f>
        <v>Gustavo Gómez Sánchez</v>
      </c>
      <c r="F30" s="79" t="str">
        <f>VLOOKUP(B30,[1]IndiceIndicadores!$B$6:$N$75,9,FALSE)</f>
        <v xml:space="preserve">Yann Baudran / Renzo Zamudio </v>
      </c>
      <c r="G30" s="80" t="str">
        <f>VLOOKUP(B30,[1]IndiceIndicadores!$B$6:$N$75,6,FALSE)</f>
        <v>Encuesta</v>
      </c>
      <c r="H30" s="188"/>
      <c r="I30" s="35" t="str">
        <f>VLOOKUP(B30,[1]IndiceIndicadores!$B$6:$N$75,4,FALSE)</f>
        <v>%</v>
      </c>
      <c r="J30" s="36">
        <f>VLOOKUP(D1,[1]PC07!$B$12:$I$36,7,FALSE)</f>
        <v>0.9</v>
      </c>
      <c r="K30" s="36"/>
      <c r="L30" s="36"/>
      <c r="M30" s="36">
        <f>VLOOKUP(D1,[1]PC07!$B$12:$I$36,8,FALSE)</f>
        <v>0.85</v>
      </c>
      <c r="N30" s="37">
        <f>VLOOKUP(D1,[1]PC07!$B$12:$I$36,3,FALSE)</f>
        <v>0</v>
      </c>
      <c r="O30" s="38" t="str">
        <f t="shared" ref="O30:O35" si="8">IF(N30="","",IF(N30&gt;J30,"g",""))</f>
        <v/>
      </c>
      <c r="P30" s="39" t="str">
        <f t="shared" si="7"/>
        <v/>
      </c>
      <c r="Q30" s="40" t="str">
        <f t="shared" ref="Q30:Q35" si="9">IF(N30="","",IF(N30&lt;M30,"g",""))</f>
        <v>g</v>
      </c>
      <c r="R30" s="96"/>
      <c r="S30" s="96"/>
      <c r="T30" s="96"/>
      <c r="U30" s="96"/>
      <c r="V30" s="53"/>
      <c r="W30" s="38" t="str">
        <f t="shared" ref="W30:W35" si="10">IF(V30="","",IF(V30&gt;R30,"g",""))</f>
        <v/>
      </c>
      <c r="X30" s="39" t="str">
        <f t="shared" si="1"/>
        <v/>
      </c>
      <c r="Y30" s="40" t="str">
        <f t="shared" ref="Y30:Y35" si="11">IF(V30="","",IF(V30&lt;U30,"g",""))</f>
        <v/>
      </c>
      <c r="Z30" s="44">
        <f>VLOOKUP(D1,[1]PC07!$B$12:$U$36,15,FALSE)</f>
        <v>0</v>
      </c>
      <c r="AA30" s="44" t="str">
        <f>VLOOKUP(D1,[1]PC07!$B$12:$U$36,16,FALSE)</f>
        <v/>
      </c>
      <c r="AB30" s="55"/>
      <c r="AC30" s="45" t="str">
        <f>VLOOKUP(D1,[1]PC07!$B$12:$U$36,18,FALSE)</f>
        <v/>
      </c>
      <c r="AD30" s="55"/>
      <c r="AE30" s="97"/>
      <c r="AF30" s="97"/>
      <c r="AG30" s="97"/>
      <c r="AH30" s="98"/>
      <c r="AI30" s="99"/>
      <c r="AJ30" s="55"/>
      <c r="AK30" s="55"/>
    </row>
    <row r="31" spans="1:37" ht="21" customHeight="1" thickBot="1" x14ac:dyDescent="0.3">
      <c r="A31" s="174" t="s">
        <v>270</v>
      </c>
      <c r="B31" s="100" t="s">
        <v>271</v>
      </c>
      <c r="C31" s="101" t="str">
        <f>VLOOKUP(B31,[1]IndiceIndicadores!$B$6:$N$75,3,FALSE)</f>
        <v>Mejorar el proceso de I&amp;D</v>
      </c>
      <c r="D31" s="101" t="str">
        <f>VLOOKUP(B31,[1]IndiceIndicadores!$B$6:$N$75,2,FALSE)</f>
        <v>% Avance de desarrollos en nuevos productos y nuevas formulaciones</v>
      </c>
      <c r="E31" s="101" t="str">
        <f>VLOOKUP(B31,[1]IndiceIndicadores!$B$6:$N$75,8,FALSE)</f>
        <v>Abel Carcamo</v>
      </c>
      <c r="F31" s="101" t="str">
        <f>VLOOKUP(B31,[1]IndiceIndicadores!$B$6:$N$75,9,FALSE)</f>
        <v>Miguel Torres</v>
      </c>
      <c r="G31" s="101" t="str">
        <f>VLOOKUP(B31,[1]IndiceIndicadores!$B$6:$N$75,6,FALSE)</f>
        <v>% Avances de Proyectos = Proy. Resueltos / Proy. Generados</v>
      </c>
      <c r="H31" s="189"/>
      <c r="I31" s="35" t="str">
        <f>VLOOKUP(B31,[1]IndiceIndicadores!$B$6:$N$75,4,FALSE)</f>
        <v>%</v>
      </c>
      <c r="J31" s="36">
        <f>VLOOKUP(D1, [1]PPI02!B9:I37,7,FALSE)</f>
        <v>0.9</v>
      </c>
      <c r="K31" s="36"/>
      <c r="L31" s="36"/>
      <c r="M31" s="36">
        <f>VLOOKUP(D1, [1]PPI02!B9:I37,8,FALSE)</f>
        <v>0.33</v>
      </c>
      <c r="N31" s="37">
        <f>VLOOKUP(D1, [1]PPI02!B9:I37,3,FALSE)</f>
        <v>1</v>
      </c>
      <c r="O31" s="38" t="str">
        <f t="shared" si="8"/>
        <v>g</v>
      </c>
      <c r="P31" s="39" t="str">
        <f t="shared" si="7"/>
        <v/>
      </c>
      <c r="Q31" s="40" t="str">
        <f t="shared" si="9"/>
        <v/>
      </c>
      <c r="R31" s="96"/>
      <c r="S31" s="96"/>
      <c r="T31" s="96"/>
      <c r="U31" s="96"/>
      <c r="V31" s="53"/>
      <c r="W31" s="38" t="str">
        <f t="shared" si="10"/>
        <v/>
      </c>
      <c r="X31" s="39" t="str">
        <f t="shared" si="1"/>
        <v/>
      </c>
      <c r="Y31" s="40" t="str">
        <f t="shared" si="11"/>
        <v/>
      </c>
      <c r="Z31" s="55"/>
      <c r="AA31" s="55"/>
      <c r="AB31" s="55"/>
      <c r="AC31" s="55"/>
      <c r="AD31" s="55"/>
      <c r="AE31" s="55"/>
      <c r="AF31" s="55"/>
      <c r="AG31" s="55"/>
      <c r="AH31" s="102"/>
      <c r="AI31" s="55"/>
      <c r="AJ31" s="55"/>
      <c r="AK31" s="55"/>
    </row>
    <row r="32" spans="1:37" ht="21" customHeight="1" thickBot="1" x14ac:dyDescent="0.3">
      <c r="A32" s="175"/>
      <c r="B32" s="100" t="s">
        <v>272</v>
      </c>
      <c r="C32" s="101" t="str">
        <f>VLOOKUP(B32,[1]IndiceIndicadores!$B$6:$N$75,3,FALSE)</f>
        <v>Asegurar que el cliente perciba el valor agregado de nuestros productos y servicios</v>
      </c>
      <c r="D32" s="101" t="str">
        <f>VLOOKUP(B32,[1]IndiceIndicadores!$B$6:$N$75,2,FALSE)</f>
        <v>Nivel de satisfacción del cliente (Resultado Parcial - Encuesta Satisfacción)</v>
      </c>
      <c r="E32" s="101" t="str">
        <f>VLOOKUP(B32,[1]IndiceIndicadores!$B$6:$N$75,8,FALSE)</f>
        <v>Gustavo Gómez Sánchez</v>
      </c>
      <c r="F32" s="101" t="str">
        <f>VLOOKUP(B32,[1]IndiceIndicadores!$B$6:$N$75,9,FALSE)</f>
        <v xml:space="preserve">Yann Baudran / Renzo Zamudio </v>
      </c>
      <c r="G32" s="101" t="str">
        <f>VLOOKUP(B32,[1]IndiceIndicadores!$B$6:$N$75,6,FALSE)</f>
        <v>Encuesta</v>
      </c>
      <c r="H32" s="189"/>
      <c r="I32" s="35" t="str">
        <f>VLOOKUP(B32,[1]IndiceIndicadores!$B$6:$N$75,4,FALSE)</f>
        <v>%</v>
      </c>
      <c r="J32" s="103" t="e">
        <f>VLOOKUP(D1, [1]PPI04!B11:H35,6,FALSE)</f>
        <v>#N/A</v>
      </c>
      <c r="K32" s="103"/>
      <c r="L32" s="103"/>
      <c r="M32" s="103" t="e">
        <f>VLOOKUP(D1, [1]PPI04!B11:H35,7,FALSE)</f>
        <v>#N/A</v>
      </c>
      <c r="N32" s="104" t="e">
        <f>VLOOKUP(D1, [1]PPI04!B11:H35,2,FALSE)</f>
        <v>#N/A</v>
      </c>
      <c r="O32" s="38" t="e">
        <f t="shared" si="8"/>
        <v>#N/A</v>
      </c>
      <c r="P32" s="39" t="e">
        <f t="shared" si="7"/>
        <v>#N/A</v>
      </c>
      <c r="Q32" s="40" t="e">
        <f t="shared" si="9"/>
        <v>#N/A</v>
      </c>
      <c r="R32" s="96"/>
      <c r="S32" s="96"/>
      <c r="T32" s="96"/>
      <c r="U32" s="96"/>
      <c r="V32" s="53"/>
      <c r="W32" s="38" t="str">
        <f t="shared" si="10"/>
        <v/>
      </c>
      <c r="X32" s="39" t="str">
        <f t="shared" si="1"/>
        <v/>
      </c>
      <c r="Y32" s="40" t="str">
        <f t="shared" si="11"/>
        <v/>
      </c>
      <c r="Z32" s="105"/>
      <c r="AA32" s="55"/>
      <c r="AB32" s="55"/>
      <c r="AC32" s="55"/>
      <c r="AD32" s="55"/>
      <c r="AE32" s="55"/>
      <c r="AF32" s="55"/>
      <c r="AG32" s="55"/>
      <c r="AH32" s="102"/>
      <c r="AI32" s="55"/>
      <c r="AJ32" s="55"/>
      <c r="AK32" s="55"/>
    </row>
    <row r="33" spans="1:37" ht="21" customHeight="1" thickBot="1" x14ac:dyDescent="0.3">
      <c r="A33" s="175"/>
      <c r="B33" s="100" t="s">
        <v>273</v>
      </c>
      <c r="C33" s="101" t="str">
        <f>VLOOKUP(B33,[1]IndiceIndicadores!$B$6:$N$75,3,FALSE)</f>
        <v>Incrementar las HH de Capacitación, entrenamiento y asistencia técnica</v>
      </c>
      <c r="D33" s="101" t="str">
        <f>VLOOKUP(B33,[1]IndiceIndicadores!$B$6:$N$75,2,FALSE)</f>
        <v>HHR en visitas para atender reclamos por problemas</v>
      </c>
      <c r="E33" s="101" t="str">
        <f>VLOOKUP(B33,[1]IndiceIndicadores!$B$6:$N$75,8,FALSE)</f>
        <v>Gustavo Gómez Sánchez</v>
      </c>
      <c r="F33" s="101" t="str">
        <f>VLOOKUP(B33,[1]IndiceIndicadores!$B$6:$N$75,9,FALSE)</f>
        <v>Yann Baudran</v>
      </c>
      <c r="G33" s="101" t="str">
        <f>VLOOKUP(B33,[1]IndiceIndicadores!$B$6:$N$75,6,FALSE)</f>
        <v>HHR Atencion de reclamos / HHR Visitas Total a cliente</v>
      </c>
      <c r="H33" s="189"/>
      <c r="I33" s="35" t="str">
        <f>VLOOKUP(B33,[1]IndiceIndicadores!$B$6:$N$75,4,FALSE)</f>
        <v>%</v>
      </c>
      <c r="J33" s="103">
        <f>VLOOKUP(D1,[1]PPI07!B13:T46,6,FALSE)</f>
        <v>5.0000000000000044E-2</v>
      </c>
      <c r="K33" s="106"/>
      <c r="L33" s="106"/>
      <c r="M33" s="103">
        <f>VLOOKUP(D1,[1]PPI07!B13:T46,7,FALSE)</f>
        <v>0.10000000000000009</v>
      </c>
      <c r="N33" s="107">
        <f>VLOOKUP(D1,[1]PPI07!B13:T46,2,FALSE)</f>
        <v>3.0201342281879196E-2</v>
      </c>
      <c r="O33" s="38" t="str">
        <f>IF(N33="","",IF(N33&lt;J33,"g",""))</f>
        <v>g</v>
      </c>
      <c r="P33" s="39" t="str">
        <f>IF(N33="","",IF(N33&gt;=J33,IF(N33&lt;=M33,"g",""),""))</f>
        <v/>
      </c>
      <c r="Q33" s="40" t="str">
        <f>IF(N33="","",IF(N33&gt;M33,"g",""))</f>
        <v/>
      </c>
      <c r="R33" s="108">
        <f>VLOOKUP(D1,[1]PPI07!B13:T46,18,FALSE)</f>
        <v>5.0000000000000044E-2</v>
      </c>
      <c r="S33" s="109"/>
      <c r="T33" s="109"/>
      <c r="U33" s="108">
        <f>VLOOKUP(D1,[1]PPI07!B13:T46,19,FALSE)</f>
        <v>0.10000000000000009</v>
      </c>
      <c r="V33" s="107">
        <f>VLOOKUP(D1,[1]PPI07!B13:T46,14,FALSE)</f>
        <v>9.8703846715785512E-2</v>
      </c>
      <c r="W33" s="38" t="str">
        <f>IF(V33="","",IF(V33&lt;R33,"g",""))</f>
        <v/>
      </c>
      <c r="X33" s="39" t="str">
        <f>IF(V33="","",IF(V33&gt;=R33,IF(V33&lt;=U33,"g",""),""))</f>
        <v>g</v>
      </c>
      <c r="Y33" s="40" t="str">
        <f>IF(V33="","",IF(V33&gt;U33,"g",""))</f>
        <v/>
      </c>
      <c r="Z33" s="60">
        <f xml:space="preserve"> VLOOKUP( D1,[1]PPI07!$B$16:$AQ$49, 28,FALSE)</f>
        <v>0</v>
      </c>
      <c r="AA33" s="60">
        <f xml:space="preserve"> VLOOKUP( D1,[1]PPI07!$B$16:$AQ$49, 29,FALSE)</f>
        <v>2980</v>
      </c>
      <c r="AB33" s="63"/>
      <c r="AC33" s="45" t="str">
        <f xml:space="preserve"> VLOOKUP( D1,[1]PPI07!$B$16:$AQ$49, 32,FALSE)</f>
        <v/>
      </c>
      <c r="AD33" s="45"/>
      <c r="AE33" s="60">
        <f xml:space="preserve"> VLOOKUP( D1,[1]PPI07!$B$16:$AQ$49, 36,FALSE)</f>
        <v>0</v>
      </c>
      <c r="AF33" s="60">
        <f xml:space="preserve"> VLOOKUP( D1,[1]PPI07!B13:AU48, 37,FALSE)</f>
        <v>47911</v>
      </c>
      <c r="AG33" s="63"/>
      <c r="AH33" s="91" t="str">
        <f xml:space="preserve"> VLOOKUP( D1,[1]PPI07!$B$16:$AU$49, 40,FALSE)</f>
        <v/>
      </c>
      <c r="AI33" s="45"/>
      <c r="AJ33" s="63"/>
      <c r="AK33" s="45"/>
    </row>
    <row r="34" spans="1:37" ht="21" customHeight="1" thickBot="1" x14ac:dyDescent="0.3">
      <c r="A34" s="175"/>
      <c r="B34" s="100" t="s">
        <v>274</v>
      </c>
      <c r="C34" s="176"/>
      <c r="D34" s="101" t="str">
        <f>VLOOKUP(B34,[1]IndiceIndicadores!$B$6:$N$75,2,FALSE)</f>
        <v>No. visitas para asistencia técnica</v>
      </c>
      <c r="E34" s="101" t="str">
        <f>VLOOKUP(B34,[1]IndiceIndicadores!$B$6:$N$75,8,FALSE)</f>
        <v>Gustavo Gómez Sánchez</v>
      </c>
      <c r="F34" s="101" t="str">
        <f>VLOOKUP(B34,[1]IndiceIndicadores!$B$6:$N$75,9,FALSE)</f>
        <v>Yann Baudran</v>
      </c>
      <c r="G34" s="101" t="str">
        <f>VLOOKUP(B34,[1]IndiceIndicadores!$B$6:$N$75,6,FALSE)</f>
        <v>VAT= Nº Visitas para Asistencia Técnica/Nº Visitas realizadas</v>
      </c>
      <c r="H34" s="189"/>
      <c r="I34" s="35" t="str">
        <f>VLOOKUP(B34,[1]IndiceIndicadores!$B$6:$N$75,4,FALSE)</f>
        <v>%</v>
      </c>
      <c r="J34" s="36">
        <f>VLOOKUP(D1,[1]PPI09!B13:T46,6,FALSE)</f>
        <v>0.5</v>
      </c>
      <c r="K34" s="35"/>
      <c r="L34" s="35"/>
      <c r="M34" s="36">
        <f>VLOOKUP(D1,[1]PPI09!B13:T46,7,FALSE)</f>
        <v>0.40000000000000036</v>
      </c>
      <c r="N34" s="37">
        <f>VLOOKUP(D1,[1]PPI09!B13:T46,2,FALSE)</f>
        <v>0.4783985383203101</v>
      </c>
      <c r="O34" s="38" t="str">
        <f t="shared" si="8"/>
        <v/>
      </c>
      <c r="P34" s="39" t="str">
        <f t="shared" si="7"/>
        <v>g</v>
      </c>
      <c r="Q34" s="40" t="str">
        <f t="shared" si="9"/>
        <v/>
      </c>
      <c r="R34" s="41">
        <f>VLOOKUP(D1,[1]PPI09!B13:T46,18,FALSE)</f>
        <v>0.5</v>
      </c>
      <c r="S34" s="41"/>
      <c r="T34" s="41"/>
      <c r="U34" s="41">
        <f>VLOOKUP(D1,[1]PPI09!B13:T46,19,FALSE)</f>
        <v>0.40000000000000036</v>
      </c>
      <c r="V34" s="42">
        <f>VLOOKUP(D1,[1]PPI09!B13:T46,14,FALSE)</f>
        <v>0.52040241280707977</v>
      </c>
      <c r="W34" s="38" t="str">
        <f t="shared" si="10"/>
        <v>g</v>
      </c>
      <c r="X34" s="39" t="str">
        <f t="shared" si="1"/>
        <v/>
      </c>
      <c r="Y34" s="40" t="str">
        <f t="shared" si="11"/>
        <v/>
      </c>
      <c r="Z34" s="44">
        <f xml:space="preserve"> VLOOKUP( D1,[1]PPI09!$B$16:$AU$49, 28,FALSE)</f>
        <v>0.44735949164044664</v>
      </c>
      <c r="AA34" s="44">
        <f xml:space="preserve"> VLOOKUP( D1,[1]PPI09!$B$16:$AU$49, 29,FALSE)</f>
        <v>0.4783985383203101</v>
      </c>
      <c r="AB34" s="63"/>
      <c r="AC34" s="45">
        <f xml:space="preserve"> VLOOKUP( D1,[1]PPI09!$B$16:$AU$49, 32,FALSE)</f>
        <v>6.938278333168868E-2</v>
      </c>
      <c r="AD34" s="45"/>
      <c r="AE34" s="44">
        <f xml:space="preserve"> VLOOKUP( D1,[1]PPI09!$B$16:$AU$49, 36,FALSE)</f>
        <v>0.44735949164044664</v>
      </c>
      <c r="AF34" s="44">
        <f xml:space="preserve"> VLOOKUP( D1,[1]PPI09!$B$16:$AU$49, 37,FALSE)</f>
        <v>0.52040241280707977</v>
      </c>
      <c r="AG34" s="63"/>
      <c r="AH34" s="44">
        <f xml:space="preserve"> VLOOKUP( D1,[1]PPI09!$B$16:$AU$49, 40,FALSE)</f>
        <v>-0.14035853671898935</v>
      </c>
      <c r="AI34" s="45"/>
      <c r="AJ34" s="63"/>
      <c r="AK34" s="45"/>
    </row>
    <row r="35" spans="1:37" ht="21" customHeight="1" thickBot="1" x14ac:dyDescent="0.3">
      <c r="A35" s="175"/>
      <c r="B35" s="100" t="s">
        <v>275</v>
      </c>
      <c r="C35" s="101" t="str">
        <f>VLOOKUP(B35,[1]IndiceIndicadores!$B$6:$N$75,3,FALSE)</f>
        <v>Optimizar el proceso de entrega y distribución</v>
      </c>
      <c r="D35" s="101" t="str">
        <f>VLOOKUP(B35,[1]IndiceIndicadores!$B$6:$N$75,2,FALSE)</f>
        <v>% pedidos perfectos (óptimos)</v>
      </c>
      <c r="E35" s="101" t="str">
        <f>VLOOKUP(B35,[1]IndiceIndicadores!$B$6:$N$75,8,FALSE)</f>
        <v>Mario Del Aguila</v>
      </c>
      <c r="F35" s="101" t="str">
        <f>VLOOKUP(B35,[1]IndiceIndicadores!$B$6:$N$75,9,FALSE)</f>
        <v>Juan Carlos Huaman</v>
      </c>
      <c r="G35" s="101" t="str">
        <f>VLOOKUP(B35,[1]IndiceIndicadores!$B$6:$N$75,6,FALSE)</f>
        <v>PP=Nº Pedidos entregados a tiempo y completos/Nº Pedidos entregados*100</v>
      </c>
      <c r="H35" s="189"/>
      <c r="I35" s="35" t="str">
        <f>VLOOKUP(B35,[1]IndiceIndicadores!$B$6:$N$75,4,FALSE)</f>
        <v>%</v>
      </c>
      <c r="J35" s="36">
        <f>VLOOKUP(D1,[1]PPI11!B13:T46,6,FALSE)</f>
        <v>0.90000000000000036</v>
      </c>
      <c r="K35" s="35"/>
      <c r="L35" s="35"/>
      <c r="M35" s="36">
        <f>VLOOKUP(D1,[1]PPI11!B13:T46,7,FALSE)</f>
        <v>0.80000000000000071</v>
      </c>
      <c r="N35" s="37">
        <f>VLOOKUP(D1,[1]PPI11!B13:T46,2,FALSE)</f>
        <v>0.97115384615384615</v>
      </c>
      <c r="O35" s="38" t="str">
        <f t="shared" si="8"/>
        <v>g</v>
      </c>
      <c r="P35" s="39" t="str">
        <f t="shared" si="7"/>
        <v/>
      </c>
      <c r="Q35" s="40" t="str">
        <f t="shared" si="9"/>
        <v/>
      </c>
      <c r="R35" s="41">
        <f>VLOOKUP(D1,[1]PPI11!B13:T46,18,FALSE)</f>
        <v>0.90000000000000036</v>
      </c>
      <c r="S35" s="41"/>
      <c r="T35" s="41"/>
      <c r="U35" s="41">
        <f>VLOOKUP(D1,[1]PPI11!B13:T46,19,FALSE)</f>
        <v>0.80000000000000071</v>
      </c>
      <c r="V35" s="42">
        <f>VLOOKUP(D1,[1]PPI11!B13:T46,14,FALSE)</f>
        <v>0.91313432835820896</v>
      </c>
      <c r="W35" s="38" t="str">
        <f t="shared" si="10"/>
        <v>g</v>
      </c>
      <c r="X35" s="39" t="str">
        <f t="shared" si="1"/>
        <v/>
      </c>
      <c r="Y35" s="40" t="str">
        <f t="shared" si="11"/>
        <v/>
      </c>
      <c r="Z35" s="44">
        <f xml:space="preserve"> VLOOKUP( D1,[1]PPI11!$AB$16:$AQ$49,  2,FALSE)</f>
        <v>0.60312500000000002</v>
      </c>
      <c r="AA35" s="44">
        <f xml:space="preserve"> VLOOKUP( D1,[1]PPI11!$AB$16:$AQ$49,  3,FALSE)</f>
        <v>0.97115384615384615</v>
      </c>
      <c r="AB35" s="63"/>
      <c r="AC35" s="45">
        <f xml:space="preserve"> VLOOKUP( D1,[1]PPI11!$AB$16:$AQ$49,  6,FALSE)</f>
        <v>0.61020326823435633</v>
      </c>
      <c r="AD35" s="45"/>
      <c r="AE35" s="44">
        <f xml:space="preserve"> VLOOKUP( D1,[1]PPI11!$AB$16:$AQ$49, 10,FALSE)</f>
        <v>0.73457675753228124</v>
      </c>
      <c r="AF35" s="44">
        <f xml:space="preserve"> VLOOKUP( D1,[1]PPI11!$AB$16:$AQ$49,  11,FALSE)</f>
        <v>0.91313432835820896</v>
      </c>
      <c r="AG35" s="63"/>
      <c r="AH35" s="91">
        <f xml:space="preserve"> VLOOKUP( D1,[1]PPI11!$AB$16:$AQ$49,  14,FALSE)</f>
        <v>0.24307544309701479</v>
      </c>
      <c r="AI35" s="45"/>
      <c r="AJ35" s="63"/>
      <c r="AK35" s="45"/>
    </row>
    <row r="36" spans="1:37" ht="21" customHeight="1" thickBot="1" x14ac:dyDescent="0.3">
      <c r="A36" s="175"/>
      <c r="B36" s="100" t="s">
        <v>276</v>
      </c>
      <c r="C36" s="176"/>
      <c r="D36" s="101" t="str">
        <f>VLOOKUP(B36,[1]IndiceIndicadores!$B$6:$N$75,2,FALSE)</f>
        <v>Ordenes Perfectas</v>
      </c>
      <c r="E36" s="101" t="str">
        <f>VLOOKUP(B36,[1]IndiceIndicadores!$B$6:$N$75,8,FALSE)</f>
        <v>Gustavo Gómez Sánchez</v>
      </c>
      <c r="F36" s="101" t="str">
        <f>VLOOKUP(B36,[1]IndiceIndicadores!$B$6:$N$75,9,FALSE)</f>
        <v>Praxedes Espejo</v>
      </c>
      <c r="G36" s="101" t="str">
        <f>VLOOKUP(B36,[1]IndiceIndicadores!$B$6:$N$75,6,FALSE)</f>
        <v>Ordenes Perfectas</v>
      </c>
      <c r="H36" s="189"/>
      <c r="I36" s="35" t="str">
        <f>VLOOKUP(B36,[1]IndiceIndicadores!$B$6:$N$75,4,FALSE)</f>
        <v>%</v>
      </c>
      <c r="J36" s="36" t="str">
        <f>VLOOKUP(D1,'[1]PPI11-B'!B13:T46,8,FALSE)</f>
        <v/>
      </c>
      <c r="K36" s="35"/>
      <c r="L36" s="35"/>
      <c r="M36" s="36" t="str">
        <f>VLOOKUP(D1,'[1]PPI11-B'!B13:T46,9,FALSE)</f>
        <v/>
      </c>
      <c r="N36" s="37" t="str">
        <f>VLOOKUP(D1,'[1]PPI11-B'!B13:T46,4,FALSE)</f>
        <v/>
      </c>
      <c r="O36" s="38" t="str">
        <f>IF(N36="","",IF(N36&gt;J36,"g",""))</f>
        <v/>
      </c>
      <c r="P36" s="39" t="str">
        <f t="shared" si="7"/>
        <v/>
      </c>
      <c r="Q36" s="40" t="str">
        <f>IF(N36="","",IF(N36&lt;M36,"g",""))</f>
        <v/>
      </c>
      <c r="R36" s="41" t="str">
        <f>VLOOKUP(D1,'[1]PPI11-B'!B13:T46,14,FALSE)</f>
        <v/>
      </c>
      <c r="S36" s="41"/>
      <c r="T36" s="41"/>
      <c r="U36" s="41" t="str">
        <f>VLOOKUP(D1,'[1]PPI11-B'!B13:T46,15,FALSE)</f>
        <v/>
      </c>
      <c r="V36" s="42" t="str">
        <f>VLOOKUP(D1,'[1]PPI11-B'!B13:T46,10,FALSE)</f>
        <v/>
      </c>
      <c r="W36" s="38" t="str">
        <f>IF(V36="","",IF(V36&gt;R36,"g",""))</f>
        <v/>
      </c>
      <c r="X36" s="39" t="str">
        <f>IF(V36="","",IF(V36&lt;=R36,IF(V36&gt;=U36,"g",""),""))</f>
        <v/>
      </c>
      <c r="Y36" s="40" t="str">
        <f>IF(V36="","",IF(V36&lt;U36,"g",""))</f>
        <v/>
      </c>
      <c r="Z36" s="44">
        <f xml:space="preserve"> VLOOKUP( D1, '[1]PPI11-B'!$R13:$AR$52, 3,FALSE)</f>
        <v>0</v>
      </c>
      <c r="AA36" s="44" t="str">
        <f xml:space="preserve"> VLOOKUP( D1, '[1]PPI11-B'!$R13:$AR$52, 4,FALSE)</f>
        <v/>
      </c>
      <c r="AB36" s="63"/>
      <c r="AC36" s="45" t="str">
        <f xml:space="preserve"> VLOOKUP( D1, '[1]PPI11-B'!$R13:$AR$52, 7,FALSE)</f>
        <v/>
      </c>
      <c r="AD36" s="45"/>
      <c r="AE36" s="44">
        <f xml:space="preserve"> VLOOKUP( D1, '[1]PPI11-B'!$R13:$AR$52, 19,FALSE)</f>
        <v>0</v>
      </c>
      <c r="AF36" s="44" t="str">
        <f xml:space="preserve"> VLOOKUP( D1, '[1]PPI11-B'!$R13:$AR$52, 20,FALSE)</f>
        <v/>
      </c>
      <c r="AG36" s="63"/>
      <c r="AH36" s="91" t="str">
        <f xml:space="preserve"> VLOOKUP( D1, '[1]PPI11-B'!$R13:$AR$52, 23,FALSE)</f>
        <v/>
      </c>
      <c r="AI36" s="45"/>
      <c r="AJ36" s="63"/>
      <c r="AK36" s="45"/>
    </row>
    <row r="37" spans="1:37" ht="21" customHeight="1" thickBot="1" x14ac:dyDescent="0.3">
      <c r="A37" s="175"/>
      <c r="B37" s="100" t="s">
        <v>277</v>
      </c>
      <c r="C37" s="101" t="str">
        <f>VLOOKUP(B37,[1]IndiceIndicadores!$B$6:$N$75,3,FALSE)</f>
        <v>Reducir defectos</v>
      </c>
      <c r="D37" s="101" t="str">
        <f>VLOOKUP(B37,[1]IndiceIndicadores!$B$6:$N$75,2,FALSE)</f>
        <v>Porcentaje de productos defectuosos (% reproceso )</v>
      </c>
      <c r="E37" s="101" t="str">
        <f>VLOOKUP(B37,[1]IndiceIndicadores!$B$6:$N$75,8,FALSE)</f>
        <v>Miguel Torres</v>
      </c>
      <c r="F37" s="101" t="str">
        <f>VLOOKUP(B37,[1]IndiceIndicadores!$B$6:$N$75,9,FALSE)</f>
        <v>Miguel Torres</v>
      </c>
      <c r="G37" s="101" t="str">
        <f>VLOOKUP(B37,[1]IndiceIndicadores!$B$6:$N$75,6,FALSE)</f>
        <v>% Reproceso= Producto reproceso/Producto total * 100%</v>
      </c>
      <c r="H37" s="189"/>
      <c r="I37" s="35" t="str">
        <f>VLOOKUP(B37,[1]IndiceIndicadores!$B$6:$N$75,4,FALSE)</f>
        <v>%</v>
      </c>
      <c r="J37" s="110">
        <f xml:space="preserve"> VLOOKUP( D1,  [1]PPI2!$B$16:$AB$49, 8,FALSE)</f>
        <v>0.02</v>
      </c>
      <c r="K37" s="110"/>
      <c r="L37" s="110"/>
      <c r="M37" s="36">
        <f xml:space="preserve"> VLOOKUP( D1,  [1]PPI2!$B$16:$AB$49, 9,FALSE)</f>
        <v>0.01</v>
      </c>
      <c r="N37" s="37">
        <f xml:space="preserve"> VLOOKUP( D1,  [1]PPI2!$B$16:$AB$49, 4,FALSE)</f>
        <v>0</v>
      </c>
      <c r="O37" s="38" t="str">
        <f>IF(N37="","",IF(N37&lt;M37,"g",""))</f>
        <v>g</v>
      </c>
      <c r="P37" s="39" t="str">
        <f t="shared" si="7"/>
        <v/>
      </c>
      <c r="Q37" s="40" t="str">
        <f>IF(N37="","",IF(N37&gt;J37,"g",""))</f>
        <v/>
      </c>
      <c r="R37" s="41">
        <f xml:space="preserve"> VLOOKUP( D1,  [1]PPI2!$B$16:$AB$49, 20,FALSE)</f>
        <v>0.02</v>
      </c>
      <c r="S37" s="41"/>
      <c r="T37" s="41"/>
      <c r="U37" s="41">
        <f xml:space="preserve"> VLOOKUP( D1,  [1]PPI2!$B$16:$AB$49, 21,FALSE)</f>
        <v>0.01</v>
      </c>
      <c r="V37" s="42">
        <f xml:space="preserve"> VLOOKUP( D1,  [1]PPI2!$B$16:$AB$49, 16,FALSE)</f>
        <v>5.3267677565856783E-3</v>
      </c>
      <c r="W37" s="38" t="str">
        <f>IF(V37="","",IF(V37&lt;U37,"g",""))</f>
        <v>g</v>
      </c>
      <c r="X37" s="39" t="str">
        <f t="shared" si="1"/>
        <v/>
      </c>
      <c r="Y37" s="40" t="str">
        <f>IF(V37="","",IF(V37&gt;R37,"g",""))</f>
        <v/>
      </c>
      <c r="Z37" s="44">
        <f xml:space="preserve"> VLOOKUP( D1,[1]PPI2!AD13:BM49, 3,FALSE)</f>
        <v>0</v>
      </c>
      <c r="AA37" s="91">
        <f xml:space="preserve"> VLOOKUP( D1,[1]PPI2!AD13:BM49, 4,FALSE)</f>
        <v>0</v>
      </c>
      <c r="AB37" s="91"/>
      <c r="AC37" s="44">
        <f xml:space="preserve"> VLOOKUP( D1,[1]PPI2!AD13:BM49, 6,FALSE)</f>
        <v>0</v>
      </c>
      <c r="AD37" s="91"/>
      <c r="AE37" s="44">
        <f xml:space="preserve"> VLOOKUP( D1,[1]PPI2!AD13:BM49, 19,FALSE)</f>
        <v>0</v>
      </c>
      <c r="AF37" s="44">
        <f xml:space="preserve"> VLOOKUP( D1,[1]PPI2!AD13:BM49, 20,FALSE)</f>
        <v>5.3267677565856783E-3</v>
      </c>
      <c r="AG37" s="91"/>
      <c r="AH37" s="91" t="str">
        <f xml:space="preserve"> VLOOKUP( D1,[1]PPI2!AD13:BM49, 23,FALSE)</f>
        <v/>
      </c>
      <c r="AI37" s="45"/>
      <c r="AJ37" s="63"/>
      <c r="AK37" s="45"/>
    </row>
    <row r="38" spans="1:37" ht="21" customHeight="1" thickBot="1" x14ac:dyDescent="0.3">
      <c r="A38" s="175"/>
      <c r="B38" s="100" t="s">
        <v>278</v>
      </c>
      <c r="C38" s="176"/>
      <c r="D38" s="101" t="str">
        <f>VLOOKUP(B38,[1]IndiceIndicadores!$B$6:$N$75,2,FALSE)</f>
        <v>Porcentaje de productos defectuosos   (% de defectuoso)</v>
      </c>
      <c r="E38" s="101" t="str">
        <f>VLOOKUP(B38,[1]IndiceIndicadores!$B$6:$N$75,8,FALSE)</f>
        <v>Miguel Torres</v>
      </c>
      <c r="F38" s="101" t="str">
        <f>VLOOKUP(B38,[1]IndiceIndicadores!$B$6:$N$75,9,FALSE)</f>
        <v>Miguel Torres</v>
      </c>
      <c r="G38" s="101" t="str">
        <f>VLOOKUP(B38,[1]IndiceIndicadores!$B$6:$N$75,6,FALSE)</f>
        <v>% Desecho= Producto defectos/Producto total * 100%</v>
      </c>
      <c r="H38" s="189"/>
      <c r="I38" s="35" t="str">
        <f>VLOOKUP(B38,[1]IndiceIndicadores!$B$6:$N$75,4,FALSE)</f>
        <v>%</v>
      </c>
      <c r="J38" s="110">
        <f xml:space="preserve"> VLOOKUP( D1,  [1]PPI2!$B$16:$AB$49, 14,FALSE)</f>
        <v>0.02</v>
      </c>
      <c r="K38" s="110"/>
      <c r="L38" s="110"/>
      <c r="M38" s="36">
        <f xml:space="preserve"> VLOOKUP( D1,  [1]PPI2!$B$16:$AB$49, 15,FALSE)</f>
        <v>0.01</v>
      </c>
      <c r="N38" s="37">
        <f xml:space="preserve"> VLOOKUP( D1,  [1]PPI2!$B$16:$AB$49, 10,FALSE)</f>
        <v>7.297201558625576E-3</v>
      </c>
      <c r="O38" s="38" t="str">
        <f>IF(N38="","",IF(N38&lt;M38,"g",""))</f>
        <v>g</v>
      </c>
      <c r="P38" s="39" t="str">
        <f t="shared" si="7"/>
        <v/>
      </c>
      <c r="Q38" s="40" t="str">
        <f>IF(N38="","",IF(N38&gt;J38,"g",""))</f>
        <v/>
      </c>
      <c r="R38" s="108">
        <f xml:space="preserve"> VLOOKUP( D1,  [1]PPI2!$B$16:$AB$49, 26,FALSE)</f>
        <v>0.02</v>
      </c>
      <c r="S38" s="108"/>
      <c r="T38" s="108"/>
      <c r="U38" s="108">
        <f xml:space="preserve"> VLOOKUP( D1,  [1]PPI2!$B$16:$AB$49, 27,FALSE)</f>
        <v>0.01</v>
      </c>
      <c r="V38" s="42">
        <f xml:space="preserve"> VLOOKUP( D1,  [1]PPI2!$B$16:$AB$49, 22,FALSE)</f>
        <v>4.4880990007536894E-3</v>
      </c>
      <c r="W38" s="38" t="str">
        <f>IF(V38="","",IF(V38&lt;U38,"g",""))</f>
        <v>g</v>
      </c>
      <c r="X38" s="39" t="str">
        <f t="shared" si="1"/>
        <v/>
      </c>
      <c r="Y38" s="40" t="str">
        <f>IF(V38="","",IF(V38&gt;R38,"g",""))</f>
        <v/>
      </c>
      <c r="Z38" s="91">
        <f xml:space="preserve"> VLOOKUP( D1,[1]PPI2!AD13:BM49, 11,FALSE)</f>
        <v>0</v>
      </c>
      <c r="AA38" s="91">
        <f xml:space="preserve"> VLOOKUP( D1,[1]PPI2!AD13:BM49, 12,FALSE)</f>
        <v>7.297201558625576E-3</v>
      </c>
      <c r="AB38" s="91"/>
      <c r="AC38" s="91" t="str">
        <f xml:space="preserve"> VLOOKUP( D1,[1]PPI2!AD13:BM49, 15,FALSE)</f>
        <v/>
      </c>
      <c r="AD38" s="91"/>
      <c r="AE38" s="91">
        <f xml:space="preserve"> VLOOKUP( D1,[1]PPI2!AD13:BM49, 28,FALSE)</f>
        <v>0</v>
      </c>
      <c r="AF38" s="91">
        <f xml:space="preserve"> VLOOKUP( D1,[1]PPI2!AD13:BM49, 29,FALSE)</f>
        <v>4.4880990007536894E-3</v>
      </c>
      <c r="AG38" s="91"/>
      <c r="AH38" s="91" t="str">
        <f xml:space="preserve"> VLOOKUP( D1,[1]PPI2!AD13:BM49, 32,FALSE)</f>
        <v/>
      </c>
      <c r="AI38" s="45"/>
      <c r="AJ38" s="63"/>
      <c r="AK38" s="45"/>
    </row>
    <row r="39" spans="1:37" ht="21" customHeight="1" thickBot="1" x14ac:dyDescent="0.3">
      <c r="A39" s="175"/>
      <c r="B39" s="100" t="s">
        <v>279</v>
      </c>
      <c r="C39" s="101" t="str">
        <f>VLOOKUP(B39,[1]IndiceIndicadores!$B$6:$N$75,3,FALSE)</f>
        <v>Ser eficiente en el uso de los recursos</v>
      </c>
      <c r="D39" s="101" t="str">
        <f>VLOOKUP(B39,[1]IndiceIndicadores!$B$6:$N$75,2,FALSE)</f>
        <v>Productividad de la mano de obra</v>
      </c>
      <c r="E39" s="101" t="str">
        <f>VLOOKUP(B39,[1]IndiceIndicadores!$B$6:$N$75,8,FALSE)</f>
        <v>Miguel Torres</v>
      </c>
      <c r="F39" s="101" t="str">
        <f>VLOOKUP(B39,[1]IndiceIndicadores!$B$6:$N$75,9,FALSE)</f>
        <v>Miguel Torres</v>
      </c>
      <c r="G39" s="101" t="str">
        <f>VLOOKUP(B39,[1]IndiceIndicadores!$B$6:$N$75,6,FALSE)</f>
        <v>Productividad MO= KgPT/H-H</v>
      </c>
      <c r="H39" s="189"/>
      <c r="I39" s="35" t="str">
        <f>VLOOKUP(B39,[1]IndiceIndicadores!$B$6:$N$75,4,FALSE)</f>
        <v>kg/hr-h</v>
      </c>
      <c r="J39" s="71">
        <f>VLOOKUP(D1,[1]PPI31!B13:V46,8,FALSE)</f>
        <v>85</v>
      </c>
      <c r="K39" s="67"/>
      <c r="L39" s="67"/>
      <c r="M39" s="71">
        <f>VLOOKUP(D1,[1]PPI31!B13:V46,9,FALSE)</f>
        <v>80</v>
      </c>
      <c r="N39" s="56">
        <f>VLOOKUP(D1,[1]PPI31!B13:V46,4,FALSE)</f>
        <v>174.21025987798771</v>
      </c>
      <c r="O39" s="38" t="str">
        <f>IF(N39="","",IF(N39&gt;J39,"g",""))</f>
        <v>g</v>
      </c>
      <c r="P39" s="39" t="str">
        <f t="shared" si="7"/>
        <v/>
      </c>
      <c r="Q39" s="40" t="str">
        <f>IF(N39="","",IF(N39&lt;M39,"g",""))</f>
        <v/>
      </c>
      <c r="R39" s="111">
        <f>VLOOKUP(D1,[1]PPI31!B13:V46,14,FALSE)</f>
        <v>85</v>
      </c>
      <c r="S39" s="112"/>
      <c r="T39" s="112"/>
      <c r="U39" s="111">
        <f>VLOOKUP(D1,[1]PPI31!B13:V46,15,FALSE)</f>
        <v>80</v>
      </c>
      <c r="V39" s="56">
        <f>VLOOKUP(D1,[1]PPI31!B13:V46,10,FALSE)</f>
        <v>138.19419796151436</v>
      </c>
      <c r="W39" s="38" t="str">
        <f>IF(V39="","",IF(V39&gt;R39,"g",""))</f>
        <v>g</v>
      </c>
      <c r="X39" s="39" t="str">
        <f>IF(V39="","",IF(V39&lt;=R39,IF(V39&gt;=U39,"g",""),""))</f>
        <v/>
      </c>
      <c r="Y39" s="40" t="str">
        <f>IF(V39="","",IF(V39&lt;U39,"g",""))</f>
        <v/>
      </c>
      <c r="Z39" s="60">
        <f xml:space="preserve"> VLOOKUP( D1, [1]PPI31!$R$16:$AR$52,  3,FALSE)</f>
        <v>121.89901738452743</v>
      </c>
      <c r="AA39" s="60">
        <f xml:space="preserve"> VLOOKUP( D1, [1]PPI31!$R$16:$AR$52,  4,FALSE)</f>
        <v>174.21025987798771</v>
      </c>
      <c r="AB39" s="63"/>
      <c r="AC39" s="45">
        <f xml:space="preserve"> VLOOKUP( D1, [1]PPI31!$R$16:$AR$52,  7,FALSE)</f>
        <v>0.42913588325692387</v>
      </c>
      <c r="AD39" s="45"/>
      <c r="AE39" s="60">
        <f xml:space="preserve"> VLOOKUP( D1, [1]PPI31!$R$16:$AR$52,  19,FALSE)</f>
        <v>122.4411859480072</v>
      </c>
      <c r="AF39" s="60">
        <f xml:space="preserve"> VLOOKUP( D1, [1]PPI31!$R$16:$AR$52,  20,FALSE)</f>
        <v>138.19419796151436</v>
      </c>
      <c r="AG39" s="63"/>
      <c r="AH39" s="44">
        <f xml:space="preserve"> VLOOKUP( D1, [1]PPI31!$R$16:$AR$52,  23,FALSE)</f>
        <v>0.12865778693287444</v>
      </c>
      <c r="AI39" s="45"/>
      <c r="AJ39" s="63"/>
      <c r="AK39" s="45"/>
    </row>
    <row r="40" spans="1:37" ht="21" customHeight="1" thickBot="1" x14ac:dyDescent="0.3">
      <c r="A40" s="175"/>
      <c r="B40" s="100" t="s">
        <v>280</v>
      </c>
      <c r="C40" s="177"/>
      <c r="D40" s="101" t="str">
        <f>VLOOKUP(B40,[1]IndiceIndicadores!$B$6:$N$75,2,FALSE)</f>
        <v>Eficiencia de materiales (por linea)</v>
      </c>
      <c r="E40" s="101" t="str">
        <f>VLOOKUP(B40,[1]IndiceIndicadores!$B$6:$N$75,8,FALSE)</f>
        <v>Miguel Torres</v>
      </c>
      <c r="F40" s="101" t="str">
        <f>VLOOKUP(B40,[1]IndiceIndicadores!$B$6:$N$75,9,FALSE)</f>
        <v>Miguel Torres</v>
      </c>
      <c r="G40" s="101" t="str">
        <f>VLOOKUP(B40,[1]IndiceIndicadores!$B$6:$N$75,6,FALSE)</f>
        <v>EM= PT/MP * 100%</v>
      </c>
      <c r="H40" s="189"/>
      <c r="I40" s="35" t="str">
        <f>VLOOKUP(B40,[1]IndiceIndicadores!$B$6:$N$75,4,FALSE)</f>
        <v>%</v>
      </c>
      <c r="J40" s="36">
        <f>VLOOKUP(D1,[1]PPI4!B13:V46,8,FALSE)</f>
        <v>0.99</v>
      </c>
      <c r="K40" s="113"/>
      <c r="L40" s="113"/>
      <c r="M40" s="36">
        <f>VLOOKUP(D1,[1]PPI4!B13:V46,9,FALSE)</f>
        <v>0.96</v>
      </c>
      <c r="N40" s="37">
        <f>VLOOKUP(D1,[1]PPI4!B13:V46,4,FALSE)</f>
        <v>0.99367056735738524</v>
      </c>
      <c r="O40" s="38" t="str">
        <f>IF(N40="","",IF(N40&gt;J40,"g",""))</f>
        <v>g</v>
      </c>
      <c r="P40" s="39" t="str">
        <f t="shared" si="7"/>
        <v/>
      </c>
      <c r="Q40" s="40" t="str">
        <f>IF(N40="","",IF(N40&lt;M40,"g",""))</f>
        <v/>
      </c>
      <c r="R40" s="41">
        <f>VLOOKUP(D1,[1]PPI4!B13:V46,14,FALSE)</f>
        <v>0.99</v>
      </c>
      <c r="S40" s="108"/>
      <c r="T40" s="108"/>
      <c r="U40" s="41">
        <f>VLOOKUP(D1,[1]PPI4!B13:V46,9,FALSE)</f>
        <v>0.96</v>
      </c>
      <c r="V40" s="42">
        <f>VLOOKUP(D1,[1]PPI4!B13:V46,10,FALSE)</f>
        <v>0.95939675550605086</v>
      </c>
      <c r="W40" s="38" t="str">
        <f>IF(V40="","",IF(V40&gt;R40,"g",""))</f>
        <v/>
      </c>
      <c r="X40" s="39" t="str">
        <f>IF(V40="","",IF(V40&lt;=R40,IF(V40&gt;=U40,"g",""),""))</f>
        <v/>
      </c>
      <c r="Y40" s="40" t="str">
        <f>IF(V40="","",IF(V40&lt;U40,"g",""))</f>
        <v>g</v>
      </c>
      <c r="Z40" s="44">
        <f xml:space="preserve"> VLOOKUP( D1, [1]PPI4!$R$16:$AR$51,  3,FALSE)</f>
        <v>0</v>
      </c>
      <c r="AA40" s="44">
        <f xml:space="preserve"> VLOOKUP( D1, [1]PPI4!$R$16:$AR$51,  4,FALSE)</f>
        <v>0.99367056735738524</v>
      </c>
      <c r="AB40" s="63"/>
      <c r="AC40" s="45" t="str">
        <f xml:space="preserve"> VLOOKUP( D1, [1]PPI4!$R$16:$AR$51,  7,FALSE)</f>
        <v/>
      </c>
      <c r="AD40" s="45"/>
      <c r="AE40" s="44">
        <f xml:space="preserve"> VLOOKUP( D1, [1]PPI4!$R$16:$AR$51,  19,FALSE)</f>
        <v>0</v>
      </c>
      <c r="AF40" s="44">
        <f xml:space="preserve"> VLOOKUP( D1, [1]PPI4!$R$16:$AR$51, 20,FALSE)</f>
        <v>0.95939675550605086</v>
      </c>
      <c r="AG40" s="63"/>
      <c r="AH40" s="91" t="str">
        <f xml:space="preserve"> VLOOKUP( D1, [1]PPI4!$R$16:$AR$51,  23,FALSE)</f>
        <v/>
      </c>
      <c r="AI40" s="45"/>
      <c r="AJ40" s="63"/>
      <c r="AK40" s="45"/>
    </row>
    <row r="41" spans="1:37" ht="21" customHeight="1" thickBot="1" x14ac:dyDescent="0.3">
      <c r="A41" s="175"/>
      <c r="B41" s="100" t="s">
        <v>281</v>
      </c>
      <c r="C41" s="177"/>
      <c r="D41" s="101" t="str">
        <f>VLOOKUP(B41,[1]IndiceIndicadores!$B$6:$N$75,2,FALSE)</f>
        <v>Cobertura de inventarios MP</v>
      </c>
      <c r="E41" s="101" t="str">
        <f>VLOOKUP(B41,[1]IndiceIndicadores!$B$6:$N$75,8,FALSE)</f>
        <v>Francisco Vásquez</v>
      </c>
      <c r="F41" s="101" t="str">
        <f>VLOOKUP(B41,[1]IndiceIndicadores!$B$6:$N$75,9,FALSE)</f>
        <v>Carlos Bardales</v>
      </c>
      <c r="G41" s="101" t="str">
        <f>VLOOKUP(B41,[1]IndiceIndicadores!$B$6:$N$75,6,FALSE)</f>
        <v>Valor de Stock Medio  /  Valor Total de Consumo Producción</v>
      </c>
      <c r="H41" s="189"/>
      <c r="I41" s="35" t="str">
        <f>VLOOKUP(B41,[1]IndiceIndicadores!$B$6:$N$75,4,FALSE)</f>
        <v>Meses</v>
      </c>
      <c r="J41" s="114">
        <f>VLOOKUP(D1,[1]PPI5MT!B13:AD46,10,FALSE)</f>
        <v>3.5</v>
      </c>
      <c r="K41" s="71">
        <f>VLOOKUP(D1,[1]PPI5MT!B13:AD46,11,FALSE)</f>
        <v>3</v>
      </c>
      <c r="L41" s="71">
        <f>VLOOKUP(D1,[1]PPI5MT!B13:AD46,12,FALSE)</f>
        <v>2</v>
      </c>
      <c r="M41" s="71">
        <f>VLOOKUP(D1,[1]PPI5MT!B13:AD46,13,FALSE)</f>
        <v>1</v>
      </c>
      <c r="N41" s="56">
        <f>VLOOKUP(D1,[1]PPI5MT!B13:AD46,4,FALSE)</f>
        <v>3.7929379367791447</v>
      </c>
      <c r="O41" s="38" t="str">
        <f>IF(N41="","",IF(N41&lt;=K41,IF(N41&gt;=L41,"g",""),"")      )</f>
        <v/>
      </c>
      <c r="P41" s="39" t="str">
        <f>IF(N41&gt;K41,IF(N41&lt;J41,"g",""),IF(N41&lt;L41,IF(N41&gt;M41,"g",""),""  ))</f>
        <v/>
      </c>
      <c r="Q41" s="40" t="str">
        <f>IF(N41="","",    IF(N41&gt;=J41,"g", IF(N41&lt;=M41,"g",""))     )</f>
        <v>g</v>
      </c>
      <c r="R41" s="111">
        <f>VLOOKUP(D1,[1]PPI5MT!B13:AD46,20,FALSE)</f>
        <v>3.5</v>
      </c>
      <c r="S41" s="111">
        <f>VLOOKUP(D1,[1]PPI5MT!B13:AD46,21,FALSE)</f>
        <v>3</v>
      </c>
      <c r="T41" s="111">
        <f>VLOOKUP(D1,[1]PPI5MT!B13:AD46,22,FALSE)</f>
        <v>2</v>
      </c>
      <c r="U41" s="111">
        <f>VLOOKUP(D1,[1]PPI5MT!B13:AD46,23,FALSE)</f>
        <v>1</v>
      </c>
      <c r="V41" s="56">
        <f>VLOOKUP(D1,[1]PPI5MT!B13:AD46,14,FALSE)</f>
        <v>3.5280966513273255</v>
      </c>
      <c r="W41" s="38" t="str">
        <f>IF(V41="","",IF(V41&lt;=S41,IF(V41&gt;=T41,"g",""),"")      )</f>
        <v/>
      </c>
      <c r="X41" s="39" t="str">
        <f>IF(V41&gt;S41,IF(V41&lt;R41,"g",""),IF(V41&lt;T41,IF(V41&gt;U41,"g",""),""  ))</f>
        <v/>
      </c>
      <c r="Y41" s="40" t="str">
        <f>IF(V41="","",    IF(V41&gt;=R41,"g", IF(V41&lt;=U41,"g",""))     )</f>
        <v>g</v>
      </c>
      <c r="Z41" s="65">
        <f xml:space="preserve"> VLOOKUP( D1, [1]PPI5MT!$Z$16:$AZ$52,  3,FALSE)</f>
        <v>7960489.7299999893</v>
      </c>
      <c r="AA41" s="65">
        <f xml:space="preserve"> VLOOKUP( D1, [1]PPI5MT!$Z$16:$AZ$52,  4,FALSE)</f>
        <v>9937199.0599999726</v>
      </c>
      <c r="AB41" s="63"/>
      <c r="AC41" s="44">
        <f xml:space="preserve"> VLOOKUP( D1, [1]PPI5MT!$Z$16:$AZ$52,  7,FALSE)</f>
        <v>0.24831504053708331</v>
      </c>
      <c r="AD41" s="45"/>
      <c r="AE41" s="65">
        <f xml:space="preserve"> VLOOKUP( D1, [1]PPI5MT!$Z$16:$AZ$52,  19,FALSE)</f>
        <v>88226982.109999999</v>
      </c>
      <c r="AF41" s="65">
        <f xml:space="preserve"> VLOOKUP( D1, [1]PPI5MT!$Z$16:$AZ$52,  20,FALSE)</f>
        <v>106467313.84999998</v>
      </c>
      <c r="AG41" s="63"/>
      <c r="AH41" s="44">
        <f xml:space="preserve"> VLOOKUP( D1, [1]PPI5MT!$Z$16:$AZ$52,  23,FALSE)</f>
        <v>0.20674323550201712</v>
      </c>
      <c r="AI41" s="45"/>
      <c r="AJ41" s="63"/>
      <c r="AK41" s="45"/>
    </row>
    <row r="42" spans="1:37" ht="21" customHeight="1" thickBot="1" x14ac:dyDescent="0.3">
      <c r="A42" s="175"/>
      <c r="B42" s="100" t="s">
        <v>282</v>
      </c>
      <c r="C42" s="177"/>
      <c r="D42" s="101" t="str">
        <f>VLOOKUP(B42,[1]IndiceIndicadores!$B$6:$N$75,2,FALSE)</f>
        <v>Cobertura de inventarios MERCADERIA</v>
      </c>
      <c r="E42" s="101" t="str">
        <f>VLOOKUP(B42,[1]IndiceIndicadores!$B$6:$N$75,8,FALSE)</f>
        <v>Francisco Vásquez</v>
      </c>
      <c r="F42" s="101" t="str">
        <f>VLOOKUP(B42,[1]IndiceIndicadores!$B$6:$N$75,9,FALSE)</f>
        <v>Carlos Bardales</v>
      </c>
      <c r="G42" s="101" t="str">
        <f>VLOOKUP(B42,[1]IndiceIndicadores!$B$6:$N$75,6,FALSE)</f>
        <v>Valor de Stock Medio  /  Valor Total de Venta</v>
      </c>
      <c r="H42" s="189"/>
      <c r="I42" s="35" t="str">
        <f>VLOOKUP(B42,[1]IndiceIndicadores!$B$6:$N$75,4,FALSE)</f>
        <v>Meses</v>
      </c>
      <c r="J42" s="71">
        <f>VLOOKUP(D1,[1]PPI5MERC!B13:AD46,10,FALSE)</f>
        <v>3.5</v>
      </c>
      <c r="K42" s="71">
        <f>VLOOKUP(D1,[1]PPI5MERC!B13:AD46,11,FALSE)</f>
        <v>3</v>
      </c>
      <c r="L42" s="71">
        <f>VLOOKUP(D1,[1]PPI5MERC!B13:AD46,12,FALSE)</f>
        <v>2</v>
      </c>
      <c r="M42" s="71">
        <f>VLOOKUP(D1,[1]PPI5MERC!B13:AD46,13,FALSE)</f>
        <v>1</v>
      </c>
      <c r="N42" s="56">
        <f>VLOOKUP(D1,[1]PPI5MERC!B13:AD46,4,FALSE)</f>
        <v>4.0454557976488408</v>
      </c>
      <c r="O42" s="38" t="str">
        <f>IF(N42="","",IF(N42&lt;=K42,IF(N42&gt;=L42,"g",""),"")      )</f>
        <v/>
      </c>
      <c r="P42" s="39" t="str">
        <f>IF(N42&gt;K42,IF(N42&lt;J42,"g",""),IF(N42&lt;L42,IF(N42&gt;M42,"g",""),""  ))</f>
        <v/>
      </c>
      <c r="Q42" s="40" t="str">
        <f>IF(N42="","",    IF(N42&gt;=J42,"g", IF(N42&lt;=M42,"g",""))     )</f>
        <v>g</v>
      </c>
      <c r="R42" s="111">
        <f>VLOOKUP(D1,[1]PPI5MERC!B13:AD46,20,FALSE)</f>
        <v>3.5</v>
      </c>
      <c r="S42" s="111">
        <f>VLOOKUP(D1,[1]PPI5MERC!B13:AD46,21,FALSE)</f>
        <v>3</v>
      </c>
      <c r="T42" s="111">
        <f>VLOOKUP(D1,[1]PPI5MERC!B13:AD46,22,FALSE)</f>
        <v>2</v>
      </c>
      <c r="U42" s="111">
        <f>VLOOKUP(D1,[1]PPI5MERC!B13:AD46,23,FALSE)</f>
        <v>1</v>
      </c>
      <c r="V42" s="56">
        <f>VLOOKUP(D1,[1]PPI5MERC!B13:AD46,14,FALSE)</f>
        <v>3.2592985423211598</v>
      </c>
      <c r="W42" s="38" t="str">
        <f>IF(V42="","",IF(V42&lt;=S42,IF(V42&gt;=T42,"g",""),"")      )</f>
        <v/>
      </c>
      <c r="X42" s="39" t="str">
        <f>IF(V42&gt;S42,IF(V42&lt;R42,"g",""),IF(V42&lt;T42,IF(V42&gt;U42,"g",""),""  ))</f>
        <v>g</v>
      </c>
      <c r="Y42" s="40" t="str">
        <f>IF(V42="","",    IF(V42&gt;=R42,"g", IF(V42&lt;=U42,"g",""))     )</f>
        <v/>
      </c>
      <c r="Z42" s="65">
        <f xml:space="preserve"> VLOOKUP( D1, [1]PPI5MERC!$Z$16:$AZ$52,  3,FALSE)</f>
        <v>6830324.0600000024</v>
      </c>
      <c r="AA42" s="65">
        <f xml:space="preserve"> VLOOKUP( D1, [1]PPI5MERC!$Z$16:$AZ$52,  4,FALSE)</f>
        <v>8116660.780000031</v>
      </c>
      <c r="AB42" s="63"/>
      <c r="AC42" s="44">
        <f xml:space="preserve"> VLOOKUP( D1, [1]PPI5MERC!$Z$16:$AZ$52,  7,FALSE)</f>
        <v>0.18832733391569545</v>
      </c>
      <c r="AD42" s="45"/>
      <c r="AE42" s="65">
        <f xml:space="preserve"> VLOOKUP( D1, [1]PPI5MERC!$Z$16:$AZ$52,  19,FALSE)</f>
        <v>61694395.12999998</v>
      </c>
      <c r="AF42" s="65">
        <f xml:space="preserve"> VLOOKUP( D1, [1]PPI5MERC!$Z$16:$AZ$52,  20,FALSE)</f>
        <v>80781979.939000055</v>
      </c>
      <c r="AG42" s="63"/>
      <c r="AH42" s="44">
        <f xml:space="preserve"> VLOOKUP( D1, [1]PPI5MERC!$Z$16:$AZ$52,  23,FALSE)</f>
        <v>0.3093892851818949</v>
      </c>
      <c r="AI42" s="45"/>
      <c r="AJ42" s="63"/>
      <c r="AK42" s="45"/>
    </row>
    <row r="43" spans="1:37" ht="21" customHeight="1" thickBot="1" x14ac:dyDescent="0.3">
      <c r="A43" s="175"/>
      <c r="B43" s="100" t="s">
        <v>283</v>
      </c>
      <c r="C43" s="177"/>
      <c r="D43" s="101" t="str">
        <f>VLOOKUP(B43,[1]IndiceIndicadores!$B$6:$N$75,2,FALSE)</f>
        <v>Cobertura de Inventarios de productos  Terminados</v>
      </c>
      <c r="E43" s="101" t="str">
        <f>VLOOKUP(B43,[1]IndiceIndicadores!$B$6:$N$75,8,FALSE)</f>
        <v>Francisco Vásquez</v>
      </c>
      <c r="F43" s="101" t="str">
        <f>VLOOKUP(B43,[1]IndiceIndicadores!$B$6:$N$75,9,FALSE)</f>
        <v>Carlos Bardales</v>
      </c>
      <c r="G43" s="101" t="str">
        <f>VLOOKUP(B43,[1]IndiceIndicadores!$B$6:$N$75,6,FALSE)</f>
        <v>Inventario  Final  /  Promedio de Ventas</v>
      </c>
      <c r="H43" s="189"/>
      <c r="I43" s="35" t="str">
        <f>VLOOKUP(B43,[1]IndiceIndicadores!$B$6:$N$75,4,FALSE)</f>
        <v>Meses</v>
      </c>
      <c r="J43" s="71">
        <f>VLOOKUP(D1,[1]PPI5PT!B13:AD46,10,FALSE)</f>
        <v>1.1000000000000001</v>
      </c>
      <c r="K43" s="71">
        <f>VLOOKUP(D1,[1]PPI5PT!B13:AD46,11,FALSE)</f>
        <v>0.9</v>
      </c>
      <c r="L43" s="71">
        <f>VLOOKUP(D1,[1]PPI5PT!B13:AD46,12,FALSE)</f>
        <v>0.5</v>
      </c>
      <c r="M43" s="71">
        <f>VLOOKUP(D1,[1]PPI5PT!B13:AD46,13,FALSE)</f>
        <v>0.4</v>
      </c>
      <c r="N43" s="56">
        <f>VLOOKUP(D1,[1]PPI5PT!B13:AD46,4,FALSE)</f>
        <v>0.61722250350081431</v>
      </c>
      <c r="O43" s="38" t="str">
        <f>IF(N43="","",IF(N43&lt;=K43,IF(N43&gt;=L43,"g",""),"")      )</f>
        <v>g</v>
      </c>
      <c r="P43" s="39" t="str">
        <f>IF(N43&gt;K43,IF(N43&lt;J43,"g",""),IF(N43&lt;L43,IF(N43&gt;M43,"g",""),""  ))</f>
        <v/>
      </c>
      <c r="Q43" s="40" t="str">
        <f>IF(N43="","",    IF(N43&gt;=J43,"g", IF(N43&lt;=M43,"g",""))     )</f>
        <v/>
      </c>
      <c r="R43" s="111">
        <f>VLOOKUP(D1,[1]PPI5PT!B13:AD46,20,FALSE)</f>
        <v>1.1000000000000001</v>
      </c>
      <c r="S43" s="111">
        <f>VLOOKUP(D1,[1]PPI5PT!B13:AD46,21,FALSE)</f>
        <v>0.9</v>
      </c>
      <c r="T43" s="111">
        <f>VLOOKUP(D1,[1]PPI5PT!B13:AD46,22,FALSE)</f>
        <v>0.5</v>
      </c>
      <c r="U43" s="111">
        <f>VLOOKUP(D1,[1]PPI5PT!B13:AD46,23,FALSE)</f>
        <v>0.4</v>
      </c>
      <c r="V43" s="56">
        <f>VLOOKUP(D1,[1]PPI5PT!B13:AD46,14,FALSE)</f>
        <v>0.53604895474710035</v>
      </c>
      <c r="W43" s="38" t="str">
        <f>IF(V43="","",IF(V43&lt;=S43,IF(V43&gt;=T43,"g",""),"")      )</f>
        <v>g</v>
      </c>
      <c r="X43" s="39" t="str">
        <f>IF(V43&gt;S43,IF(V43&lt;R43,"g",""),IF(V43&lt;T43,IF(V43&gt;U43,"g",""),""  ))</f>
        <v/>
      </c>
      <c r="Y43" s="40" t="str">
        <f>IF(V43="","",    IF(V43&gt;=R43,"g", IF(V43&lt;=U43,"g",""))     )</f>
        <v/>
      </c>
      <c r="Z43" s="60">
        <f xml:space="preserve"> VLOOKUP( D1, [1]PPI5PT!$Z$16:$AZ$52,  3,FALSE)</f>
        <v>0</v>
      </c>
      <c r="AA43" s="60">
        <f xml:space="preserve"> VLOOKUP( D1, [1]PPI5PT!$Z$16:$AZ$52,  4,FALSE)</f>
        <v>0.61722250350081431</v>
      </c>
      <c r="AB43" s="63"/>
      <c r="AC43" s="45" t="str">
        <f xml:space="preserve"> VLOOKUP( D1, [1]PPI5PT!$Z$16:$AZ$52,  7,FALSE)</f>
        <v/>
      </c>
      <c r="AD43" s="45"/>
      <c r="AE43" s="60">
        <f xml:space="preserve"> VLOOKUP( D1, [1]PPI5PT!$Z$16:$AZ$52,  19,FALSE)</f>
        <v>0.50903652409057121</v>
      </c>
      <c r="AF43" s="60">
        <f xml:space="preserve"> VLOOKUP( D1, [1]PPI5PT!$Z$16:$AZ$52,  20,FALSE)</f>
        <v>0.53604895474710035</v>
      </c>
      <c r="AG43" s="63"/>
      <c r="AH43" s="91">
        <f xml:space="preserve"> VLOOKUP( D1, [1]PPI5PT!$Z$16:$AZ$52, 23,FALSE)</f>
        <v>5.3065800543072417E-2</v>
      </c>
      <c r="AI43" s="45"/>
      <c r="AJ43" s="63"/>
      <c r="AK43" s="45"/>
    </row>
    <row r="44" spans="1:37" ht="21" customHeight="1" thickBot="1" x14ac:dyDescent="0.3">
      <c r="A44" s="175"/>
      <c r="B44" s="100" t="s">
        <v>284</v>
      </c>
      <c r="C44" s="177"/>
      <c r="D44" s="101" t="str">
        <f>VLOOKUP(B44,[1]IndiceIndicadores!$B$6:$N$75,2,FALSE)</f>
        <v>% del total de Stock con baja Rotación de inventarios</v>
      </c>
      <c r="E44" s="101" t="str">
        <f>VLOOKUP(B44,[1]IndiceIndicadores!$B$6:$N$75,8,FALSE)</f>
        <v>Francisco Vásquez</v>
      </c>
      <c r="F44" s="101" t="str">
        <f>VLOOKUP(B44,[1]IndiceIndicadores!$B$6:$N$75,9,FALSE)</f>
        <v>Carlos Bardales</v>
      </c>
      <c r="G44" s="101" t="str">
        <f>VLOOKUP(B44,[1]IndiceIndicadores!$B$6:$N$75,6,FALSE)</f>
        <v xml:space="preserve">Stock bajo rotacion / Stock Total </v>
      </c>
      <c r="H44" s="189"/>
      <c r="I44" s="35" t="str">
        <f>VLOOKUP(B44,[1]IndiceIndicadores!$B$6:$N$75,4,FALSE)</f>
        <v>%</v>
      </c>
      <c r="J44" s="36">
        <f>VLOOKUP(D1,[1]PPI5DTotal!B13:V46,8,FALSE)</f>
        <v>0.03</v>
      </c>
      <c r="K44" s="36"/>
      <c r="L44" s="36"/>
      <c r="M44" s="36">
        <f>VLOOKUP(D1,[1]PPI5DTotal!B13:V46,9,FALSE)</f>
        <v>0.01</v>
      </c>
      <c r="N44" s="42">
        <f>VLOOKUP(D1,[1]PPI5DTotal!B13:V46,4,FALSE)</f>
        <v>5.3567653688982586E-2</v>
      </c>
      <c r="O44" s="38" t="str">
        <f>IF(N44="","",IF(N44&lt;M44,"g",""))</f>
        <v/>
      </c>
      <c r="P44" s="39" t="str">
        <f>IF(N44="","",IF(N44&lt;=M44,IF(N44&gt;=J44,"g",""),""))</f>
        <v/>
      </c>
      <c r="Q44" s="40" t="str">
        <f>IF(N44="","",IF(N44&gt;J44,"g",""))</f>
        <v>g</v>
      </c>
      <c r="R44" s="41">
        <f>VLOOKUP(D1,[1]PPI5DTotal!B13:V46,14,FALSE)</f>
        <v>0.03</v>
      </c>
      <c r="S44" s="108"/>
      <c r="T44" s="108"/>
      <c r="U44" s="41">
        <f>VLOOKUP(D1,[1]PPI5DTotal!B13:V46,15,FALSE)</f>
        <v>0.01</v>
      </c>
      <c r="V44" s="42">
        <f>VLOOKUP(D1,[1]PPI5DTotal!B13:V46,10,FALSE)</f>
        <v>7.8794378525131784E-2</v>
      </c>
      <c r="W44" s="38" t="str">
        <f>IF(V44="","",IF(V44&lt;U44,"g",""))</f>
        <v/>
      </c>
      <c r="X44" s="39" t="str">
        <f>IF(V44="","",IF(V44&lt;=U44,IF(V44&gt;=R44,"g",""),""))</f>
        <v/>
      </c>
      <c r="Y44" s="40" t="str">
        <f>IF(V44="","",IF(V44&gt;R44,"g",""))</f>
        <v>g</v>
      </c>
      <c r="Z44" s="44">
        <f xml:space="preserve"> VLOOKUP( D1, [1]PPI5DTotal!$R$16:$AR$52,  3,FALSE)</f>
        <v>0</v>
      </c>
      <c r="AA44" s="44">
        <f xml:space="preserve"> VLOOKUP( D1, [1]PPI5DTotal!$R$16:$AR$52,  4,FALSE)</f>
        <v>5.3567653688982586E-2</v>
      </c>
      <c r="AB44" s="63"/>
      <c r="AC44" s="45" t="str">
        <f xml:space="preserve"> VLOOKUP( D1, [1]PPI5DTotal!$R$16:$AR$52,  7,FALSE)</f>
        <v/>
      </c>
      <c r="AD44" s="45"/>
      <c r="AE44" s="44">
        <f xml:space="preserve"> VLOOKUP( D1, [1]PPI5DTotal!$R$16:$AR$52,  19,FALSE)</f>
        <v>0</v>
      </c>
      <c r="AF44" s="44">
        <f xml:space="preserve"> VLOOKUP( D1, [1]PPI5DTotal!$R$16:$AR$52,  20,FALSE)</f>
        <v>7.8794378525131784E-2</v>
      </c>
      <c r="AG44" s="63"/>
      <c r="AH44" s="91" t="str">
        <f xml:space="preserve"> VLOOKUP( D1, [1]PPI5DTotal!$R$16:$AR$52,  23,FALSE)</f>
        <v/>
      </c>
      <c r="AI44" s="45"/>
      <c r="AJ44" s="63"/>
      <c r="AK44" s="45"/>
    </row>
    <row r="45" spans="1:37" ht="21" customHeight="1" thickBot="1" x14ac:dyDescent="0.3">
      <c r="A45" s="175"/>
      <c r="B45" s="100" t="s">
        <v>285</v>
      </c>
      <c r="C45" s="177"/>
      <c r="D45" s="101" t="str">
        <f>VLOOKUP(B45,[1]IndiceIndicadores!$B$6:$N$75,2,FALSE)</f>
        <v>% uso de capacidad instalada</v>
      </c>
      <c r="E45" s="101" t="str">
        <f>VLOOKUP(B45,[1]IndiceIndicadores!$B$6:$N$75,8,FALSE)</f>
        <v>Miguel Torres</v>
      </c>
      <c r="F45" s="101" t="str">
        <f>VLOOKUP(B45,[1]IndiceIndicadores!$B$6:$N$75,9,FALSE)</f>
        <v>Miguel Torres</v>
      </c>
      <c r="G45" s="101" t="str">
        <f>VLOOKUP(B45,[1]IndiceIndicadores!$B$6:$N$75,6,FALSE)</f>
        <v>UCI= Toneladas fabricadas/ Toneladas nominales</v>
      </c>
      <c r="H45" s="189"/>
      <c r="I45" s="35" t="str">
        <f>VLOOKUP(B45,[1]IndiceIndicadores!$B$6:$N$75,4,FALSE)</f>
        <v>%</v>
      </c>
      <c r="J45" s="36">
        <f>VLOOKUP(D1,[1]PPI6!B13:V46,8,FALSE)</f>
        <v>0.9</v>
      </c>
      <c r="K45" s="36"/>
      <c r="L45" s="36"/>
      <c r="M45" s="36">
        <f>VLOOKUP(D1,[1]PPI6!B13:V46,9,FALSE)</f>
        <v>0.75</v>
      </c>
      <c r="N45" s="37">
        <f>VLOOKUP(D1,[1]PPI6!B13:V46,4,FALSE)</f>
        <v>0.74638697867708903</v>
      </c>
      <c r="O45" s="38" t="str">
        <f>IF(N45="","",IF(N45&gt;J45,"g",""))</f>
        <v/>
      </c>
      <c r="P45" s="39" t="str">
        <f>IF(N45="","",IF(N45&lt;=J45,IF(N45&gt;=M45,"g",""),""))</f>
        <v/>
      </c>
      <c r="Q45" s="40" t="str">
        <f t="shared" ref="Q45:Q50" si="12">IF(N45="","",IF(N45&lt;M45,"g",""))</f>
        <v>g</v>
      </c>
      <c r="R45" s="41">
        <f>VLOOKUP(D1,[1]PPI6!B13:V46,14,FALSE)</f>
        <v>0.9</v>
      </c>
      <c r="S45" s="108"/>
      <c r="T45" s="108"/>
      <c r="U45" s="41">
        <f>VLOOKUP(D1,[1]PPI6!B13:V46,15,FALSE)</f>
        <v>0.75</v>
      </c>
      <c r="V45" s="42">
        <f>VLOOKUP(D1,[1]PPI6!B13:V46,10,FALSE)</f>
        <v>0.612730299902987</v>
      </c>
      <c r="W45" s="38" t="str">
        <f>IF(V45="","",IF(V45&gt;R45,"g",""))</f>
        <v/>
      </c>
      <c r="X45" s="39" t="str">
        <f>IF(V45="","",IF(V45&lt;=R45,IF(V45&gt;=U45,"g",""),""))</f>
        <v/>
      </c>
      <c r="Y45" s="40" t="str">
        <f>IF(V45="","",IF(V45&lt;U45,"g",""))</f>
        <v>g</v>
      </c>
      <c r="Z45" s="44">
        <f xml:space="preserve"> VLOOKUP( D1, [1]PPI6!$R$16:$AR$52,  3,FALSE)</f>
        <v>0</v>
      </c>
      <c r="AA45" s="44">
        <f xml:space="preserve"> VLOOKUP( D1, [1]PPI6!$R$16:$AR$52,  4,FALSE)</f>
        <v>0.74638697867708903</v>
      </c>
      <c r="AB45" s="63"/>
      <c r="AC45" s="45" t="str">
        <f xml:space="preserve"> VLOOKUP( D1, [1]PPI6!$R$16:$AR$52, 7,FALSE)</f>
        <v/>
      </c>
      <c r="AD45" s="45"/>
      <c r="AE45" s="44">
        <f xml:space="preserve"> VLOOKUP( D1, [1]PPI6!$R$16:$AR$52,  19,FALSE)</f>
        <v>0</v>
      </c>
      <c r="AF45" s="44">
        <f xml:space="preserve"> VLOOKUP( D1, [1]PPI6!$R$16:$AR$52,  20,FALSE)</f>
        <v>0.612730299902987</v>
      </c>
      <c r="AG45" s="63"/>
      <c r="AH45" s="91" t="str">
        <f xml:space="preserve"> VLOOKUP( D1, [1]PPI6!$R$16:$AR$52,  23,FALSE)</f>
        <v/>
      </c>
      <c r="AI45" s="45"/>
      <c r="AJ45" s="63"/>
      <c r="AK45" s="45"/>
    </row>
    <row r="46" spans="1:37" ht="21" customHeight="1" thickBot="1" x14ac:dyDescent="0.3">
      <c r="A46" s="175"/>
      <c r="B46" s="100" t="s">
        <v>286</v>
      </c>
      <c r="C46" s="177"/>
      <c r="D46" s="101" t="str">
        <f>VLOOKUP(B46,[1]IndiceIndicadores!$B$6:$N$75,2,FALSE)</f>
        <v>Parada de Máquina                                       (% de Tiempo Pérdido)</v>
      </c>
      <c r="E46" s="101" t="str">
        <f>VLOOKUP(B46,[1]IndiceIndicadores!$B$6:$N$75,8,FALSE)</f>
        <v>Miguel Torres</v>
      </c>
      <c r="F46" s="101" t="str">
        <f>VLOOKUP(B46,[1]IndiceIndicadores!$B$6:$N$75,9,FALSE)</f>
        <v>Miguel Torres</v>
      </c>
      <c r="G46" s="101" t="str">
        <f>VLOOKUP(B46,[1]IndiceIndicadores!$B$6:$N$75,6,FALSE)</f>
        <v>Parada de Máquina                                       (% de Tiempo Pérdido)</v>
      </c>
      <c r="H46" s="189"/>
      <c r="I46" s="35" t="str">
        <f>VLOOKUP(B46,[1]IndiceIndicadores!$B$6:$N$75,4,FALSE)</f>
        <v>%</v>
      </c>
      <c r="J46" s="36">
        <f xml:space="preserve"> VLOOKUP( D1,  [1]PPI17!$B$16:$P49, 8,FALSE)</f>
        <v>3.0000000000000027E-2</v>
      </c>
      <c r="K46" s="36"/>
      <c r="L46" s="36"/>
      <c r="M46" s="36">
        <f xml:space="preserve"> VLOOKUP( D1,  [1]PPI17!$B$16:$P49, 9,FALSE)</f>
        <v>1.2000000000000011E-2</v>
      </c>
      <c r="N46" s="37">
        <f xml:space="preserve"> VLOOKUP( D1,  [1]PPI17!$B$16:$P49, 4,FALSE)</f>
        <v>3.2033998676281046E-2</v>
      </c>
      <c r="O46" s="38" t="str">
        <f>IF(N46="","",IF(N46&lt;M46,"g",""))</f>
        <v/>
      </c>
      <c r="P46" s="39" t="str">
        <f>IF(N46="","",IF(N46&gt;=M46,IF(N46&lt;=J46,"g",""),""))</f>
        <v/>
      </c>
      <c r="Q46" s="40" t="str">
        <f>IF(N46="","",IF(N46&gt;J46,"g",""))</f>
        <v>g</v>
      </c>
      <c r="R46" s="41">
        <f xml:space="preserve"> VLOOKUP( D1,  [1]PPI17!$B$16:$P49, 14,FALSE)</f>
        <v>3.0000000000000027E-2</v>
      </c>
      <c r="S46" s="108"/>
      <c r="T46" s="108"/>
      <c r="U46" s="41">
        <f xml:space="preserve"> VLOOKUP( D1,  [1]PPI17!$B$16:$P49, 15,FALSE)</f>
        <v>1.2000000000000011E-2</v>
      </c>
      <c r="V46" s="42">
        <f xml:space="preserve"> VLOOKUP( D1,  [1]PPI17!$B$16:$P49, 10,FALSE)</f>
        <v>4.7119233558655119E-2</v>
      </c>
      <c r="W46" s="38" t="str">
        <f>IF(V46="","",IF(V46&lt;U46,"g",""))</f>
        <v/>
      </c>
      <c r="X46" s="39" t="str">
        <f>IF(V46="","",IF(V46&gt;=U46,IF(V46&lt;=R46,"g",""),""))</f>
        <v/>
      </c>
      <c r="Y46" s="40" t="str">
        <f>IF(V46="","",IF(V46&gt;R46,"g",""))</f>
        <v>g</v>
      </c>
      <c r="Z46" s="44">
        <f xml:space="preserve"> VLOOKUP( D1, [1]PPI17!$R13:$AR$52, 3,FALSE)</f>
        <v>0</v>
      </c>
      <c r="AA46" s="44">
        <f xml:space="preserve"> VLOOKUP( D1, [1]PPI17!$R13:$AR$52, 4,FALSE)</f>
        <v>3.2033998676281046E-2</v>
      </c>
      <c r="AB46" s="63"/>
      <c r="AC46" s="45">
        <f xml:space="preserve"> VLOOKUP( D1, [1]PPI17!$R13:$AR$52, 7,FALSE)</f>
        <v>0</v>
      </c>
      <c r="AD46" s="45"/>
      <c r="AE46" s="44">
        <f xml:space="preserve"> VLOOKUP( D1, [1]PPI17!$R13:$AR$52, 19,FALSE)</f>
        <v>0</v>
      </c>
      <c r="AF46" s="44">
        <f xml:space="preserve"> VLOOKUP( D1, [1]PPI17!$R13:$AR$52, 20,FALSE)</f>
        <v>4.7119233558655119E-2</v>
      </c>
      <c r="AG46" s="63"/>
      <c r="AH46" s="91">
        <f xml:space="preserve"> VLOOKUP( D1, [1]PPI17!$R13:$AR$52, 23,FALSE)</f>
        <v>0</v>
      </c>
      <c r="AI46" s="45"/>
      <c r="AJ46" s="63"/>
      <c r="AK46" s="45"/>
    </row>
    <row r="47" spans="1:37" ht="21" customHeight="1" thickBot="1" x14ac:dyDescent="0.3">
      <c r="A47" s="175"/>
      <c r="B47" s="100" t="s">
        <v>287</v>
      </c>
      <c r="C47" s="176"/>
      <c r="D47" s="101" t="str">
        <f>VLOOKUP(B47,[1]IndiceIndicadores!$B$6:$N$75,2,FALSE)</f>
        <v>% Cumplimientos de ventas / Producción</v>
      </c>
      <c r="E47" s="101" t="str">
        <f>VLOOKUP(B47,[1]IndiceIndicadores!$B$6:$N$75,8,FALSE)</f>
        <v>Miguel Torres</v>
      </c>
      <c r="F47" s="101" t="str">
        <f>VLOOKUP(B47,[1]IndiceIndicadores!$B$6:$N$75,9,FALSE)</f>
        <v>Miguel Torres</v>
      </c>
      <c r="G47" s="101" t="str">
        <f>VLOOKUP(B47,[1]IndiceIndicadores!$B$6:$N$75,6,FALSE)</f>
        <v>% Cumplimientos ventas / Produccion</v>
      </c>
      <c r="H47" s="189"/>
      <c r="I47" s="35" t="str">
        <f>VLOOKUP(B47,[1]IndiceIndicadores!$B$6:$N$75,4,FALSE)</f>
        <v>%</v>
      </c>
      <c r="J47" s="36">
        <f xml:space="preserve"> VLOOKUP( D1,  [1]PPI18!$B$16:$P49, 10,FALSE)</f>
        <v>1</v>
      </c>
      <c r="K47" s="36">
        <f xml:space="preserve"> VLOOKUP( D1,  [1]PPI18!$B$16:$P49, 12,FALSE)</f>
        <v>0.98</v>
      </c>
      <c r="L47" s="36"/>
      <c r="M47" s="36">
        <f xml:space="preserve"> VLOOKUP( D1,  [1]PPI18!$B$16:$P49, 13,FALSE)</f>
        <v>0.95</v>
      </c>
      <c r="N47" s="37">
        <f xml:space="preserve"> VLOOKUP( D1,  [1]PPI18!$B$16:$P49, 4,FALSE)</f>
        <v>0.83392865236795466</v>
      </c>
      <c r="O47" s="115" t="str">
        <f>IF(N47="","",IF(N47&lt;=J47,IF(N47&gt;=K47,"g",""),""))</f>
        <v/>
      </c>
      <c r="P47" s="116" t="str">
        <f>IF(N47="","",IF(N47&lt;=K47,IF(N47&gt;=M47,"g",""),""))</f>
        <v/>
      </c>
      <c r="Q47" s="40" t="str">
        <f>IF(N47="","",    IF(N47&gt;=J47,"g", IF(N47&lt;=M47,"g",""))     )</f>
        <v>g</v>
      </c>
      <c r="R47" s="41">
        <f xml:space="preserve"> VLOOKUP( D1,  [1]PPI18!$B$16:$BR49, 30,FALSE)</f>
        <v>1</v>
      </c>
      <c r="S47" s="108">
        <f xml:space="preserve"> VLOOKUP( D1,  [1]PPI18!$B$16:$BR49, 32,FALSE)</f>
        <v>0.98</v>
      </c>
      <c r="T47" s="108"/>
      <c r="U47" s="41">
        <f xml:space="preserve"> VLOOKUP( D1,  [1]PPI18!$B$16:$BR49, 33,FALSE)</f>
        <v>0.95</v>
      </c>
      <c r="V47" s="42">
        <f xml:space="preserve"> VLOOKUP( D1,  [1]PPI18!$B$16:$BR49, 24,FALSE)</f>
        <v>1.0186707407317301</v>
      </c>
      <c r="W47" s="115" t="str">
        <f>IF(V47="","",IF(V47&lt;=R47,IF(V47&gt;=S47,"g",""),""))</f>
        <v/>
      </c>
      <c r="X47" s="116" t="str">
        <f>IF(V47="","",IF(V47&lt;=S47,IF(V47&gt;=U47,"g",""),""))</f>
        <v/>
      </c>
      <c r="Y47" s="40" t="str">
        <f>IF(V47="","",    IF(V47&gt;=R47,"g", IF(V47&lt;=U47,"g",""))     )</f>
        <v>g</v>
      </c>
      <c r="Z47" s="44">
        <f xml:space="preserve"> VLOOKUP( D1,  [1]PPI18!$B$16:$BR49, 47,FALSE)</f>
        <v>0</v>
      </c>
      <c r="AA47" s="44">
        <f xml:space="preserve"> VLOOKUP( D1,  [1]PPI18!$B$16:$BR49, 48,FALSE)</f>
        <v>0.83392865236795466</v>
      </c>
      <c r="AB47" s="63"/>
      <c r="AC47" s="45">
        <f xml:space="preserve"> VLOOKUP( D1,  [1]PPI18!$B$16:$BR49, 50,FALSE)</f>
        <v>0.83392865236795466</v>
      </c>
      <c r="AD47" s="45"/>
      <c r="AE47" s="44">
        <f xml:space="preserve"> VLOOKUP( D1,  [1]PPI18!$B$16:$BR49, 63,FALSE)</f>
        <v>0</v>
      </c>
      <c r="AF47" s="44">
        <f xml:space="preserve"> VLOOKUP( D1,  [1]PPI18!$B$16:$BR49, 64,FALSE)</f>
        <v>1.0186707407317301</v>
      </c>
      <c r="AG47" s="63"/>
      <c r="AH47" s="91">
        <f xml:space="preserve"> VLOOKUP( D1,  [1]PPI18!$B$16:$BR49, 67,FALSE)</f>
        <v>0</v>
      </c>
      <c r="AI47" s="45"/>
      <c r="AJ47" s="63"/>
      <c r="AK47" s="45"/>
    </row>
    <row r="48" spans="1:37" ht="21" customHeight="1" thickBot="1" x14ac:dyDescent="0.3">
      <c r="A48" s="175"/>
      <c r="B48" s="100" t="s">
        <v>288</v>
      </c>
      <c r="C48" s="101" t="str">
        <f>VLOOKUP(B48,[1]IndiceIndicadores!$B$6:$N$75,3,FALSE)</f>
        <v>Mantener tecnología competitiva</v>
      </c>
      <c r="D48" s="101" t="str">
        <f>VLOOKUP(B48,[1]IndiceIndicadores!$B$6:$N$75,2,FALSE)</f>
        <v>Cumplimiento del Plan Anual de Inversiones</v>
      </c>
      <c r="E48" s="101" t="str">
        <f>VLOOKUP(B48,[1]IndiceIndicadores!$B$6:$N$75,8,FALSE)</f>
        <v>Michael Montoya</v>
      </c>
      <c r="F48" s="101" t="str">
        <f>VLOOKUP(B48,[1]IndiceIndicadores!$B$6:$N$75,9,FALSE)</f>
        <v xml:space="preserve">Robert Ampuero </v>
      </c>
      <c r="G48" s="101" t="str">
        <f>VLOOKUP(B48,[1]IndiceIndicadores!$B$6:$N$75,6,FALSE)</f>
        <v>CP= Inversión Ejecutada / Inversión Planificada * 100</v>
      </c>
      <c r="H48" s="189"/>
      <c r="I48" s="35" t="str">
        <f>VLOOKUP(B48,[1]IndiceIndicadores!$B$6:$N$75,4,FALSE)</f>
        <v>%</v>
      </c>
      <c r="J48" s="36">
        <f>VLOOKUP(D1, [1]PPI19!B10:K45,9,FALSE)</f>
        <v>0.85</v>
      </c>
      <c r="K48" s="36"/>
      <c r="L48" s="36"/>
      <c r="M48" s="36">
        <f>VLOOKUP(D1, [1]PPI19!B10:K45,10,FALSE)</f>
        <v>0.7</v>
      </c>
      <c r="N48" s="37">
        <f>VLOOKUP(D1, [1]PPI19!B10:K45,5,FALSE)</f>
        <v>1.8583911022443893</v>
      </c>
      <c r="O48" s="38" t="str">
        <f>IF(N48="","",IF(N48&gt;J48,"g",""))</f>
        <v>g</v>
      </c>
      <c r="P48" s="39" t="str">
        <f>IF(N48="","",IF(N48&lt;=J48,IF(N48&gt;=M48,"g",""),""))</f>
        <v/>
      </c>
      <c r="Q48" s="40" t="str">
        <f t="shared" si="12"/>
        <v/>
      </c>
      <c r="R48" s="117">
        <f>VLOOKUP(D1, [1]PPI19!B10:AG45,17,FALSE)</f>
        <v>0.85</v>
      </c>
      <c r="S48" s="96"/>
      <c r="T48" s="96"/>
      <c r="U48" s="117">
        <f>VLOOKUP(D1, [1]PPI19!B10:AG45,18,FALSE)</f>
        <v>0.7</v>
      </c>
      <c r="V48" s="104">
        <f>VLOOKUP(D1, [1]PPI19!B10:AG45,13,FALSE)</f>
        <v>0.75304740888489741</v>
      </c>
      <c r="W48" s="38" t="str">
        <f>IF(V48="","",IF(V48&gt;R48,"g",""))</f>
        <v/>
      </c>
      <c r="X48" s="39" t="str">
        <f>IF(V48="","",IF(V48&lt;=R48,IF(V48&gt;=U48,"g",""),""))</f>
        <v>g</v>
      </c>
      <c r="Y48" s="40" t="str">
        <f>IF(V48="","",IF(V48&lt;U48,"g",""))</f>
        <v/>
      </c>
      <c r="Z48" s="44">
        <f>VLOOKUP(D1, [1]PPI19!B10:AG45,22,FALSE)</f>
        <v>1.12547910625</v>
      </c>
      <c r="AA48" s="44">
        <f>VLOOKUP(D1, [1]PPI19!B10:AG45,23,FALSE)</f>
        <v>0</v>
      </c>
      <c r="AB48" s="45"/>
      <c r="AC48" s="44">
        <f>VLOOKUP(D1, [1]PPI19!B10:AG45,25,FALSE)</f>
        <v>0</v>
      </c>
      <c r="AD48" s="45"/>
      <c r="AE48" s="45">
        <f>VLOOKUP(D1, [1]PPI19!B10:AG45,29,FALSE)</f>
        <v>1.0829056717845371</v>
      </c>
      <c r="AF48" s="45">
        <f>VLOOKUP(D1, [1]PPI19!B10:AG45,30,FALSE)</f>
        <v>0.75304740888489741</v>
      </c>
      <c r="AG48" s="45"/>
      <c r="AH48" s="91">
        <f>VLOOKUP(D1, [1]PPI19!B10:AG45,32,FALSE)</f>
        <v>-0.30460479753149794</v>
      </c>
      <c r="AI48" s="45"/>
      <c r="AJ48" s="45"/>
      <c r="AK48" s="45"/>
    </row>
    <row r="49" spans="1:37" ht="21" customHeight="1" thickBot="1" x14ac:dyDescent="0.3">
      <c r="A49" s="175"/>
      <c r="B49" s="100" t="s">
        <v>289</v>
      </c>
      <c r="C49" s="101" t="str">
        <f>VLOOKUP(B49,[1]IndiceIndicadores!$B$6:$N$75,3,FALSE)</f>
        <v>Optimizar el abastecimiento de insumos críticos</v>
      </c>
      <c r="D49" s="101" t="str">
        <f>VLOOKUP(B49,[1]IndiceIndicadores!$B$6:$N$75,2,FALSE)</f>
        <v>Nivel mensual de servicio a producción</v>
      </c>
      <c r="E49" s="101" t="str">
        <f>VLOOKUP(B49,[1]IndiceIndicadores!$B$6:$N$75,8,FALSE)</f>
        <v>Francisco Vásquez</v>
      </c>
      <c r="F49" s="101" t="str">
        <f>VLOOKUP(B49,[1]IndiceIndicadores!$B$6:$N$75,9,FALSE)</f>
        <v>Carlos Bardales</v>
      </c>
      <c r="G49" s="101" t="str">
        <f>VLOOKUP(B49,[1]IndiceIndicadores!$B$6:$N$75,6,FALSE)</f>
        <v>Insumos cubiertos / Insumos Totales</v>
      </c>
      <c r="H49" s="189"/>
      <c r="I49" s="35" t="str">
        <f>VLOOKUP(B49,[1]IndiceIndicadores!$B$6:$N$75,4,FALSE)</f>
        <v>%</v>
      </c>
      <c r="J49" s="36">
        <f>VLOOKUP(D1, [1]PPI20!B10:K38,9,FALSE)</f>
        <v>0.97499999999999998</v>
      </c>
      <c r="K49" s="36"/>
      <c r="L49" s="36"/>
      <c r="M49" s="36">
        <f>VLOOKUP(D1, [1]PPI20!B10:K38,10,FALSE)</f>
        <v>0.95</v>
      </c>
      <c r="N49" s="37">
        <f>VLOOKUP(D1, [1]PPI20!B10:K38,5,FALSE)</f>
        <v>0.97486033519553073</v>
      </c>
      <c r="O49" s="38" t="str">
        <f>IF(N49="","",IF(N49&gt;=J49,"g",""))</f>
        <v/>
      </c>
      <c r="P49" s="39" t="str">
        <f>IF(N49="","",IF(N49&lt;J49,IF(N49&gt;M49,"g",""),""))</f>
        <v>g</v>
      </c>
      <c r="Q49" s="40" t="str">
        <f t="shared" si="12"/>
        <v/>
      </c>
      <c r="R49" s="41">
        <f>VLOOKUP(D1, [1]PPI20!B10:AH45,15,FALSE)</f>
        <v>0.98</v>
      </c>
      <c r="S49" s="41"/>
      <c r="T49" s="41"/>
      <c r="U49" s="41">
        <f>VLOOKUP(D1, [1]PPI20!B10:AH45,16,FALSE)</f>
        <v>0.95</v>
      </c>
      <c r="V49" s="42">
        <f>VLOOKUP(D1, [1]PPI20!B10:AH45,11,FALSE)</f>
        <v>0.98107761385503522</v>
      </c>
      <c r="W49" s="38" t="str">
        <f>IF(V49="","",IF(V49&gt;R49,"g",""))</f>
        <v>g</v>
      </c>
      <c r="X49" s="39" t="str">
        <f t="shared" ref="X49:X55" si="13">IF(V49="","",IF(V49&lt;=R49,IF(V49&gt;=U49,"g",""),""))</f>
        <v/>
      </c>
      <c r="Y49" s="40" t="str">
        <f>IF(V49="","",IF(V49&lt;U49,"g",""))</f>
        <v/>
      </c>
      <c r="Z49" s="44">
        <f>VLOOKUP(D1, [1]PPI20!B10:AH45,21,FALSE)</f>
        <v>0.98151950718685832</v>
      </c>
      <c r="AA49" s="44">
        <f>VLOOKUP(D1, [1]PPI20!B10:AH45,22,FALSE)</f>
        <v>0</v>
      </c>
      <c r="AB49" s="45"/>
      <c r="AC49" s="44">
        <f>VLOOKUP(D1, [1]PPI20!B10:AH45,24,FALSE)</f>
        <v>0</v>
      </c>
      <c r="AD49" s="45"/>
      <c r="AE49" s="45">
        <f>VLOOKUP(D1, [1]PPI20!B10:AH45,28,FALSE)</f>
        <v>0.9839103869653768</v>
      </c>
      <c r="AF49" s="44">
        <f>VLOOKUP(D1, [1]PPI20!B10:AH45,29,FALSE)</f>
        <v>0.98107761385503522</v>
      </c>
      <c r="AG49" s="45"/>
      <c r="AH49" s="44">
        <f>VLOOKUP(D1, [1]PPI20!B10:AH45,31,FALSE)</f>
        <v>0</v>
      </c>
      <c r="AI49" s="45"/>
      <c r="AJ49" s="45"/>
      <c r="AK49" s="45"/>
    </row>
    <row r="50" spans="1:37" ht="21" customHeight="1" thickBot="1" x14ac:dyDescent="0.3">
      <c r="A50" s="175"/>
      <c r="B50" s="100" t="s">
        <v>290</v>
      </c>
      <c r="C50" s="176"/>
      <c r="D50" s="101" t="str">
        <f>VLOOKUP(B50,[1]IndiceIndicadores!$B$6:$N$75,2,FALSE)</f>
        <v>No. de quiebres de inventario</v>
      </c>
      <c r="E50" s="101" t="str">
        <f>VLOOKUP(B50,[1]IndiceIndicadores!$B$6:$N$75,8,FALSE)</f>
        <v>Francisco Vásquez</v>
      </c>
      <c r="F50" s="101" t="str">
        <f>VLOOKUP(B50,[1]IndiceIndicadores!$B$6:$N$75,9,FALSE)</f>
        <v>Carlos Bardales</v>
      </c>
      <c r="G50" s="101" t="str">
        <f>VLOOKUP(B50,[1]IndiceIndicadores!$B$6:$N$75,6,FALSE)</f>
        <v>Veces que stock del material fue igual a cero</v>
      </c>
      <c r="H50" s="189"/>
      <c r="I50" s="35" t="str">
        <f>VLOOKUP(B50,[1]IndiceIndicadores!$B$6:$N$75,4,FALSE)</f>
        <v>Unid</v>
      </c>
      <c r="J50" s="67" t="e">
        <f>VLOOKUP(D1,[1]PPI21!B10:I34,8,FALSE)</f>
        <v>#N/A</v>
      </c>
      <c r="K50" s="67"/>
      <c r="L50" s="67"/>
      <c r="M50" s="67" t="e">
        <f>VLOOKUP(D1, [1]PPI21!B10:I34,8,FALSE)</f>
        <v>#N/A</v>
      </c>
      <c r="N50" s="53" t="e">
        <f>VLOOKUP(D1, [1]PPI21!B10:I34,3,FALSE)</f>
        <v>#N/A</v>
      </c>
      <c r="O50" s="38" t="e">
        <f>IF(N50="","",IF(N50&gt;J50,"g",""))</f>
        <v>#N/A</v>
      </c>
      <c r="P50" s="39" t="e">
        <f>IF(N50="","",IF(N50&lt;=J50,IF(N50&gt;=M50,"g",""),""))</f>
        <v>#N/A</v>
      </c>
      <c r="Q50" s="40" t="e">
        <f t="shared" si="12"/>
        <v>#N/A</v>
      </c>
      <c r="R50" s="96"/>
      <c r="S50" s="96"/>
      <c r="T50" s="96"/>
      <c r="U50" s="96"/>
      <c r="V50" s="53"/>
      <c r="W50" s="38" t="str">
        <f>IF(V50="","",IF(V50&gt;R50,"g",""))</f>
        <v/>
      </c>
      <c r="X50" s="39" t="str">
        <f t="shared" si="13"/>
        <v/>
      </c>
      <c r="Y50" s="40" t="str">
        <f>IF(V50="","",IF(V50&lt;U50,"g",""))</f>
        <v/>
      </c>
      <c r="Z50" s="55"/>
      <c r="AA50" s="55"/>
      <c r="AB50" s="55"/>
      <c r="AC50" s="55"/>
      <c r="AD50" s="55"/>
      <c r="AE50" s="55"/>
      <c r="AF50" s="55"/>
      <c r="AG50" s="55"/>
      <c r="AH50" s="102"/>
      <c r="AI50" s="55"/>
      <c r="AJ50" s="55"/>
      <c r="AK50" s="55"/>
    </row>
    <row r="51" spans="1:37" ht="21" customHeight="1" thickBot="1" x14ac:dyDescent="0.3">
      <c r="A51" s="175"/>
      <c r="B51" s="100" t="s">
        <v>291</v>
      </c>
      <c r="C51" s="101" t="str">
        <f>VLOOKUP(B51,[1]IndiceIndicadores!$B$6:$N$75,3,FALSE)</f>
        <v>Ser una empresa segura</v>
      </c>
      <c r="D51" s="101" t="str">
        <f>VLOOKUP(B51,[1]IndiceIndicadores!$B$6:$N$75,2,FALSE)</f>
        <v>Indice de frecuencia</v>
      </c>
      <c r="E51" s="101" t="str">
        <f>VLOOKUP(B51,[1]IndiceIndicadores!$B$6:$N$75,8,FALSE)</f>
        <v>Michael Montoya</v>
      </c>
      <c r="F51" s="101" t="str">
        <f>VLOOKUP(B51,[1]IndiceIndicadores!$B$6:$N$75,9,FALSE)</f>
        <v>Harold Alvarez</v>
      </c>
      <c r="G51" s="101" t="str">
        <f>VLOOKUP(B51,[1]IndiceIndicadores!$B$6:$N$75,6,FALSE)</f>
        <v>IF = Dias Perdidos * 1000000 / Numero de Horas Totales</v>
      </c>
      <c r="H51" s="189"/>
      <c r="I51" s="35" t="str">
        <f>VLOOKUP(B51,[1]IndiceIndicadores!$B$6:$N$75,4,FALSE)</f>
        <v>Escala</v>
      </c>
      <c r="J51" s="71" t="e">
        <f>VLOOKUP(D1, [1]PPI22!B13:AN38,6,FALSE)</f>
        <v>#N/A</v>
      </c>
      <c r="K51" s="67"/>
      <c r="L51" s="67"/>
      <c r="M51" s="71" t="e">
        <f>VLOOKUP(D1, [1]PPI22!B13:AN38,7,FALSE)</f>
        <v>#N/A</v>
      </c>
      <c r="N51" s="56" t="e">
        <f>VLOOKUP(D1, [1]PPI22!B13:AN38,2,FALSE)</f>
        <v>#N/A</v>
      </c>
      <c r="O51" s="38" t="e">
        <f>IF(N51="","",IF(N51&lt;=M51,"g",""))</f>
        <v>#N/A</v>
      </c>
      <c r="P51" s="39" t="e">
        <f>IF(N51="","",IF(N51&lt;=J51,IF(N51&gt;M51,"g",""),""))</f>
        <v>#N/A</v>
      </c>
      <c r="Q51" s="40" t="e">
        <f>IF(N51="","",IF(N51&gt;J51,"g",""))</f>
        <v>#N/A</v>
      </c>
      <c r="R51" s="111" t="e">
        <f>VLOOKUP(D1, [1]PPI22!B13:AN38,12,FALSE)</f>
        <v>#N/A</v>
      </c>
      <c r="S51" s="111"/>
      <c r="T51" s="111"/>
      <c r="U51" s="111" t="e">
        <f>VLOOKUP(D1, [1]PPI22!B13:AN38,13,FALSE)</f>
        <v>#N/A</v>
      </c>
      <c r="V51" s="56" t="e">
        <f>VLOOKUP(D1, [1]PPI22!B13:AN38,8,FALSE)</f>
        <v>#N/A</v>
      </c>
      <c r="W51" s="38" t="e">
        <f>IF(V51="","",IF(V51&lt;=U51,"g",""))</f>
        <v>#N/A</v>
      </c>
      <c r="X51" s="39" t="e">
        <f>IF(V51="","",IF(V51&lt;=R51,IF(V51&gt;U51,"g",""),""))</f>
        <v>#N/A</v>
      </c>
      <c r="Y51" s="40" t="e">
        <f>IF(V51="","",IF(V51&gt;R51,"g",""))</f>
        <v>#N/A</v>
      </c>
      <c r="Z51" s="60">
        <f>VLOOKUP(D1, [1]PPI22!AR13:BW48,2,FALSE)</f>
        <v>17.666015497335433</v>
      </c>
      <c r="AA51" s="60">
        <f>VLOOKUP(D1, [1]PPI22!AR13:BW48,3,FALSE)</f>
        <v>0</v>
      </c>
      <c r="AB51" s="63"/>
      <c r="AC51" s="44">
        <f>VLOOKUP(D1, [1]PPI22!AR13:BW48,5,FALSE)</f>
        <v>-1</v>
      </c>
      <c r="AD51" s="45"/>
      <c r="AE51" s="60">
        <f>VLOOKUP(D1, [1]PPI22!AR13:BW48,7,FALSE)</f>
        <v>9.0170516873961315</v>
      </c>
      <c r="AF51" s="60">
        <f>VLOOKUP(D1, [1]PPI22!AR13:BW48,8,FALSE)</f>
        <v>7.963794389800789</v>
      </c>
      <c r="AG51" s="63"/>
      <c r="AH51" s="44">
        <f>VLOOKUP(D1, [1]PPI22!AR13:BW48,11,FALSE)</f>
        <v>0</v>
      </c>
      <c r="AI51" s="45"/>
      <c r="AJ51" s="45"/>
      <c r="AK51" s="45"/>
    </row>
    <row r="52" spans="1:37" ht="21" customHeight="1" thickBot="1" x14ac:dyDescent="0.3">
      <c r="A52" s="175"/>
      <c r="B52" s="100" t="s">
        <v>292</v>
      </c>
      <c r="C52" s="177"/>
      <c r="D52" s="101" t="str">
        <f>VLOOKUP(B52,[1]IndiceIndicadores!$B$6:$N$75,2,FALSE)</f>
        <v>Indice de gravedad</v>
      </c>
      <c r="E52" s="101" t="str">
        <f>VLOOKUP(B52,[1]IndiceIndicadores!$B$6:$N$75,8,FALSE)</f>
        <v>Michael Montoya</v>
      </c>
      <c r="F52" s="101" t="str">
        <f>VLOOKUP(B52,[1]IndiceIndicadores!$B$6:$N$75,9,FALSE)</f>
        <v>Harold Alvarez</v>
      </c>
      <c r="G52" s="101" t="str">
        <f>VLOOKUP(B52,[1]IndiceIndicadores!$B$6:$N$75,6,FALSE)</f>
        <v>IG = N. de Acc * 1000000 / Numero de Horas Totales</v>
      </c>
      <c r="H52" s="189"/>
      <c r="I52" s="35" t="str">
        <f>VLOOKUP(B52,[1]IndiceIndicadores!$B$6:$N$75,4,FALSE)</f>
        <v>Escala</v>
      </c>
      <c r="J52" s="71" t="e">
        <f>VLOOKUP(D1, [1]PPI22!B13:AN38,19,FALSE)</f>
        <v>#N/A</v>
      </c>
      <c r="K52" s="71"/>
      <c r="L52" s="71"/>
      <c r="M52" s="71" t="e">
        <f>VLOOKUP(D1, [1]PPI22!B13:AN38,20,FALSE)</f>
        <v>#N/A</v>
      </c>
      <c r="N52" s="56" t="e">
        <f>VLOOKUP(D1, [1]PPI22!B13:AN38,15,FALSE)</f>
        <v>#N/A</v>
      </c>
      <c r="O52" s="38" t="e">
        <f>IF(N52="","",IF(N52&lt;M52,"g",""))</f>
        <v>#N/A</v>
      </c>
      <c r="P52" s="39" t="e">
        <f>IF(N52="","",IF(N52&lt;=J52,IF(N52&gt;=M52,"g",""),""))</f>
        <v>#N/A</v>
      </c>
      <c r="Q52" s="40" t="e">
        <f>IF(N52="","",IF(N52&gt;J52,"g",""))</f>
        <v>#N/A</v>
      </c>
      <c r="R52" s="111" t="e">
        <f>VLOOKUP(D1, [1]PPI22!B13:AN38,25,FALSE)</f>
        <v>#N/A</v>
      </c>
      <c r="S52" s="111"/>
      <c r="T52" s="111"/>
      <c r="U52" s="111" t="e">
        <f>VLOOKUP(D1, [1]PPI22!B13:AN38,26,FALSE)</f>
        <v>#N/A</v>
      </c>
      <c r="V52" s="56" t="e">
        <f>VLOOKUP(D1, [1]PPI22!B13:AN38,21,FALSE)</f>
        <v>#N/A</v>
      </c>
      <c r="W52" s="38" t="e">
        <f>IF(V52="","",IF(V52&lt;U52,"g",""))</f>
        <v>#N/A</v>
      </c>
      <c r="X52" s="39" t="e">
        <f t="shared" si="13"/>
        <v>#N/A</v>
      </c>
      <c r="Y52" s="40" t="e">
        <f>IF(V52="","",IF(V52&gt;R52,"g",""))</f>
        <v>#N/A</v>
      </c>
      <c r="Z52" s="60">
        <f>VLOOKUP(D1, [1]PPI22!AR13:BW48,13,FALSE)</f>
        <v>61.831054240674021</v>
      </c>
      <c r="AA52" s="60">
        <f>VLOOKUP(D1, [1]PPI22!AR13:BW48,14,FALSE)</f>
        <v>0</v>
      </c>
      <c r="AB52" s="63"/>
      <c r="AC52" s="44">
        <f>VLOOKUP(D1, [1]PPI22!AR13:BW48,16,FALSE)</f>
        <v>-1</v>
      </c>
      <c r="AD52" s="45"/>
      <c r="AE52" s="60">
        <f>VLOOKUP(D1, [1]PPI22!AR13:BW48,18,FALSE)</f>
        <v>55.741774067539723</v>
      </c>
      <c r="AF52" s="60">
        <f>VLOOKUP(D1, [1]PPI22!AR13:BW48,19,FALSE)</f>
        <v>250.49753262464301</v>
      </c>
      <c r="AG52" s="63"/>
      <c r="AH52" s="44">
        <f>VLOOKUP(D1, [1]PPI22!AR13:BW48,21,FALSE)</f>
        <v>3.4938923601736604</v>
      </c>
      <c r="AI52" s="45"/>
      <c r="AJ52" s="45"/>
      <c r="AK52" s="45"/>
    </row>
    <row r="53" spans="1:37" ht="21" customHeight="1" thickBot="1" x14ac:dyDescent="0.3">
      <c r="A53" s="178"/>
      <c r="B53" s="100" t="s">
        <v>293</v>
      </c>
      <c r="C53" s="176"/>
      <c r="D53" s="101" t="str">
        <f>VLOOKUP(B53,[1]IndiceIndicadores!$B$6:$N$75,2,FALSE)</f>
        <v>Numero de Accidentes</v>
      </c>
      <c r="E53" s="101" t="str">
        <f>VLOOKUP(B53,[1]IndiceIndicadores!$B$6:$N$75,8,FALSE)</f>
        <v>Michael Montoya</v>
      </c>
      <c r="F53" s="101" t="str">
        <f>VLOOKUP(B53,[1]IndiceIndicadores!$B$6:$N$75,9,FALSE)</f>
        <v>Harold Alvarez</v>
      </c>
      <c r="G53" s="101" t="str">
        <f>VLOOKUP(B53,[1]IndiceIndicadores!$B$6:$N$75,6,FALSE)</f>
        <v>Accidentes</v>
      </c>
      <c r="H53" s="189"/>
      <c r="I53" s="35" t="str">
        <f>VLOOKUP(B53,[1]IndiceIndicadores!$B$6:$N$75,4,FALSE)</f>
        <v>Escala</v>
      </c>
      <c r="J53" s="71" t="e">
        <f>VLOOKUP(D1, [1]PPI22!B13:AN38,32,FALSE)</f>
        <v>#N/A</v>
      </c>
      <c r="K53" s="71"/>
      <c r="L53" s="71"/>
      <c r="M53" s="71" t="e">
        <f>VLOOKUP(D1, [1]PPI22!B13:AN38,33,FALSE)</f>
        <v>#N/A</v>
      </c>
      <c r="N53" s="56" t="e">
        <f>VLOOKUP(D1, [1]PPI22!B13:AN38,28,FALSE)</f>
        <v>#N/A</v>
      </c>
      <c r="O53" s="38" t="e">
        <f>IF(N53="","",IF(N53&lt;=M53,"g",""))</f>
        <v>#N/A</v>
      </c>
      <c r="P53" s="39" t="e">
        <f>IF(N53="","",IF(N53&lt;J53,IF(N53&gt;M53,"g",""),""))</f>
        <v>#N/A</v>
      </c>
      <c r="Q53" s="40" t="e">
        <f>IF(N53="","",IF(N53&gt;=J53,"g",""))</f>
        <v>#N/A</v>
      </c>
      <c r="R53" s="111" t="e">
        <f>VLOOKUP(D1, [1]PPI22!B13:AN38,38,FALSE)</f>
        <v>#N/A</v>
      </c>
      <c r="S53" s="111"/>
      <c r="T53" s="111"/>
      <c r="U53" s="111" t="e">
        <f>VLOOKUP(D1, [1]PPI22!B13:AN38,39,FALSE)</f>
        <v>#N/A</v>
      </c>
      <c r="V53" s="56" t="e">
        <f>VLOOKUP(D1, [1]PPI22!B13:AN38,34,FALSE)</f>
        <v>#N/A</v>
      </c>
      <c r="W53" s="38" t="e">
        <f>IF(V53="","",IF(V53&lt;=U53,"g",""))</f>
        <v>#N/A</v>
      </c>
      <c r="X53" s="39" t="e">
        <f>IF(V53="","",IF(V53&lt;R53,IF(V53&gt;U53,"g",""),""))</f>
        <v>#N/A</v>
      </c>
      <c r="Y53" s="40" t="e">
        <f>IF(V53="","",IF(V53&gt;=R53,"g",""))</f>
        <v>#N/A</v>
      </c>
      <c r="Z53" s="60">
        <f>VLOOKUP(D1, [1]PPI22!AR13:BW48,24,FALSE)</f>
        <v>2</v>
      </c>
      <c r="AA53" s="60">
        <f>VLOOKUP(D1, [1]PPI22!AR13:BW48,25,FALSE)</f>
        <v>0</v>
      </c>
      <c r="AB53" s="63"/>
      <c r="AC53" s="44">
        <f>VLOOKUP(D1, [1]PPI22!AR13:BW48,27,FALSE)</f>
        <v>-1</v>
      </c>
      <c r="AD53" s="45"/>
      <c r="AE53" s="60">
        <f>VLOOKUP(D1, [1]PPI22!AR13:BW48,29,FALSE)</f>
        <v>11</v>
      </c>
      <c r="AF53" s="60">
        <f>VLOOKUP(D1, [1]PPI22!AR13:BW48,30,FALSE)</f>
        <v>11</v>
      </c>
      <c r="AG53" s="63"/>
      <c r="AH53" s="44">
        <f>VLOOKUP(D1, [1]PPI22!AR13:BW48,32,FALSE)</f>
        <v>0</v>
      </c>
      <c r="AI53" s="45"/>
      <c r="AJ53" s="45"/>
      <c r="AK53" s="45"/>
    </row>
    <row r="54" spans="1:37" ht="21" customHeight="1" thickBot="1" x14ac:dyDescent="0.3">
      <c r="A54" s="179"/>
      <c r="B54" s="118" t="s">
        <v>294</v>
      </c>
      <c r="C54" s="119" t="str">
        <f>VLOOKUP(B54,[1]IndiceIndicadores!$B$6:$N$75,3,FALSE)</f>
        <v>Contar con personal con alto rendimiento</v>
      </c>
      <c r="D54" s="119" t="str">
        <f>VLOOKUP(B54,[1]IndiceIndicadores!$B$6:$N$75,2,FALSE)</f>
        <v>Utilidad Operativa / Nro  personas</v>
      </c>
      <c r="E54" s="119" t="str">
        <f>VLOOKUP(B54,[1]IndiceIndicadores!$B$6:$N$75,8,FALSE)</f>
        <v>Ernesto Nuñez Del Prado</v>
      </c>
      <c r="F54" s="119" t="str">
        <f>VLOOKUP(B54,[1]IndiceIndicadores!$B$6:$N$75,9,FALSE)</f>
        <v>Raúl Nuñez</v>
      </c>
      <c r="G54" s="119" t="str">
        <f>VLOOKUP(B54,[1]IndiceIndicadores!$B$6:$N$75,6,FALSE)</f>
        <v>Utilidad Operativa  / Nr personas</v>
      </c>
      <c r="H54" s="190"/>
      <c r="I54" s="35" t="str">
        <f>VLOOKUP(B54,[1]IndiceIndicadores!$B$6:$N$75,4,FALSE)</f>
        <v>Unid</v>
      </c>
      <c r="J54" s="71">
        <f>VLOOKUP(D1,[1]PAC01!D9:P44,6,FALSE)</f>
        <v>8895</v>
      </c>
      <c r="K54" s="71"/>
      <c r="L54" s="71"/>
      <c r="M54" s="71">
        <f>VLOOKUP(D1,[1]PAC01!D9:P44,7,FALSE)</f>
        <v>7278</v>
      </c>
      <c r="N54" s="120">
        <f>VLOOKUP(D1,[1]PAC01!D9:P44,2,FALSE)</f>
        <v>6085.9217903930139</v>
      </c>
      <c r="O54" s="38" t="str">
        <f>IF(N54="","",IF(N54&gt;J54,"g",""))</f>
        <v/>
      </c>
      <c r="P54" s="39" t="str">
        <f t="shared" ref="P54:P59" si="14">IF(N54="","",IF(N54&lt;=J54,IF(N54&gt;=M54,"g",""),""))</f>
        <v/>
      </c>
      <c r="Q54" s="40" t="str">
        <f>IF(N54="","",IF(N54&lt;M54,"g",""))</f>
        <v>g</v>
      </c>
      <c r="R54" s="58">
        <f>VLOOKUP(D1,[1]PAC01!D9:P44,12,FALSE)</f>
        <v>8895</v>
      </c>
      <c r="S54" s="58"/>
      <c r="T54" s="58"/>
      <c r="U54" s="58">
        <f>VLOOKUP(D1,[1]PAC01!D9:P44,13,FALSE)</f>
        <v>7278</v>
      </c>
      <c r="V54" s="120">
        <f>VLOOKUP(D1,[1]PAC01!D9:P44,8,FALSE)</f>
        <v>7088.8992940596845</v>
      </c>
      <c r="W54" s="38" t="str">
        <f>IF(V54="","",IF(V54&gt;R54,"g",""))</f>
        <v/>
      </c>
      <c r="X54" s="39" t="str">
        <f t="shared" si="13"/>
        <v/>
      </c>
      <c r="Y54" s="40" t="str">
        <f>IF(V54="","",IF(V54&lt;U54,"g",""))</f>
        <v>g</v>
      </c>
      <c r="Z54" s="64">
        <f>VLOOKUP(D1,[1]PAC01!D9:AO44,20,FALSE)</f>
        <v>10308.51248667851</v>
      </c>
      <c r="AA54" s="65">
        <f>VLOOKUP(D1,[1]PAC01!D9:AO44,21,FALSE)</f>
        <v>0</v>
      </c>
      <c r="AB54" s="45"/>
      <c r="AC54" s="44" t="str">
        <f>VLOOKUP(D1,[1]PAC01!D9:AO44,23,FALSE)</f>
        <v/>
      </c>
      <c r="AD54" s="45"/>
      <c r="AE54" s="60">
        <f>VLOOKUP(D1,[1]PAC01!D9:AO44,30,FALSE)</f>
        <v>7481.2281797883015</v>
      </c>
      <c r="AF54" s="60">
        <f>VLOOKUP(D1,[1]PAC01!D9:AO44,31,FALSE)</f>
        <v>7088.8992940596845</v>
      </c>
      <c r="AG54" s="45"/>
      <c r="AH54" s="91">
        <f>VLOOKUP(D1,[1]PAC01!D9:AO44,33,FALSE)</f>
        <v>-5.2441775107001098E-2</v>
      </c>
      <c r="AI54" s="45"/>
      <c r="AJ54" s="45"/>
      <c r="AK54" s="45"/>
    </row>
    <row r="55" spans="1:37" ht="21" customHeight="1" thickBot="1" x14ac:dyDescent="0.3">
      <c r="A55" s="180"/>
      <c r="B55" s="118" t="s">
        <v>295</v>
      </c>
      <c r="C55" s="119" t="str">
        <f>VLOOKUP(B55,[1]IndiceIndicadores!$B$6:$N$75,3,FALSE)</f>
        <v>Mejorar el clima laboral</v>
      </c>
      <c r="D55" s="119" t="str">
        <f>VLOOKUP(B55,[1]IndiceIndicadores!$B$6:$N$75,2,FALSE)</f>
        <v>Total Personal a fin de Periodo</v>
      </c>
      <c r="E55" s="119" t="str">
        <f>VLOOKUP(B55,[1]IndiceIndicadores!$B$6:$N$75,8,FALSE)</f>
        <v>Ernesto Nuñez Del Prado</v>
      </c>
      <c r="F55" s="119" t="str">
        <f>VLOOKUP(B55,[1]IndiceIndicadores!$B$6:$N$75,9,FALSE)</f>
        <v>Raúl Nuñez</v>
      </c>
      <c r="G55" s="119" t="str">
        <f>VLOOKUP(B55,[1]IndiceIndicadores!$B$6:$N$75,6,FALSE)</f>
        <v>TPP = Personas en planillas al fin del periodo</v>
      </c>
      <c r="H55" s="190"/>
      <c r="I55" s="35" t="str">
        <f>VLOOKUP(B55,[1]IndiceIndicadores!$B$6:$N$75,4,FALSE)</f>
        <v>Unid</v>
      </c>
      <c r="J55" s="71">
        <f>VLOOKUP(D1,[1]PAC03!D9:P44,6,FALSE)</f>
        <v>600</v>
      </c>
      <c r="K55" s="71"/>
      <c r="L55" s="71"/>
      <c r="M55" s="71">
        <f>VLOOKUP(D1,[1]PAC03!D9:P44,7,FALSE)</f>
        <v>550</v>
      </c>
      <c r="N55" s="56">
        <f>VLOOKUP(D1,[1]PAC03!D9:P44,2,FALSE)</f>
        <v>458</v>
      </c>
      <c r="O55" s="38" t="str">
        <f>IF(N55="","",IF(N55&lt;M55,"g",""))</f>
        <v>g</v>
      </c>
      <c r="P55" s="39" t="str">
        <f t="shared" si="14"/>
        <v/>
      </c>
      <c r="Q55" s="40" t="str">
        <f>IF(N55="","",IF(N55&gt;J55,"g",""))</f>
        <v/>
      </c>
      <c r="R55" s="73">
        <f>VLOOKUP(D1,[1]PAC03!D9:P44,12,FALSE)</f>
        <v>0</v>
      </c>
      <c r="S55" s="73"/>
      <c r="T55" s="73"/>
      <c r="U55" s="73">
        <f>VLOOKUP(D1,[1]PAC03!D9:P44,13,FALSE)</f>
        <v>0</v>
      </c>
      <c r="V55" s="72">
        <f>VLOOKUP(D1,[1]PAC03!D9:P44,8,FALSE)</f>
        <v>0</v>
      </c>
      <c r="W55" s="38" t="str">
        <f>IF(V55="","",IF(V55&lt;U55,"g",""))</f>
        <v/>
      </c>
      <c r="X55" s="39" t="str">
        <f t="shared" si="13"/>
        <v>g</v>
      </c>
      <c r="Y55" s="40" t="str">
        <f>IF(V55="","",IF(V55&gt;R55,"g",""))</f>
        <v/>
      </c>
      <c r="Z55" s="59">
        <f>VLOOKUP(D1,[1]PAC03!D9:AJ44,20,FALSE)</f>
        <v>563</v>
      </c>
      <c r="AA55" s="60">
        <f>VLOOKUP(D1,[1]PAC03!D9:AJ44,21,FALSE)</f>
        <v>458</v>
      </c>
      <c r="AB55" s="45"/>
      <c r="AC55" s="44">
        <f>VLOOKUP(D1,[1]PAC03!D9:AJ44,23,FALSE)</f>
        <v>-0.18650088809946719</v>
      </c>
      <c r="AD55" s="45"/>
      <c r="AE55" s="121" t="str">
        <f>VLOOKUP(D1,[1]PAC03!D9:AJ44,30,FALSE)</f>
        <v/>
      </c>
      <c r="AF55" s="121" t="str">
        <f>VLOOKUP(D1,[1]PAC03!D9:AJ44,31,FALSE)</f>
        <v/>
      </c>
      <c r="AG55" s="45"/>
      <c r="AH55" s="91" t="str">
        <f>VLOOKUP(D1,[1]PAC03!D9:AJ44,33,FALSE)</f>
        <v/>
      </c>
      <c r="AI55" s="45"/>
      <c r="AJ55" s="45"/>
      <c r="AK55" s="45"/>
    </row>
    <row r="56" spans="1:37" ht="21" customHeight="1" thickBot="1" x14ac:dyDescent="0.3">
      <c r="A56" s="180"/>
      <c r="B56" s="118" t="s">
        <v>296</v>
      </c>
      <c r="C56" s="181" t="str">
        <f>VLOOKUP(B56,[1]IndiceIndicadores!$B$6:$N$75,3,FALSE)</f>
        <v>Desarrollar TI para la gestión</v>
      </c>
      <c r="D56" s="119" t="str">
        <f>VLOOKUP(B56,[1]IndiceIndicadores!$B$6:$N$75,2,FALSE)</f>
        <v>Respaldo Estratégico</v>
      </c>
      <c r="E56" s="119" t="str">
        <f>VLOOKUP(B56,[1]IndiceIndicadores!$B$6:$N$75,8,FALSE)</f>
        <v>Carlos Paredes</v>
      </c>
      <c r="F56" s="119" t="str">
        <f>VLOOKUP(B56,[1]IndiceIndicadores!$B$6:$N$75,9,FALSE)</f>
        <v>Carlos Paredes</v>
      </c>
      <c r="G56" s="119" t="str">
        <f>VLOOKUP(B56,[1]IndiceIndicadores!$B$6:$N$75,6,FALSE)</f>
        <v>(Hr utilizadas en proyectos estratégicos) / S (Hr disponibles) x 100</v>
      </c>
      <c r="H56" s="190"/>
      <c r="I56" s="35" t="str">
        <f>VLOOKUP(B56,[1]IndiceIndicadores!$B$6:$N$75,4,FALSE)</f>
        <v>%</v>
      </c>
      <c r="J56" s="36">
        <f>VLOOKUP(D1,[1]PAC04!$B$12:$K$47,9,FALSE)</f>
        <v>0.7</v>
      </c>
      <c r="K56" s="36"/>
      <c r="L56" s="36"/>
      <c r="M56" s="36">
        <f>VLOOKUP(D1,[1]PAC04!$B$12:$K$47,10,FALSE)</f>
        <v>0.5</v>
      </c>
      <c r="N56" s="37">
        <f>VLOOKUP(D1,[1]PAC04!$B$12:$K$47,5,FALSE)</f>
        <v>0.30980000000000002</v>
      </c>
      <c r="O56" s="38" t="str">
        <f>IF(N56="","",IF(N56&gt;J56,"g",""))</f>
        <v/>
      </c>
      <c r="P56" s="39" t="str">
        <f t="shared" si="14"/>
        <v/>
      </c>
      <c r="Q56" s="40" t="str">
        <f>IF(N56="","",IF(N56&lt;M56,"g",""))</f>
        <v>g</v>
      </c>
      <c r="R56" s="96"/>
      <c r="S56" s="96"/>
      <c r="T56" s="96"/>
      <c r="U56" s="96"/>
      <c r="V56" s="53"/>
      <c r="W56" s="38"/>
      <c r="X56" s="39"/>
      <c r="Y56" s="40"/>
      <c r="Z56" s="43">
        <f>VLOOKUP(D1,[1]PAC04!$B$12:$T$47,14,FALSE)</f>
        <v>0</v>
      </c>
      <c r="AA56" s="44">
        <f>VLOOKUP(D1,[1]PAC04!$B$12:$T$47,15,FALSE)</f>
        <v>0.30980000000000002</v>
      </c>
      <c r="AB56" s="45"/>
      <c r="AC56" s="44">
        <f>VLOOKUP(D1,[1]PAC04!$B$12:$T$47,17,FALSE)</f>
        <v>0</v>
      </c>
      <c r="AD56" s="45"/>
      <c r="AE56" s="45"/>
      <c r="AF56" s="45"/>
      <c r="AG56" s="45"/>
      <c r="AH56" s="91"/>
      <c r="AI56" s="45"/>
      <c r="AJ56" s="45"/>
      <c r="AK56" s="45"/>
    </row>
    <row r="57" spans="1:37" ht="21" customHeight="1" thickBot="1" x14ac:dyDescent="0.3">
      <c r="A57" s="180"/>
      <c r="B57" s="118" t="s">
        <v>297</v>
      </c>
      <c r="C57" s="182"/>
      <c r="D57" s="119" t="str">
        <f>VLOOKUP(B57,[1]IndiceIndicadores!$B$6:$N$75,2,FALSE)</f>
        <v>Nivel de Servicio TI</v>
      </c>
      <c r="E57" s="119" t="str">
        <f>VLOOKUP(B57,[1]IndiceIndicadores!$B$6:$N$75,8,FALSE)</f>
        <v>Carlos Paredes</v>
      </c>
      <c r="F57" s="119" t="str">
        <f>VLOOKUP(B57,[1]IndiceIndicadores!$B$6:$N$75,9,FALSE)</f>
        <v>Carlos Paredes</v>
      </c>
      <c r="G57" s="119" t="str">
        <f>VLOOKUP(B57,[1]IndiceIndicadores!$B$6:$N$75,6,FALSE)</f>
        <v>S(Peso  x  % nivel de servicio)</v>
      </c>
      <c r="H57" s="190"/>
      <c r="I57" s="35" t="str">
        <f>VLOOKUP(B57,[1]IndiceIndicadores!$B$6:$N$75,4,FALSE)</f>
        <v>%</v>
      </c>
      <c r="J57" s="36">
        <f>VLOOKUP(D1,[1]PAC05!$B$12:$H$36,6,FALSE)</f>
        <v>0.85</v>
      </c>
      <c r="K57" s="36"/>
      <c r="L57" s="36"/>
      <c r="M57" s="36">
        <f>VLOOKUP(D1,[1]PAC05!$B$12:$H$36,7,FALSE)</f>
        <v>0.7</v>
      </c>
      <c r="N57" s="42">
        <f>VLOOKUP(D1,[1]PAC05!$B$12:$H$36,2,FALSE)</f>
        <v>0.7</v>
      </c>
      <c r="O57" s="38" t="str">
        <f>IF(N57="","",IF(N57&gt;=J57,"g",""))</f>
        <v/>
      </c>
      <c r="P57" s="39" t="str">
        <f>IF(N57="","",IF(N57&lt;J57,IF(N57&gt;=M57,"g",""),""))</f>
        <v>g</v>
      </c>
      <c r="Q57" s="40" t="str">
        <f>IF(N57="","",IF(N57&lt;M57,"g",""))</f>
        <v/>
      </c>
      <c r="R57" s="96"/>
      <c r="S57" s="96"/>
      <c r="T57" s="96"/>
      <c r="U57" s="96"/>
      <c r="V57" s="53"/>
      <c r="W57" s="38"/>
      <c r="X57" s="39"/>
      <c r="Y57" s="40"/>
      <c r="Z57" s="70" t="str">
        <f>VLOOKUP(D1,[1]PAC05!$B$12:$S$47,12,FALSE)</f>
        <v/>
      </c>
      <c r="AA57" s="45">
        <f>VLOOKUP(D1,[1]PAC05!$B$12:$S$47,13,FALSE)</f>
        <v>0.7</v>
      </c>
      <c r="AB57" s="45"/>
      <c r="AC57" s="44" t="e">
        <f>VLOOKUP(D1,[1]PAC05!$B$12:$S$47,15,FALSE)</f>
        <v>#VALUE!</v>
      </c>
      <c r="AD57" s="45"/>
      <c r="AE57" s="45"/>
      <c r="AF57" s="45"/>
      <c r="AG57" s="45"/>
      <c r="AH57" s="91"/>
      <c r="AI57" s="45"/>
      <c r="AJ57" s="45"/>
      <c r="AK57" s="45"/>
    </row>
    <row r="58" spans="1:37" ht="21" customHeight="1" thickBot="1" x14ac:dyDescent="0.3">
      <c r="A58" s="180"/>
      <c r="B58" s="118" t="s">
        <v>298</v>
      </c>
      <c r="C58" s="183"/>
      <c r="D58" s="119" t="str">
        <f>VLOOKUP(B58,[1]IndiceIndicadores!$B$6:$N$75,2,FALSE)</f>
        <v>Seguridad de la Información</v>
      </c>
      <c r="E58" s="119" t="str">
        <f>VLOOKUP(B58,[1]IndiceIndicadores!$B$6:$N$75,8,FALSE)</f>
        <v>Carlos Paredes</v>
      </c>
      <c r="F58" s="119" t="str">
        <f>VLOOKUP(B58,[1]IndiceIndicadores!$B$6:$N$75,9,FALSE)</f>
        <v>Carlos Paredes</v>
      </c>
      <c r="G58" s="119" t="str">
        <f>VLOOKUP(B58,[1]IndiceIndicadores!$B$6:$N$75,6,FALSE)</f>
        <v>%Integridad x %Confidencialidad x %Disponibilidad</v>
      </c>
      <c r="H58" s="190"/>
      <c r="I58" s="35" t="str">
        <f>VLOOKUP(B58,[1]IndiceIndicadores!$B$6:$N$75,4,FALSE)</f>
        <v>%</v>
      </c>
      <c r="J58" s="36" t="e">
        <f>VLOOKUP(D1,[1]PAC06!B9:I33,7,FALSE)</f>
        <v>#N/A</v>
      </c>
      <c r="K58" s="36"/>
      <c r="L58" s="36"/>
      <c r="M58" s="36" t="e">
        <f>VLOOKUP(D1,[1]PAC06!B9:I33,8,FALSE)</f>
        <v>#N/A</v>
      </c>
      <c r="N58" s="37" t="e">
        <f>VLOOKUP(D1,[1]PAC06!B9:I33,3,FALSE)</f>
        <v>#N/A</v>
      </c>
      <c r="O58" s="38" t="e">
        <f>IF(N58="","",IF(N58&gt;J58,"g",""))</f>
        <v>#N/A</v>
      </c>
      <c r="P58" s="39" t="e">
        <f t="shared" si="14"/>
        <v>#N/A</v>
      </c>
      <c r="Q58" s="40" t="e">
        <f>IF(N58="","",IF(N58&lt;M58,"g",""))</f>
        <v>#N/A</v>
      </c>
      <c r="R58" s="96"/>
      <c r="S58" s="96"/>
      <c r="T58" s="96"/>
      <c r="U58" s="96"/>
      <c r="V58" s="53"/>
      <c r="W58" s="38"/>
      <c r="X58" s="39"/>
      <c r="Y58" s="40"/>
      <c r="Z58" s="43" t="e">
        <f>VLOOKUP(D1,[1]PAC06!B9:Q33,11,FALSE)</f>
        <v>#N/A</v>
      </c>
      <c r="AA58" s="44" t="e">
        <f>VLOOKUP(D1,[1]PAC06!B9:Q33,12,FALSE)</f>
        <v>#N/A</v>
      </c>
      <c r="AB58" s="45"/>
      <c r="AC58" s="44" t="e">
        <f>VLOOKUP(D1,[1]PAC06!B9:Q33,14,FALSE)</f>
        <v>#N/A</v>
      </c>
      <c r="AD58" s="45"/>
      <c r="AE58" s="45"/>
      <c r="AF58" s="45"/>
      <c r="AG58" s="45"/>
      <c r="AH58" s="91"/>
      <c r="AI58" s="45"/>
      <c r="AJ58" s="45"/>
      <c r="AK58" s="45"/>
    </row>
    <row r="59" spans="1:37" ht="21" customHeight="1" thickBot="1" x14ac:dyDescent="0.3">
      <c r="A59" s="180"/>
      <c r="B59" s="118" t="s">
        <v>299</v>
      </c>
      <c r="C59" s="181" t="str">
        <f>VLOOKUP(B59,[1]IndiceIndicadores!$B$6:$N$75,3,FALSE)</f>
        <v>Seleccionar personal con alto rendimiento</v>
      </c>
      <c r="D59" s="119" t="str">
        <f>VLOOKUP(B59,[1]IndiceIndicadores!$B$6:$N$75,2,FALSE)</f>
        <v>Calidad de Contratacion</v>
      </c>
      <c r="E59" s="119" t="str">
        <f>VLOOKUP(B59,[1]IndiceIndicadores!$B$6:$N$75,8,FALSE)</f>
        <v>Ernesto Nuñez Del Prado</v>
      </c>
      <c r="F59" s="119" t="str">
        <f>VLOOKUP(B59,[1]IndiceIndicadores!$B$6:$N$75,9,FALSE)</f>
        <v>Raúl Nuñez</v>
      </c>
      <c r="G59" s="119" t="str">
        <f>VLOOKUP(B59,[1]IndiceIndicadores!$B$6:$N$75,6,FALSE)</f>
        <v>CC = Personal con 1 año de antiguedad - retiros voluntarios - ceces / Personal con 1 año de antiguedad - retiros voluntarios</v>
      </c>
      <c r="H59" s="190"/>
      <c r="I59" s="35" t="str">
        <f>VLOOKUP(B59,[1]IndiceIndicadores!$B$6:$N$75,4,FALSE)</f>
        <v>%</v>
      </c>
      <c r="J59" s="36">
        <f>VLOOKUP(D1,'[1]PAC08-A'!D9:P44,6,FALSE)</f>
        <v>0.9</v>
      </c>
      <c r="K59" s="36"/>
      <c r="L59" s="36"/>
      <c r="M59" s="36">
        <f>VLOOKUP(D1,'[1]PAC08-A'!D9:P44,7,FALSE)</f>
        <v>0.85</v>
      </c>
      <c r="N59" s="37">
        <f>VLOOKUP(D1,'[1]PAC08-A'!D9:P44,2,FALSE)</f>
        <v>1</v>
      </c>
      <c r="O59" s="38" t="str">
        <f>IF(N59="","",IF(N59&gt;J59,"g",""))</f>
        <v>g</v>
      </c>
      <c r="P59" s="39" t="str">
        <f t="shared" si="14"/>
        <v/>
      </c>
      <c r="Q59" s="40" t="str">
        <f>IF(N59="","",IF(N59&lt;M59,"g",""))</f>
        <v/>
      </c>
      <c r="R59" s="41">
        <f>VLOOKUP(D1,'[1]PAC08-A'!D9:P44,12,FALSE)</f>
        <v>0.9</v>
      </c>
      <c r="S59" s="41"/>
      <c r="T59" s="41"/>
      <c r="U59" s="41">
        <f>VLOOKUP(D1,'[1]PAC08-A'!D9:P44,13,FALSE)</f>
        <v>0.85</v>
      </c>
      <c r="V59" s="42">
        <f>VLOOKUP(D1,'[1]PAC08-A'!D9:P44,8,FALSE)</f>
        <v>0.9375</v>
      </c>
      <c r="W59" s="38" t="str">
        <f t="shared" ref="W59:W64" si="15">IF(V59="","",IF(V59&gt;R59,"g",""))</f>
        <v>g</v>
      </c>
      <c r="X59" s="39" t="str">
        <f t="shared" ref="X59:X67" si="16">IF(V59="","",IF(V59&lt;=R59,IF(V59&gt;=U59,"g",""),""))</f>
        <v/>
      </c>
      <c r="Y59" s="40" t="str">
        <f t="shared" ref="Y59:Y64" si="17">IF(V59="","",IF(V59&lt;U59,"g",""))</f>
        <v/>
      </c>
      <c r="Z59" s="43">
        <f>VLOOKUP(D1,'[1]PAC08-A'!D9:AJ44,20,FALSE)</f>
        <v>0</v>
      </c>
      <c r="AA59" s="44">
        <f>VLOOKUP(D1,'[1]PAC08-A'!D9:AJ44,21,FALSE)</f>
        <v>1</v>
      </c>
      <c r="AB59" s="44"/>
      <c r="AC59" s="44" t="e">
        <f>VLOOKUP(D1,'[1]PAC08-A'!D9:AJ44,23,FALSE)</f>
        <v>#DIV/0!</v>
      </c>
      <c r="AD59" s="44"/>
      <c r="AE59" s="44">
        <f>VLOOKUP(D1,'[1]PAC08-A'!D9:AJ44,30,FALSE)</f>
        <v>0</v>
      </c>
      <c r="AF59" s="44">
        <f>VLOOKUP(D1,'[1]PAC08-A'!D9:AJ44,31,FALSE)</f>
        <v>0.9375</v>
      </c>
      <c r="AG59" s="44"/>
      <c r="AH59" s="44" t="e">
        <f>VLOOKUP(D1,'[1]PAC08-A'!D9:AJ44,33,FALSE)</f>
        <v>#DIV/0!</v>
      </c>
      <c r="AI59" s="44"/>
      <c r="AJ59" s="44"/>
      <c r="AK59" s="44"/>
    </row>
    <row r="60" spans="1:37" ht="21" customHeight="1" thickBot="1" x14ac:dyDescent="0.3">
      <c r="A60" s="180"/>
      <c r="B60" s="118" t="s">
        <v>300</v>
      </c>
      <c r="C60" s="183"/>
      <c r="D60" s="119" t="str">
        <f>VLOOKUP(B60,[1]IndiceIndicadores!$B$6:$N$75,2,FALSE)</f>
        <v>Tiempo para cubrir una Posición</v>
      </c>
      <c r="E60" s="119" t="str">
        <f>VLOOKUP(B60,[1]IndiceIndicadores!$B$6:$N$75,8,FALSE)</f>
        <v>Ernesto Nuñez Del Prado</v>
      </c>
      <c r="F60" s="119" t="str">
        <f>VLOOKUP(B60,[1]IndiceIndicadores!$B$6:$N$75,9,FALSE)</f>
        <v>Raúl Nuñez</v>
      </c>
      <c r="G60" s="119" t="str">
        <f>VLOOKUP(B60,[1]IndiceIndicadores!$B$6:$N$75,6,FALSE)</f>
        <v>TCP = Tiempo  total en contratar / Ingresos</v>
      </c>
      <c r="H60" s="190"/>
      <c r="I60" s="35" t="str">
        <f>VLOOKUP(B60,[1]IndiceIndicadores!$B$6:$N$75,4,FALSE)</f>
        <v>Unid</v>
      </c>
      <c r="J60" s="71">
        <f>VLOOKUP(D1, '[1]PAC08-B'!D9:AJ44,6,FALSE)</f>
        <v>35</v>
      </c>
      <c r="K60" s="71"/>
      <c r="L60" s="71"/>
      <c r="M60" s="71">
        <f>VLOOKUP(D1, '[1]PAC08-B'!D9:AJ44,7,FALSE)</f>
        <v>30</v>
      </c>
      <c r="N60" s="56">
        <f>VLOOKUP(D1, '[1]PAC08-B'!D9:AJ44,2,FALSE)</f>
        <v>7</v>
      </c>
      <c r="O60" s="38" t="str">
        <f>IF(N60="","",IF(N60&lt;=M60,"g",""))</f>
        <v>g</v>
      </c>
      <c r="P60" s="39" t="str">
        <f>IF(N60="","",IF(N60&lt;J60,IF(N60&gt;M60,"g",""),""))</f>
        <v/>
      </c>
      <c r="Q60" s="40" t="str">
        <f>IF(N60="","",IF(N60&gt;=J60,"g",""))</f>
        <v/>
      </c>
      <c r="R60" s="73">
        <f>VLOOKUP(D1, '[1]PAC08-B'!D9:AJ44,12,FALSE)</f>
        <v>35</v>
      </c>
      <c r="S60" s="73"/>
      <c r="T60" s="73"/>
      <c r="U60" s="73">
        <f>VLOOKUP(D1, '[1]PAC08-B'!D9:AJ44,13,FALSE)</f>
        <v>30</v>
      </c>
      <c r="V60" s="72">
        <f>VLOOKUP(D1, '[1]PAC08-B'!D9:AJ44,8,FALSE)</f>
        <v>39.582524271844662</v>
      </c>
      <c r="W60" s="38" t="str">
        <f>IF(V60="","",IF(V60&lt;=U60,"g",""))</f>
        <v/>
      </c>
      <c r="X60" s="39" t="str">
        <f>IF(V60="","",IF(V60&lt;R60,IF(V60&gt;U60,"g",""),""))</f>
        <v/>
      </c>
      <c r="Y60" s="40" t="str">
        <f>IF(V60="","",IF(V60&gt;=R60,"g",""))</f>
        <v>g</v>
      </c>
      <c r="Z60" s="59">
        <f>VLOOKUP(D1, '[1]PAC08-B'!D9:AJ44,20,FALSE)</f>
        <v>48</v>
      </c>
      <c r="AA60" s="60">
        <f>VLOOKUP(D1, '[1]PAC08-B'!D9:AJ44,21,FALSE)</f>
        <v>7</v>
      </c>
      <c r="AB60" s="45"/>
      <c r="AC60" s="44">
        <f>VLOOKUP(D1, '[1]PAC08-B'!D9:AJ44,23,FALSE)</f>
        <v>-0.85416666666666663</v>
      </c>
      <c r="AD60" s="45"/>
      <c r="AE60" s="60">
        <f>VLOOKUP(D1, '[1]PAC08-B'!D9:AJ44,30,FALSE)</f>
        <v>30.691489361702128</v>
      </c>
      <c r="AF60" s="60">
        <f>VLOOKUP(D1, '[1]PAC08-B'!D9:AJ44,31,FALSE)</f>
        <v>39.582524271844662</v>
      </c>
      <c r="AG60" s="45"/>
      <c r="AH60" s="91">
        <f>VLOOKUP(D1, '[1]PAC08-B'!D9:AJ44,33,FALSE)</f>
        <v>0.28969056552977412</v>
      </c>
      <c r="AI60" s="45"/>
      <c r="AJ60" s="45"/>
      <c r="AK60" s="45"/>
    </row>
    <row r="61" spans="1:37" ht="21" customHeight="1" thickBot="1" x14ac:dyDescent="0.3">
      <c r="A61" s="180"/>
      <c r="B61" s="118" t="s">
        <v>301</v>
      </c>
      <c r="C61" s="181" t="str">
        <f>VLOOKUP(B64,[1]IndiceIndicadores!$B$6:$N$75,3,FALSE)</f>
        <v>Contar con personal con alto rendimiento</v>
      </c>
      <c r="D61" s="119" t="str">
        <f>VLOOKUP(B61,[1]IndiceIndicadores!$B$6:$N$75,2,FALSE)</f>
        <v>% de Personal con Objetivos Aprobados</v>
      </c>
      <c r="E61" s="119" t="str">
        <f>VLOOKUP(B61,[1]IndiceIndicadores!$B$6:$N$75,8,FALSE)</f>
        <v>Ernesto Nuñez Del Prado</v>
      </c>
      <c r="F61" s="119" t="str">
        <f>VLOOKUP(B61,[1]IndiceIndicadores!$B$6:$N$75,9,FALSE)</f>
        <v>Raúl Nuñez</v>
      </c>
      <c r="G61" s="119" t="str">
        <f>VLOOKUP(B61,[1]IndiceIndicadores!$B$6:$N$75,6,FALSE)</f>
        <v>POA = o Personas con objetivos aprobados / Personas con acceso a GEDEX x 100</v>
      </c>
      <c r="H61" s="190"/>
      <c r="I61" s="35" t="str">
        <f>VLOOKUP(B61,[1]IndiceIndicadores!$B$6:$N$75,4,FALSE)</f>
        <v>%</v>
      </c>
      <c r="J61" s="36">
        <f>VLOOKUP(D1, '[1]PAC08-C'!D9:AJ44,6,FALSE)</f>
        <v>1</v>
      </c>
      <c r="K61" s="36"/>
      <c r="L61" s="36"/>
      <c r="M61" s="36">
        <f>VLOOKUP(D1, '[1]PAC08-C'!D9:AJ44,7,FALSE)</f>
        <v>0.99</v>
      </c>
      <c r="N61" s="37">
        <f>VLOOKUP(D1, '[1]PAC08-C'!D9:AJ44,2,FALSE)</f>
        <v>0.72784810126582278</v>
      </c>
      <c r="O61" s="38" t="str">
        <f>IF(N61="","",IF(N61&gt;J61,"g",""))</f>
        <v/>
      </c>
      <c r="P61" s="39" t="str">
        <f t="shared" ref="P61:P70" si="18">IF(N61="","",IF(N61&lt;=J61,IF(N61&gt;=M61,"g",""),""))</f>
        <v/>
      </c>
      <c r="Q61" s="40" t="str">
        <f>IF(N61="","",IF(N61&lt;M61,"g",""))</f>
        <v>g</v>
      </c>
      <c r="R61" s="41">
        <f>VLOOKUP(D1, '[1]PAC08-C'!D9:AJ44,12,FALSE)</f>
        <v>1</v>
      </c>
      <c r="S61" s="41"/>
      <c r="T61" s="41"/>
      <c r="U61" s="41">
        <f>VLOOKUP(D1, '[1]PAC08-C'!D9:AJ44,13,FALSE)</f>
        <v>0.99</v>
      </c>
      <c r="V61" s="42">
        <f>VLOOKUP(D1, '[1]PAC08-C'!D9:AJ44,8,FALSE)</f>
        <v>2.037974683544304</v>
      </c>
      <c r="W61" s="38" t="str">
        <f t="shared" si="15"/>
        <v>g</v>
      </c>
      <c r="X61" s="39" t="str">
        <f t="shared" si="16"/>
        <v/>
      </c>
      <c r="Y61" s="40" t="str">
        <f t="shared" si="17"/>
        <v/>
      </c>
      <c r="Z61" s="77" t="str">
        <f>VLOOKUP(D1, '[1]PAC08-C'!D9:AJ44,20,FALSE)</f>
        <v/>
      </c>
      <c r="AA61" s="45">
        <f>VLOOKUP(D1, '[1]PAC08-C'!D9:AJ44,21,FALSE)</f>
        <v>0</v>
      </c>
      <c r="AB61" s="45"/>
      <c r="AC61" s="44" t="str">
        <f>VLOOKUP(D1, '[1]PAC08-C'!D9:AJ44, 23,FALSE)</f>
        <v/>
      </c>
      <c r="AD61" s="45"/>
      <c r="AE61" s="45" t="str">
        <f>VLOOKUP(D1, '[1]PAC08-C'!D9:AJ44,30,FALSE)</f>
        <v/>
      </c>
      <c r="AF61" s="45">
        <f>VLOOKUP(D1, '[1]PAC08-C'!D9:AJ44,31,FALSE)</f>
        <v>2.037974683544304</v>
      </c>
      <c r="AG61" s="45"/>
      <c r="AH61" s="91" t="str">
        <f>VLOOKUP(D1, '[1]PAC08-C'!D9:AJ44,33,FALSE)</f>
        <v/>
      </c>
      <c r="AI61" s="45"/>
      <c r="AJ61" s="45"/>
      <c r="AK61" s="45"/>
    </row>
    <row r="62" spans="1:37" ht="21" customHeight="1" thickBot="1" x14ac:dyDescent="0.3">
      <c r="A62" s="180"/>
      <c r="B62" s="118" t="s">
        <v>302</v>
      </c>
      <c r="C62" s="182"/>
      <c r="D62" s="119" t="str">
        <f>VLOOKUP(B62,[1]IndiceIndicadores!$B$6:$N$75,2,FALSE)</f>
        <v>% de Personal Evaluados con evaluación Firmada</v>
      </c>
      <c r="E62" s="119" t="str">
        <f>VLOOKUP(B62,[1]IndiceIndicadores!$B$6:$N$75,8,FALSE)</f>
        <v>Ernesto Nuñez Del Prado</v>
      </c>
      <c r="F62" s="119" t="str">
        <f>VLOOKUP(B62,[1]IndiceIndicadores!$B$6:$N$75,9,FALSE)</f>
        <v>Raúl Nuñez</v>
      </c>
      <c r="G62" s="119" t="str">
        <f>VLOOKUP(B62,[1]IndiceIndicadores!$B$6:$N$75,6,FALSE)</f>
        <v>PEEF = Personas evaluadas con evaluación firmada / Personas con objetivos aprobados x 100</v>
      </c>
      <c r="H62" s="190"/>
      <c r="I62" s="35" t="str">
        <f>VLOOKUP(B62,[1]IndiceIndicadores!$B$6:$N$75,4,FALSE)</f>
        <v>%</v>
      </c>
      <c r="J62" s="36">
        <f>VLOOKUP(D1, '[1]PAC08-D'!D9:AJ44,6,FALSE)</f>
        <v>0</v>
      </c>
      <c r="K62" s="36"/>
      <c r="L62" s="36"/>
      <c r="M62" s="36">
        <f>VLOOKUP(D1, '[1]PAC08-D'!D9:AJ44,7,FALSE)</f>
        <v>0</v>
      </c>
      <c r="N62" s="37">
        <f>VLOOKUP(D1, '[1]PAC08-D'!D9:AJ44,2,FALSE)</f>
        <v>0</v>
      </c>
      <c r="O62" s="38" t="str">
        <f>IF(N62="","",IF(N62&gt;J62,"g",""))</f>
        <v/>
      </c>
      <c r="P62" s="39" t="str">
        <f t="shared" si="18"/>
        <v>g</v>
      </c>
      <c r="Q62" s="40" t="str">
        <f>IF(N62="","",IF(N62&lt;M62,"g",""))</f>
        <v/>
      </c>
      <c r="R62" s="41">
        <f>VLOOKUP(D1, '[1]PAC08-D'!D9:AJ44,12,FALSE)</f>
        <v>0</v>
      </c>
      <c r="S62" s="41"/>
      <c r="T62" s="41"/>
      <c r="U62" s="41">
        <f>VLOOKUP(D1, '[1]PAC08-D'!D9:AJ44,13,FALSE)</f>
        <v>0</v>
      </c>
      <c r="V62" s="42">
        <f>VLOOKUP(D1, '[1]PAC08-D'!D9:AJ44,8,FALSE)</f>
        <v>0</v>
      </c>
      <c r="W62" s="38" t="str">
        <f t="shared" si="15"/>
        <v/>
      </c>
      <c r="X62" s="39" t="str">
        <f t="shared" si="16"/>
        <v>g</v>
      </c>
      <c r="Y62" s="40" t="str">
        <f t="shared" si="17"/>
        <v/>
      </c>
      <c r="Z62" s="77" t="str">
        <f>VLOOKUP(D1, '[1]PAC08-D'!D9:AJ44,20,FALSE)</f>
        <v/>
      </c>
      <c r="AA62" s="45">
        <f>VLOOKUP(D1, '[1]PAC08-D'!D9:AJ44,21,FALSE)</f>
        <v>0</v>
      </c>
      <c r="AB62" s="45"/>
      <c r="AC62" s="44" t="str">
        <f>VLOOKUP(D1, '[1]PAC08-D'!D9:AJ44,23,FALSE)</f>
        <v/>
      </c>
      <c r="AD62" s="45"/>
      <c r="AE62" s="45" t="str">
        <f>VLOOKUP(D1, '[1]PAC08-D'!D9:AJ44,30,FALSE)</f>
        <v/>
      </c>
      <c r="AF62" s="45" t="str">
        <f>VLOOKUP(D1, '[1]PAC08-D'!D9:AJ44,31,FALSE)</f>
        <v/>
      </c>
      <c r="AG62" s="45"/>
      <c r="AH62" s="91" t="str">
        <f>VLOOKUP(D1, '[1]PAC08-D'!D9:AJ44,33,FALSE)</f>
        <v/>
      </c>
      <c r="AI62" s="45"/>
      <c r="AJ62" s="45"/>
      <c r="AK62" s="45"/>
    </row>
    <row r="63" spans="1:37" ht="21" customHeight="1" thickBot="1" x14ac:dyDescent="0.3">
      <c r="A63" s="180"/>
      <c r="B63" s="118" t="s">
        <v>303</v>
      </c>
      <c r="C63" s="182"/>
      <c r="D63" s="119" t="str">
        <f>VLOOKUP(B63,[1]IndiceIndicadores!$B$6:$N$75,2,FALSE)</f>
        <v>Número de Asesorías realizadas por personas</v>
      </c>
      <c r="E63" s="119" t="str">
        <f>VLOOKUP(B63,[1]IndiceIndicadores!$B$6:$N$75,8,FALSE)</f>
        <v>Ernesto Nuñez Del Prado</v>
      </c>
      <c r="F63" s="119" t="str">
        <f>VLOOKUP(B63,[1]IndiceIndicadores!$B$6:$N$75,9,FALSE)</f>
        <v>Raúl Nuñez</v>
      </c>
      <c r="G63" s="119" t="str">
        <f>VLOOKUP(B63,[1]IndiceIndicadores!$B$6:$N$75,6,FALSE)</f>
        <v>ARP =  Asesorías realizadas / Personas con objetivos aprobados</v>
      </c>
      <c r="H63" s="190"/>
      <c r="I63" s="35" t="str">
        <f>VLOOKUP(B63,[1]IndiceIndicadores!$B$6:$N$75,4,FALSE)</f>
        <v>%</v>
      </c>
      <c r="J63" s="36">
        <f>VLOOKUP(D1, '[1]PAC08-E'!D9:AJ44,6,FALSE)</f>
        <v>0</v>
      </c>
      <c r="K63" s="36"/>
      <c r="L63" s="36"/>
      <c r="M63" s="36">
        <f>VLOOKUP(D1, '[1]PAC08-E'!D9:AJ44,7,FALSE)</f>
        <v>0</v>
      </c>
      <c r="N63" s="37">
        <f>VLOOKUP(D1, '[1]PAC08-E'!D9:AJ44,2,FALSE)</f>
        <v>0</v>
      </c>
      <c r="O63" s="38" t="str">
        <f>IF(N63="","",IF(N63&gt;J63,"g",""))</f>
        <v/>
      </c>
      <c r="P63" s="39" t="str">
        <f t="shared" si="18"/>
        <v>g</v>
      </c>
      <c r="Q63" s="40" t="str">
        <f>IF(N63="","",IF(N63&lt;M63,"g",""))</f>
        <v/>
      </c>
      <c r="R63" s="41">
        <f>VLOOKUP(D1, '[1]PAC08-E'!D9:AJ44,12,FALSE)</f>
        <v>0</v>
      </c>
      <c r="S63" s="41"/>
      <c r="T63" s="41"/>
      <c r="U63" s="41">
        <f>VLOOKUP(D1, '[1]PAC08-E'!D9:AJ44,13,FALSE)</f>
        <v>0</v>
      </c>
      <c r="V63" s="42">
        <f>VLOOKUP(D1, '[1]PAC08-E'!D9:AJ44,8,FALSE)</f>
        <v>0</v>
      </c>
      <c r="W63" s="38" t="str">
        <f t="shared" si="15"/>
        <v/>
      </c>
      <c r="X63" s="39" t="str">
        <f t="shared" si="16"/>
        <v>g</v>
      </c>
      <c r="Y63" s="40" t="str">
        <f t="shared" si="17"/>
        <v/>
      </c>
      <c r="Z63" s="77" t="str">
        <f>VLOOKUP(D1, '[1]PAC08-E'!D9:AJ44,20,FALSE)</f>
        <v/>
      </c>
      <c r="AA63" s="45">
        <f>VLOOKUP(D1, '[1]PAC08-E'!D9:AJ44,21,FALSE)</f>
        <v>0</v>
      </c>
      <c r="AB63" s="45"/>
      <c r="AC63" s="44" t="str">
        <f>VLOOKUP(D1, '[1]PAC08-E'!D9:AJ44,23,FALSE)</f>
        <v/>
      </c>
      <c r="AD63" s="45"/>
      <c r="AE63" s="45" t="str">
        <f>VLOOKUP(D1, '[1]PAC08-E'!D9:AJ44,30,FALSE)</f>
        <v/>
      </c>
      <c r="AF63" s="45" t="str">
        <f>VLOOKUP(D1, '[1]PAC08-E'!D9:AJ44,31,FALSE)</f>
        <v/>
      </c>
      <c r="AG63" s="45"/>
      <c r="AH63" s="91" t="str">
        <f>VLOOKUP(D1, '[1]PAC08-E'!D9:AJ44,33,FALSE)</f>
        <v/>
      </c>
      <c r="AI63" s="45"/>
      <c r="AJ63" s="45"/>
      <c r="AK63" s="45"/>
    </row>
    <row r="64" spans="1:37" ht="21" customHeight="1" thickBot="1" x14ac:dyDescent="0.3">
      <c r="A64" s="180"/>
      <c r="B64" s="118" t="s">
        <v>304</v>
      </c>
      <c r="C64" s="182"/>
      <c r="D64" s="119" t="str">
        <f>VLOOKUP(B64,[1]IndiceIndicadores!$B$6:$N$75,2,FALSE)</f>
        <v>% Puestos cubiertos internamente</v>
      </c>
      <c r="E64" s="119" t="str">
        <f>VLOOKUP(B64,[1]IndiceIndicadores!$B$6:$N$75,8,FALSE)</f>
        <v>Ernesto Nuñez Del Prado</v>
      </c>
      <c r="F64" s="119" t="str">
        <f>VLOOKUP(B64,[1]IndiceIndicadores!$B$6:$N$75,9,FALSE)</f>
        <v>Raúl Nuñez</v>
      </c>
      <c r="G64" s="119" t="str">
        <f>VLOOKUP(B64,[1]IndiceIndicadores!$B$6:$N$75,6,FALSE)</f>
        <v>PCI =  Puestos cubiertos internamente / Solicitudes x 100</v>
      </c>
      <c r="H64" s="190"/>
      <c r="I64" s="35" t="str">
        <f>VLOOKUP(B64,[1]IndiceIndicadores!$B$6:$N$75,4,FALSE)</f>
        <v>%</v>
      </c>
      <c r="J64" s="36">
        <f>VLOOKUP(D1, '[1]PAC08-F'!D9:AJ44,6,FALSE)</f>
        <v>0.1</v>
      </c>
      <c r="K64" s="36"/>
      <c r="L64" s="36"/>
      <c r="M64" s="36">
        <f>VLOOKUP(D1, '[1]PAC08-F'!D9:AJ44,7,FALSE)</f>
        <v>0.05</v>
      </c>
      <c r="N64" s="42">
        <f>VLOOKUP(D1, '[1]PAC08-F'!D9:AJ44,2,FALSE)</f>
        <v>0</v>
      </c>
      <c r="O64" s="38" t="str">
        <f>IF(N64="","",IF(N64&gt;J64,"g",""))</f>
        <v/>
      </c>
      <c r="P64" s="39" t="str">
        <f t="shared" si="18"/>
        <v/>
      </c>
      <c r="Q64" s="40" t="str">
        <f>IF(N64="","",IF(N64&lt;M64,"g",""))</f>
        <v>g</v>
      </c>
      <c r="R64" s="41">
        <f>VLOOKUP(D1, '[1]PAC08-F'!D9:AJ44,12,FALSE)</f>
        <v>0.1</v>
      </c>
      <c r="S64" s="41"/>
      <c r="T64" s="41"/>
      <c r="U64" s="41">
        <f>VLOOKUP(D1, '[1]PAC08-F'!D9:AJ44,13,FALSE)</f>
        <v>0.05</v>
      </c>
      <c r="V64" s="42">
        <f>VLOOKUP(D1, '[1]PAC08-F'!D9:AJ44,8,FALSE)</f>
        <v>3.7037037037037035E-2</v>
      </c>
      <c r="W64" s="38" t="str">
        <f t="shared" si="15"/>
        <v/>
      </c>
      <c r="X64" s="39" t="str">
        <f t="shared" si="16"/>
        <v/>
      </c>
      <c r="Y64" s="40" t="str">
        <f t="shared" si="17"/>
        <v>g</v>
      </c>
      <c r="Z64" s="59">
        <f>VLOOKUP(D1, '[1]PAC08-F'!D9:AJ44,20,FALSE)</f>
        <v>0</v>
      </c>
      <c r="AA64" s="60">
        <f>VLOOKUP(D1, '[1]PAC08-F'!D9:AJ44,21,FALSE)</f>
        <v>0</v>
      </c>
      <c r="AB64" s="45"/>
      <c r="AC64" s="45" t="str">
        <f>VLOOKUP(D1, '[1]PAC08-F'!D9:AJ44,23,FALSE)</f>
        <v/>
      </c>
      <c r="AD64" s="45"/>
      <c r="AE64" s="60">
        <f>VLOOKUP(D1, '[1]PAC08-F'!D9:AJ44,30,FALSE)</f>
        <v>0</v>
      </c>
      <c r="AF64" s="121">
        <f>VLOOKUP(D1, '[1]PAC08-F'!D9:AJ44,31,FALSE)</f>
        <v>3.7037037037037035E-2</v>
      </c>
      <c r="AG64" s="45"/>
      <c r="AH64" s="45">
        <f>VLOOKUP(D1, '[1]PAC08-F'!D9:AJ44,33,FALSE)</f>
        <v>0</v>
      </c>
      <c r="AI64" s="45"/>
      <c r="AJ64" s="45"/>
      <c r="AK64" s="45"/>
    </row>
    <row r="65" spans="1:37" ht="21" customHeight="1" thickBot="1" x14ac:dyDescent="0.3">
      <c r="A65" s="180"/>
      <c r="B65" s="118" t="s">
        <v>305</v>
      </c>
      <c r="C65" s="183"/>
      <c r="D65" s="119" t="str">
        <f>VLOOKUP(B65,[1]IndiceIndicadores!$B$6:$N$75,2,FALSE)</f>
        <v>Número de horas de capacitación al personal</v>
      </c>
      <c r="E65" s="119" t="str">
        <f>VLOOKUP(B65,[1]IndiceIndicadores!$B$6:$N$75,8,FALSE)</f>
        <v>Ernesto Nuñez Del Prado</v>
      </c>
      <c r="F65" s="119" t="str">
        <f>VLOOKUP(B65,[1]IndiceIndicadores!$B$6:$N$75,9,FALSE)</f>
        <v>Raúl Nuñez</v>
      </c>
      <c r="G65" s="119" t="str">
        <f>VLOOKUP(B65,[1]IndiceIndicadores!$B$6:$N$75,6,FALSE)</f>
        <v>Horas de capacitación por persona</v>
      </c>
      <c r="H65" s="190"/>
      <c r="I65" s="35" t="str">
        <f>VLOOKUP(B65,[1]IndiceIndicadores!$B$6:$N$75,4,FALSE)</f>
        <v>Unid</v>
      </c>
      <c r="J65" s="122">
        <f>VLOOKUP(D1,  '[1]PAC08-G'!D9:AJ44,6,FALSE)</f>
        <v>2</v>
      </c>
      <c r="K65" s="36"/>
      <c r="L65" s="36"/>
      <c r="M65" s="122">
        <f>VLOOKUP(D1,  '[1]PAC08-G'!D9:AJ44,7,FALSE)</f>
        <v>1.7</v>
      </c>
      <c r="N65" s="123">
        <f>VLOOKUP(D1,  '[1]PAC08-G'!D9:AJ44,2,FALSE)</f>
        <v>0.36026200873362446</v>
      </c>
      <c r="O65" s="38" t="str">
        <f>IF(N65="","",IF(N65&gt;J65,"g",""))</f>
        <v/>
      </c>
      <c r="P65" s="39" t="str">
        <f t="shared" si="18"/>
        <v/>
      </c>
      <c r="Q65" s="40" t="str">
        <f>IF(N65="","",IF(N65&lt;M65,"g",""))</f>
        <v>g</v>
      </c>
      <c r="R65" s="124">
        <f>VLOOKUP(D1,  '[1]PAC08-G'!D9:AJ44,12,FALSE)</f>
        <v>25</v>
      </c>
      <c r="S65" s="41"/>
      <c r="T65" s="41"/>
      <c r="U65" s="124">
        <f>VLOOKUP(D1,  '[1]PAC08-G'!D9:AJ44,13,FALSE)</f>
        <v>20</v>
      </c>
      <c r="V65" s="123">
        <f>VLOOKUP(D1,  '[1]PAC08-G'!D9:AJ44,8,FALSE)</f>
        <v>28.112445414847162</v>
      </c>
      <c r="W65" s="38" t="str">
        <f>IF(V65="","",IF(V65&gt;R65,"g",""))</f>
        <v>g</v>
      </c>
      <c r="X65" s="39" t="str">
        <f>IF(V65="","",IF(V65&lt;=R65,IF(V65&gt;=U65,"g",""),""))</f>
        <v/>
      </c>
      <c r="Y65" s="40" t="str">
        <f>IF(V65="","",IF(V65&lt;U65,"g",""))</f>
        <v/>
      </c>
      <c r="Z65" s="125"/>
      <c r="AA65" s="60">
        <f>VLOOKUP(D1,  '[1]PAC08-G'!D9:AJ44,21,FALSE)</f>
        <v>0.36026200873362446</v>
      </c>
      <c r="AB65" s="45"/>
      <c r="AC65" s="45" t="str">
        <f>VLOOKUP(D1,  '[1]PAC08-G'!D9:AJ44,28,FALSE)</f>
        <v/>
      </c>
      <c r="AD65" s="45"/>
      <c r="AE65" s="60" t="str">
        <f>VLOOKUP(D1,  '[1]PAC08-G'!D9:AJ44,30,FALSE)</f>
        <v/>
      </c>
      <c r="AF65" s="65">
        <f>VLOOKUP(D1,  '[1]PAC08-G'!D9:AJ44,31,FALSE)</f>
        <v>28.112445414847162</v>
      </c>
      <c r="AG65" s="45"/>
      <c r="AH65" s="45">
        <f>VLOOKUP(D1,  '[1]PAC08-G'!D9:AJ44,33,FALSE)</f>
        <v>0</v>
      </c>
      <c r="AI65" s="45"/>
      <c r="AJ65" s="45"/>
      <c r="AK65" s="45"/>
    </row>
    <row r="66" spans="1:37" ht="21" customHeight="1" thickBot="1" x14ac:dyDescent="0.3">
      <c r="A66" s="180"/>
      <c r="B66" s="118" t="s">
        <v>306</v>
      </c>
      <c r="C66" s="181" t="str">
        <f>VLOOKUP(B69,[1]IndiceIndicadores!$B$6:$N$75,3,FALSE)</f>
        <v>Mejorar el clima laboral</v>
      </c>
      <c r="D66" s="119" t="str">
        <f>VLOOKUP(B66,[1]IndiceIndicadores!$B$6:$N$75,2,FALSE)</f>
        <v>Indice de Rotacion Total</v>
      </c>
      <c r="E66" s="119" t="str">
        <f>VLOOKUP(B66,[1]IndiceIndicadores!$B$6:$N$75,8,FALSE)</f>
        <v>Ernesto Nuñez Del Prado</v>
      </c>
      <c r="F66" s="119" t="str">
        <f>VLOOKUP(B66,[1]IndiceIndicadores!$B$6:$N$75,9,FALSE)</f>
        <v>Raúl Nuñez</v>
      </c>
      <c r="G66" s="119" t="str">
        <f>VLOOKUP(B66,[1]IndiceIndicadores!$B$6:$N$75,6,FALSE)</f>
        <v>IRT =  Renuncias voluntarias + ceces / Personal total</v>
      </c>
      <c r="H66" s="190"/>
      <c r="I66" s="35" t="str">
        <f>VLOOKUP(B66,[1]IndiceIndicadores!$B$6:$N$75,4,FALSE)</f>
        <v>%</v>
      </c>
      <c r="J66" s="36">
        <f>VLOOKUP(D1, '[1]PAC09-A'!D9:AJ44,6,FALSE)</f>
        <v>0.01</v>
      </c>
      <c r="K66" s="36"/>
      <c r="L66" s="36"/>
      <c r="M66" s="36">
        <f>VLOOKUP(D1, '[1]PAC09-A'!D9:AJ44,7,FALSE)</f>
        <v>5.0000000000000001E-3</v>
      </c>
      <c r="N66" s="42">
        <f>VLOOKUP(D1, '[1]PAC09-A'!D9:AJ44,2,FALSE)</f>
        <v>1.6889514426460237E-3</v>
      </c>
      <c r="O66" s="38" t="str">
        <f>IF(N66="","",IF(N66&lt;M66,"g",""))</f>
        <v>g</v>
      </c>
      <c r="P66" s="39" t="str">
        <f t="shared" si="18"/>
        <v/>
      </c>
      <c r="Q66" s="40" t="str">
        <f>IF(N66="","",IF(N66&gt;J66,"g",""))</f>
        <v/>
      </c>
      <c r="R66" s="41">
        <f>VLOOKUP(D1, '[1]PAC09-A'!D9:AJ44,12,FALSE)</f>
        <v>0.12</v>
      </c>
      <c r="S66" s="41"/>
      <c r="T66" s="41"/>
      <c r="U66" s="41">
        <f>VLOOKUP(D1, '[1]PAC09-A'!D9:AJ44,13,FALSE)</f>
        <v>0.09</v>
      </c>
      <c r="V66" s="42">
        <f>VLOOKUP(D1, '[1]PAC09-A'!D9:AJ44,8,FALSE)</f>
        <v>9.2892329345531308E-2</v>
      </c>
      <c r="W66" s="38" t="str">
        <f>IF(V66="","",IF(V66&lt;U66,"g",""))</f>
        <v/>
      </c>
      <c r="X66" s="39" t="str">
        <f t="shared" si="16"/>
        <v>g</v>
      </c>
      <c r="Y66" s="40" t="str">
        <f>IF(V66="","",IF(V66&gt;R66,"g",""))</f>
        <v/>
      </c>
      <c r="Z66" s="43">
        <f>VLOOKUP(D1, '[1]PAC09-A'!D9:AJ44,20,FALSE)</f>
        <v>9.1771183848271629E-3</v>
      </c>
      <c r="AA66" s="44">
        <f>VLOOKUP(D1, '[1]PAC09-A'!D9:AJ44,21,FALSE)</f>
        <v>1.6889514426460237E-3</v>
      </c>
      <c r="AB66" s="45"/>
      <c r="AC66" s="45">
        <f>VLOOKUP(D1, '[1]PAC09-A'!D9:AJ44,23,FALSE)</f>
        <v>-0.8159605911330049</v>
      </c>
      <c r="AD66" s="45"/>
      <c r="AE66" s="44">
        <f>VLOOKUP(D1, '[1]PAC09-A'!D9:AJ44,30,FALSE)</f>
        <v>9.7277454879167932E-2</v>
      </c>
      <c r="AF66" s="44">
        <f>VLOOKUP(D1, '[1]PAC09-A'!D9:AJ44,31,FALSE)</f>
        <v>9.2892329345531308E-2</v>
      </c>
      <c r="AG66" s="45"/>
      <c r="AH66" s="44">
        <f>VLOOKUP(D1, '[1]PAC09-A'!D9:AJ44,33,FALSE)</f>
        <v>-4.5078538897667109E-2</v>
      </c>
      <c r="AI66" s="45"/>
      <c r="AJ66" s="45"/>
      <c r="AK66" s="45"/>
    </row>
    <row r="67" spans="1:37" ht="21" customHeight="1" thickBot="1" x14ac:dyDescent="0.3">
      <c r="A67" s="180"/>
      <c r="B67" s="118" t="s">
        <v>307</v>
      </c>
      <c r="C67" s="182"/>
      <c r="D67" s="119" t="str">
        <f>VLOOKUP(B67,[1]IndiceIndicadores!$B$6:$N$75,2,FALSE)</f>
        <v>Indice de Rotacion Voluntaria</v>
      </c>
      <c r="E67" s="119" t="str">
        <f>VLOOKUP(B67,[1]IndiceIndicadores!$B$6:$N$75,8,FALSE)</f>
        <v>Ernesto Nuñez Del Prado</v>
      </c>
      <c r="F67" s="119" t="str">
        <f>VLOOKUP(B67,[1]IndiceIndicadores!$B$6:$N$75,9,FALSE)</f>
        <v>Raúl Nuñez</v>
      </c>
      <c r="G67" s="119" t="str">
        <f>VLOOKUP(B67,[1]IndiceIndicadores!$B$6:$N$75,6,FALSE)</f>
        <v>IRV =  Renuncias voluntarias / Personal Total</v>
      </c>
      <c r="H67" s="190"/>
      <c r="I67" s="35" t="str">
        <f>VLOOKUP(B67,[1]IndiceIndicadores!$B$6:$N$75,4,FALSE)</f>
        <v>%</v>
      </c>
      <c r="J67" s="36">
        <f>VLOOKUP(D1, '[1]PAC09-B'!D9:AJ44,6,FALSE)</f>
        <v>8.0000000000000002E-3</v>
      </c>
      <c r="K67" s="36"/>
      <c r="L67" s="36"/>
      <c r="M67" s="36">
        <f>VLOOKUP(D1, '[1]PAC09-B'!D9:AJ44,7,FALSE)</f>
        <v>5.0000000000000001E-3</v>
      </c>
      <c r="N67" s="42">
        <f>VLOOKUP(D1, '[1]PAC09-B'!D9:AJ44,2,FALSE)</f>
        <v>1.6889514426460237E-3</v>
      </c>
      <c r="O67" s="38" t="str">
        <f>IF(N67="","",IF(N67&lt;M67,"g",""))</f>
        <v>g</v>
      </c>
      <c r="P67" s="39" t="str">
        <f t="shared" si="18"/>
        <v/>
      </c>
      <c r="Q67" s="40" t="str">
        <f>IF(N67="","",IF(N67&gt;J67,"g",""))</f>
        <v/>
      </c>
      <c r="R67" s="41">
        <f>VLOOKUP(D1, '[1]PAC09-B'!D9:AJ44,12,FALSE)</f>
        <v>7.0000000000000007E-2</v>
      </c>
      <c r="S67" s="41"/>
      <c r="T67" s="41"/>
      <c r="U67" s="41">
        <f>VLOOKUP(D1, '[1]PAC09-B'!D9:AJ44,13,FALSE)</f>
        <v>0.06</v>
      </c>
      <c r="V67" s="42">
        <f>VLOOKUP(D1, '[1]PAC09-B'!D9:AJ44,8,FALSE)</f>
        <v>5.404644616467276E-2</v>
      </c>
      <c r="W67" s="38" t="str">
        <f>IF(V67="","",IF(V67&lt;U67,"g",""))</f>
        <v>g</v>
      </c>
      <c r="X67" s="39" t="str">
        <f t="shared" si="16"/>
        <v/>
      </c>
      <c r="Y67" s="40" t="str">
        <f>IF(V67="","",IF(V67&gt;R67,"g",""))</f>
        <v/>
      </c>
      <c r="Z67" s="43">
        <f>VLOOKUP(D1, '[1]PAC09-B'!D9:AJ44,20,FALSE)</f>
        <v>3.6708473539308656E-3</v>
      </c>
      <c r="AA67" s="44">
        <f>VLOOKUP(D1, '[1]PAC09-B'!D9:AJ44,21,FALSE)</f>
        <v>1.6889514426460237E-3</v>
      </c>
      <c r="AB67" s="45"/>
      <c r="AC67" s="45">
        <f>VLOOKUP(D1, '[1]PAC09-B'!D9:AJ44,23,FALSE)</f>
        <v>-0.53990147783251241</v>
      </c>
      <c r="AD67" s="45"/>
      <c r="AE67" s="44">
        <f>VLOOKUP(D1, '[1]PAC09-B'!D9:AJ44,30,FALSE)</f>
        <v>6.2404405016824711E-2</v>
      </c>
      <c r="AF67" s="44">
        <f>VLOOKUP(D1, '[1]PAC09-B'!D9:AJ44,31,FALSE)</f>
        <v>5.404644616467276E-2</v>
      </c>
      <c r="AG67" s="45"/>
      <c r="AH67" s="44">
        <f>VLOOKUP(D1, '[1]PAC09-B'!D9:AJ44,33,FALSE)</f>
        <v>-0.13393219356708197</v>
      </c>
      <c r="AI67" s="45"/>
      <c r="AJ67" s="45"/>
      <c r="AK67" s="45"/>
    </row>
    <row r="68" spans="1:37" ht="21" customHeight="1" thickBot="1" x14ac:dyDescent="0.3">
      <c r="A68" s="180"/>
      <c r="B68" s="118" t="s">
        <v>308</v>
      </c>
      <c r="C68" s="182"/>
      <c r="D68" s="119" t="str">
        <f>VLOOKUP(B68,[1]IndiceIndicadores!$B$6:$N$75,2,FALSE)</f>
        <v>Dias de Vacaciones Vencidas</v>
      </c>
      <c r="E68" s="119" t="str">
        <f>VLOOKUP(B68,[1]IndiceIndicadores!$B$6:$N$75,8,FALSE)</f>
        <v>Ernesto Nuñez Del Prado</v>
      </c>
      <c r="F68" s="119" t="str">
        <f>VLOOKUP(B68,[1]IndiceIndicadores!$B$6:$N$75,9,FALSE)</f>
        <v>Raúl Nuñez</v>
      </c>
      <c r="G68" s="119" t="str">
        <f>VLOOKUP(B68,[1]IndiceIndicadores!$B$6:$N$75,6,FALSE)</f>
        <v>DVV =  Días de vacaciones vencidas acumuladas a la fecha</v>
      </c>
      <c r="H68" s="190"/>
      <c r="I68" s="35" t="str">
        <f>VLOOKUP(B68,[1]IndiceIndicadores!$B$6:$N$75,4,FALSE)</f>
        <v>Unid</v>
      </c>
      <c r="J68" s="71">
        <f>VLOOKUP(D1, '[1]PAC09-C'!D9:AO44,6,FALSE)</f>
        <v>100</v>
      </c>
      <c r="K68" s="71"/>
      <c r="L68" s="71"/>
      <c r="M68" s="71">
        <f>VLOOKUP(D1, '[1]PAC09-C'!D9:AO44,7,FALSE)</f>
        <v>0</v>
      </c>
      <c r="N68" s="56">
        <f>VLOOKUP(D1, '[1]PAC09-C'!D9:AO44,2,FALSE)</f>
        <v>498</v>
      </c>
      <c r="O68" s="38" t="str">
        <f>IF(N68="","",IF(N68&lt;M68,"g",""))</f>
        <v/>
      </c>
      <c r="P68" s="39" t="str">
        <f t="shared" si="18"/>
        <v/>
      </c>
      <c r="Q68" s="40" t="str">
        <f>IF(N68="","",IF(N68&gt;J68,"g",""))</f>
        <v>g</v>
      </c>
      <c r="R68" s="52"/>
      <c r="S68" s="52"/>
      <c r="T68" s="52"/>
      <c r="U68" s="52"/>
      <c r="V68" s="53"/>
      <c r="W68" s="38"/>
      <c r="X68" s="39"/>
      <c r="Y68" s="40"/>
      <c r="Z68" s="125">
        <f>VLOOKUP(D1, '[1]PAC09-C'!D9:AY44,25,FALSE)</f>
        <v>519</v>
      </c>
      <c r="AA68" s="60">
        <f>VLOOKUP(D1, '[1]PAC09-C'!D9:AY44,26,FALSE)</f>
        <v>498</v>
      </c>
      <c r="AB68" s="45"/>
      <c r="AC68" s="45">
        <f>VLOOKUP(D1, '[1]PAC09-C'!D9:AY44,28,FALSE)</f>
        <v>-4.0462427745664775E-2</v>
      </c>
      <c r="AD68" s="45"/>
      <c r="AE68" s="121"/>
      <c r="AF68" s="121"/>
      <c r="AG68" s="45"/>
      <c r="AH68" s="91"/>
      <c r="AI68" s="45"/>
      <c r="AJ68" s="45"/>
      <c r="AK68" s="45"/>
    </row>
    <row r="69" spans="1:37" ht="21" customHeight="1" thickBot="1" x14ac:dyDescent="0.3">
      <c r="A69" s="180"/>
      <c r="B69" s="118" t="s">
        <v>309</v>
      </c>
      <c r="C69" s="182"/>
      <c r="D69" s="119" t="str">
        <f>VLOOKUP(B69,[1]IndiceIndicadores!$B$6:$N$75,2,FALSE)</f>
        <v>Personas con Vacaciones Vencidas</v>
      </c>
      <c r="E69" s="119" t="str">
        <f>VLOOKUP(B69,[1]IndiceIndicadores!$B$6:$N$75,8,FALSE)</f>
        <v>Ernesto Nuñez Del Prado</v>
      </c>
      <c r="F69" s="119" t="str">
        <f>VLOOKUP(B69,[1]IndiceIndicadores!$B$6:$N$75,9,FALSE)</f>
        <v>Raúl Nuñez</v>
      </c>
      <c r="G69" s="119" t="str">
        <f>VLOOKUP(B69,[1]IndiceIndicadores!$B$6:$N$75,6,FALSE)</f>
        <v>PVV = Personas con vacaciones vencidas a la fecha</v>
      </c>
      <c r="H69" s="190"/>
      <c r="I69" s="35" t="str">
        <f>VLOOKUP(B69,[1]IndiceIndicadores!$B$6:$N$75,4,FALSE)</f>
        <v>Unid</v>
      </c>
      <c r="J69" s="126">
        <f>VLOOKUP(D1, '[1]PAC09-C'!D9:AO44,2,FALSE)</f>
        <v>498</v>
      </c>
      <c r="K69" s="126"/>
      <c r="L69" s="126"/>
      <c r="M69" s="126">
        <f>VLOOKUP(D1, '[1]PAC09-C'!D9:AO44,13,FALSE)</f>
        <v>500</v>
      </c>
      <c r="N69" s="68">
        <f>VLOOKUP(D1, '[1]PAC09-C'!D9:AO44,8,FALSE)</f>
        <v>0</v>
      </c>
      <c r="O69" s="38" t="str">
        <f>IF(N69="","",IF(N69&gt;J69,"g",""))</f>
        <v/>
      </c>
      <c r="P69" s="39" t="str">
        <f t="shared" si="18"/>
        <v/>
      </c>
      <c r="Q69" s="40" t="str">
        <f>IF(N69="","",IF(N69&lt;M69,"g",""))</f>
        <v>g</v>
      </c>
      <c r="R69" s="52"/>
      <c r="S69" s="52"/>
      <c r="T69" s="52"/>
      <c r="U69" s="52"/>
      <c r="V69" s="53"/>
      <c r="W69" s="38"/>
      <c r="X69" s="39"/>
      <c r="Y69" s="40"/>
      <c r="Z69" s="127">
        <f>VLOOKUP(D1, '[1]PAC09-C'!D9:AY44,35,FALSE)</f>
        <v>18</v>
      </c>
      <c r="AA69" s="128" t="str">
        <f>VLOOKUP(D1, '[1]PAC09-C'!D9:AY44,36,FALSE)</f>
        <v/>
      </c>
      <c r="AB69" s="129"/>
      <c r="AC69" s="130" t="str">
        <f>VLOOKUP(D1, '[1]PAC09-C'!D9:AY44,38,FALSE)</f>
        <v/>
      </c>
      <c r="AD69" s="129"/>
      <c r="AE69" s="128"/>
      <c r="AF69" s="128"/>
      <c r="AG69" s="129"/>
      <c r="AH69" s="131"/>
      <c r="AI69" s="129"/>
      <c r="AJ69" s="129"/>
      <c r="AK69" s="129"/>
    </row>
    <row r="70" spans="1:37" ht="21" customHeight="1" thickBot="1" x14ac:dyDescent="0.3">
      <c r="A70" s="180"/>
      <c r="B70" s="118" t="s">
        <v>310</v>
      </c>
      <c r="C70" s="183"/>
      <c r="D70" s="119" t="str">
        <f>VLOOKUP(B70,[1]IndiceIndicadores!$B$6:$N$75,2,FALSE)</f>
        <v>Vacaciones Vencidas</v>
      </c>
      <c r="E70" s="119" t="str">
        <f>VLOOKUP(B70,[1]IndiceIndicadores!$B$6:$N$75,8,FALSE)</f>
        <v>Ernesto Nuñez Del Prado</v>
      </c>
      <c r="F70" s="119" t="str">
        <f>VLOOKUP(B70,[1]IndiceIndicadores!$B$6:$N$75,9,FALSE)</f>
        <v>Raúl Nuñez</v>
      </c>
      <c r="G70" s="119" t="str">
        <f>VLOOKUP(B70,[1]IndiceIndicadores!$B$6:$N$75,6,FALSE)</f>
        <v>VV =Dias de vacaciones vencidas / Personas con vacaciones vencidas a la fecha</v>
      </c>
      <c r="H70" s="190"/>
      <c r="I70" s="35" t="str">
        <f>VLOOKUP(B70,[1]IndiceIndicadores!$B$6:$N$75,4,FALSE)</f>
        <v>Unid</v>
      </c>
      <c r="J70" s="126">
        <f>VLOOKUP(D1, '[1]PAC09-C'!D9:AO44,18,FALSE)</f>
        <v>900</v>
      </c>
      <c r="K70" s="126"/>
      <c r="L70" s="126"/>
      <c r="M70" s="126">
        <f>VLOOKUP(D1, '[1]PAC09-C'!D9:AO44,19,FALSE)</f>
        <v>500</v>
      </c>
      <c r="N70" s="68" t="str">
        <f>VLOOKUP(D1, '[1]PAC09-C'!D9:AO44,14,FALSE)</f>
        <v/>
      </c>
      <c r="O70" s="38" t="str">
        <f>IF(N70="","",IF(N70&gt;J70,"g",""))</f>
        <v/>
      </c>
      <c r="P70" s="39" t="str">
        <f t="shared" si="18"/>
        <v/>
      </c>
      <c r="Q70" s="40" t="str">
        <f>IF(N70="","",IF(N70&lt;M70,"g",""))</f>
        <v/>
      </c>
      <c r="R70" s="52"/>
      <c r="S70" s="52"/>
      <c r="T70" s="52"/>
      <c r="U70" s="52"/>
      <c r="V70" s="53"/>
      <c r="W70" s="38"/>
      <c r="X70" s="39"/>
      <c r="Y70" s="40"/>
      <c r="Z70" s="127">
        <f>VLOOKUP(D1, '[1]PAC09-C'!D9:AY44,45,FALSE)</f>
        <v>28.833333333333332</v>
      </c>
      <c r="AA70" s="128">
        <f>VLOOKUP(D1, '[1]PAC09-C'!D9:AY44,46,FALSE)</f>
        <v>0</v>
      </c>
      <c r="AB70" s="129"/>
      <c r="AC70" s="130" t="str">
        <f>VLOOKUP(D1, '[1]PAC09-C'!D9:AY44,48,FALSE)</f>
        <v/>
      </c>
      <c r="AD70" s="129"/>
      <c r="AE70" s="128"/>
      <c r="AF70" s="128"/>
      <c r="AG70" s="129"/>
      <c r="AH70" s="131"/>
      <c r="AI70" s="129"/>
      <c r="AJ70" s="129"/>
      <c r="AK70" s="129"/>
    </row>
    <row r="71" spans="1:37" ht="21" customHeight="1" thickBot="1" x14ac:dyDescent="0.3">
      <c r="A71" s="180"/>
      <c r="B71" s="118" t="s">
        <v>311</v>
      </c>
      <c r="C71" s="181" t="str">
        <f>VLOOKUP(B71,[1]IndiceIndicadores!$B$6:$N$75,3,FALSE)</f>
        <v>Ser una empresa responsable con el medio ambiente</v>
      </c>
      <c r="D71" s="119" t="str">
        <f>VLOOKUP(B71,[1]IndiceIndicadores!$B$6:$N$75,2,FALSE)</f>
        <v>Autoevaluación modelo Malcom Baldridge</v>
      </c>
      <c r="E71" s="119" t="str">
        <f>VLOOKUP(B71,[1]IndiceIndicadores!$B$6:$N$75,8,FALSE)</f>
        <v>Michael Montoya</v>
      </c>
      <c r="F71" s="119" t="str">
        <f>VLOOKUP(B71,[1]IndiceIndicadores!$B$6:$N$75,9,FALSE)</f>
        <v>Omar Flores</v>
      </c>
      <c r="G71" s="119" t="str">
        <f>VLOOKUP(B71,[1]IndiceIndicadores!$B$6:$N$75,6,FALSE)</f>
        <v>Autocalificación obtenida sobre 1000 puntos</v>
      </c>
      <c r="H71" s="190"/>
      <c r="I71" s="35" t="str">
        <f>VLOOKUP(B71,[1]IndiceIndicadores!$B$6:$N$75,4,FALSE)</f>
        <v>Puntos</v>
      </c>
      <c r="J71" s="114" t="e">
        <f>VLOOKUP(D1,[1]PAC10!B10:H34,6,FALSE)</f>
        <v>#N/A</v>
      </c>
      <c r="K71" s="114"/>
      <c r="L71" s="114"/>
      <c r="M71" s="114" t="e">
        <f>VLOOKUP(D1,[1]PAC10!B10:H34,7,FALSE)</f>
        <v>#N/A</v>
      </c>
      <c r="N71" s="53" t="e">
        <f>VLOOKUP(D1,[1]PAC10!B10:H34,2,FALSE)</f>
        <v>#N/A</v>
      </c>
      <c r="O71" s="38"/>
      <c r="P71" s="39"/>
      <c r="Q71" s="40"/>
      <c r="R71" s="96"/>
      <c r="S71" s="96"/>
      <c r="T71" s="96"/>
      <c r="U71" s="96"/>
      <c r="V71" s="53"/>
      <c r="W71" s="38"/>
      <c r="X71" s="39"/>
      <c r="Y71" s="40"/>
      <c r="Z71" s="132"/>
      <c r="AA71" s="133"/>
      <c r="AB71" s="133"/>
      <c r="AC71" s="133"/>
      <c r="AD71" s="133"/>
      <c r="AE71" s="133"/>
      <c r="AF71" s="133"/>
      <c r="AG71" s="133"/>
      <c r="AH71" s="134"/>
      <c r="AI71" s="133"/>
      <c r="AJ71" s="133"/>
      <c r="AK71" s="133"/>
    </row>
    <row r="72" spans="1:37" ht="21" customHeight="1" thickBot="1" x14ac:dyDescent="0.3">
      <c r="A72" s="184"/>
      <c r="B72" s="118" t="s">
        <v>312</v>
      </c>
      <c r="C72" s="183"/>
      <c r="D72" s="119" t="str">
        <f>VLOOKUP(B72,[1]IndiceIndicadores!$B$6:$N$75,2,FALSE)</f>
        <v>Cumplimiento de metas ambientales</v>
      </c>
      <c r="E72" s="119" t="str">
        <f>VLOOKUP(B72,[1]IndiceIndicadores!$B$6:$N$75,8,FALSE)</f>
        <v>Michael Montoya</v>
      </c>
      <c r="F72" s="119" t="str">
        <f>VLOOKUP(B72,[1]IndiceIndicadores!$B$6:$N$75,9,FALSE)</f>
        <v>Omar Flores</v>
      </c>
      <c r="G72" s="119" t="str">
        <f>VLOOKUP(B72,[1]IndiceIndicadores!$B$6:$N$75,6,FALSE)</f>
        <v xml:space="preserve">CMA= % del cumplimiento de las metas ambientales
</v>
      </c>
      <c r="H72" s="191"/>
      <c r="I72" s="135" t="str">
        <f>VLOOKUP(B72,[1]IndiceIndicadores!$B$6:$N$75,4,FALSE)</f>
        <v>%</v>
      </c>
      <c r="J72" s="136">
        <f>VLOOKUP(D1,[1]PAC11!B10:AD45,6,FALSE)</f>
        <v>0.9</v>
      </c>
      <c r="K72" s="136"/>
      <c r="L72" s="136"/>
      <c r="M72" s="136" t="e">
        <f>VLOOKUP(D1,[1]PAC11!B10:H34,7,FALSE)</f>
        <v>#N/A</v>
      </c>
      <c r="N72" s="37" t="e">
        <f>VLOOKUP(D1,[1]PAC11!B10:H34,2,FALSE)</f>
        <v>#N/A</v>
      </c>
      <c r="O72" s="38" t="e">
        <f>IF(N72="","",IF(N72&gt;J72,"g",""))</f>
        <v>#N/A</v>
      </c>
      <c r="P72" s="39" t="e">
        <f>IF(N72="","",IF(N72&lt;=J72,IF(N72&gt;=M72,"g",""),""))</f>
        <v>#N/A</v>
      </c>
      <c r="Q72" s="40" t="e">
        <f>IF(N72="","",IF(N72&lt;M72,"g",""))</f>
        <v>#N/A</v>
      </c>
      <c r="R72" s="41">
        <f>VLOOKUP(D1,[1]PAC11!B10:AD45,12,FALSE)</f>
        <v>0.9</v>
      </c>
      <c r="S72" s="41"/>
      <c r="T72" s="41"/>
      <c r="U72" s="41">
        <f>VLOOKUP(D1,[1]PAC11!B10:AD45,13,FALSE)</f>
        <v>0.9</v>
      </c>
      <c r="V72" s="104">
        <f>VLOOKUP(D1,[1]PAC11!B10:AD45,8,FALSE)</f>
        <v>0.99450000000000005</v>
      </c>
      <c r="W72" s="38" t="str">
        <f>IF(V72="","",IF(V72&gt;R72,"g",""))</f>
        <v>g</v>
      </c>
      <c r="X72" s="39" t="str">
        <f>IF(V72="","",IF(V72&lt;=R72,IF(V72&gt;=U72,"g",""),""))</f>
        <v/>
      </c>
      <c r="Y72" s="40" t="str">
        <f>IF(V72="","",IF(V72&lt;U72,"g",""))</f>
        <v/>
      </c>
      <c r="Z72" s="137">
        <f>VLOOKUP(D1,[1]PAC11!B10:AD45,17,FALSE)</f>
        <v>0</v>
      </c>
      <c r="AA72" s="137">
        <f>VLOOKUP(D1,[1]PAC11!B10:AD45,18,FALSE)</f>
        <v>0</v>
      </c>
      <c r="AB72" s="137"/>
      <c r="AC72" s="137" t="str">
        <f>VLOOKUP(D1,[1]PAC11!B10:AD45,20,FALSE)</f>
        <v/>
      </c>
      <c r="AD72" s="137"/>
      <c r="AE72" s="137">
        <f>VLOOKUP(D1,[1]PAC11!B10:AD45,24,FALSE)</f>
        <v>0</v>
      </c>
      <c r="AF72" s="137">
        <f>VLOOKUP(D1,[1]PAC11!B10:AD45,25,FALSE)</f>
        <v>0.99450000000000005</v>
      </c>
      <c r="AG72" s="130"/>
      <c r="AH72" s="130" t="str">
        <f>VLOOKUP(D1,[1]PAC11!B10:AD45,27,FALSE)</f>
        <v/>
      </c>
      <c r="AI72" s="130"/>
      <c r="AJ72" s="130"/>
      <c r="AK72" s="130"/>
    </row>
  </sheetData>
  <dataValidations count="1">
    <dataValidation type="list" allowBlank="1" showInputMessage="1" showErrorMessage="1" sqref="D1" xr:uid="{0B7E49D5-DAF2-4A16-BCD3-ACD761240F6E}">
      <formula1>$BZ$5:$BZ$64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1477E-DF41-497A-9C8B-82E3063ADB65}">
  <dimension ref="A1:O78"/>
  <sheetViews>
    <sheetView tabSelected="1" topLeftCell="D41" workbookViewId="0">
      <selection activeCell="G52" sqref="G52"/>
    </sheetView>
  </sheetViews>
  <sheetFormatPr baseColWidth="10" defaultRowHeight="12.75" customHeight="1" x14ac:dyDescent="0.25"/>
  <cols>
    <col min="1" max="10" width="23.28515625" customWidth="1"/>
    <col min="12" max="12" width="15.85546875" customWidth="1"/>
  </cols>
  <sheetData>
    <row r="1" spans="1:6" ht="12.75" customHeight="1" thickBot="1" x14ac:dyDescent="0.3">
      <c r="A1" s="194" t="s">
        <v>363</v>
      </c>
      <c r="B1" s="194" t="s">
        <v>364</v>
      </c>
      <c r="C1" s="194" t="s">
        <v>365</v>
      </c>
      <c r="D1" s="194" t="s">
        <v>366</v>
      </c>
      <c r="E1" s="195" t="s">
        <v>367</v>
      </c>
    </row>
    <row r="2" spans="1:6" ht="12.75" customHeight="1" thickBot="1" x14ac:dyDescent="0.3">
      <c r="A2">
        <v>200</v>
      </c>
      <c r="B2" s="196" t="s">
        <v>368</v>
      </c>
      <c r="C2" s="196" t="s">
        <v>369</v>
      </c>
      <c r="D2" s="196">
        <v>1500.75</v>
      </c>
      <c r="E2" s="5" t="s">
        <v>370</v>
      </c>
    </row>
    <row r="3" spans="1:6" ht="12.75" customHeight="1" thickBot="1" x14ac:dyDescent="0.3">
      <c r="A3">
        <v>201</v>
      </c>
      <c r="B3" s="196" t="s">
        <v>371</v>
      </c>
      <c r="C3" s="196" t="s">
        <v>372</v>
      </c>
      <c r="D3" s="196">
        <v>899.99</v>
      </c>
      <c r="E3" s="5" t="s">
        <v>373</v>
      </c>
    </row>
    <row r="4" spans="1:6" ht="12.75" customHeight="1" thickBot="1" x14ac:dyDescent="0.3">
      <c r="A4">
        <v>202</v>
      </c>
      <c r="B4" s="196" t="s">
        <v>374</v>
      </c>
      <c r="C4" s="196" t="s">
        <v>375</v>
      </c>
      <c r="D4" s="196">
        <v>35000.5</v>
      </c>
      <c r="E4" s="5" t="s">
        <v>376</v>
      </c>
    </row>
    <row r="5" spans="1:6" ht="12.75" customHeight="1" thickBot="1" x14ac:dyDescent="0.3">
      <c r="A5">
        <v>203</v>
      </c>
      <c r="B5" s="196" t="s">
        <v>377</v>
      </c>
      <c r="C5" s="196" t="s">
        <v>378</v>
      </c>
      <c r="D5" s="196">
        <v>7800.25</v>
      </c>
      <c r="E5" s="5" t="s">
        <v>379</v>
      </c>
    </row>
    <row r="6" spans="1:6" ht="12.75" customHeight="1" thickBot="1" x14ac:dyDescent="0.3">
      <c r="A6">
        <v>204</v>
      </c>
      <c r="B6" s="196" t="s">
        <v>380</v>
      </c>
      <c r="C6" s="196" t="s">
        <v>381</v>
      </c>
      <c r="D6" s="196">
        <v>299.5</v>
      </c>
      <c r="E6" s="5" t="s">
        <v>382</v>
      </c>
    </row>
    <row r="7" spans="1:6" ht="12.75" customHeight="1" thickBot="1" x14ac:dyDescent="0.3">
      <c r="A7">
        <v>205</v>
      </c>
      <c r="B7" s="196" t="s">
        <v>383</v>
      </c>
      <c r="C7" s="196" t="s">
        <v>384</v>
      </c>
      <c r="D7" s="196">
        <v>20</v>
      </c>
      <c r="E7" s="5" t="s">
        <v>385</v>
      </c>
    </row>
    <row r="8" spans="1:6" ht="12.75" customHeight="1" thickBot="1" x14ac:dyDescent="0.3">
      <c r="A8">
        <v>206</v>
      </c>
      <c r="B8" s="196" t="s">
        <v>386</v>
      </c>
      <c r="C8" s="196" t="s">
        <v>387</v>
      </c>
      <c r="D8" s="196">
        <v>30000</v>
      </c>
      <c r="E8" s="5" t="s">
        <v>388</v>
      </c>
    </row>
    <row r="9" spans="1:6" ht="12.75" customHeight="1" thickBot="1" x14ac:dyDescent="0.3">
      <c r="A9">
        <v>207</v>
      </c>
      <c r="B9" s="196" t="s">
        <v>389</v>
      </c>
      <c r="C9" s="196" t="s">
        <v>390</v>
      </c>
      <c r="D9" s="196">
        <v>45000.75</v>
      </c>
      <c r="E9" s="5" t="s">
        <v>391</v>
      </c>
    </row>
    <row r="10" spans="1:6" ht="12.75" customHeight="1" thickBot="1" x14ac:dyDescent="0.3">
      <c r="A10">
        <v>208</v>
      </c>
      <c r="B10" s="196" t="s">
        <v>392</v>
      </c>
      <c r="C10" s="196" t="s">
        <v>393</v>
      </c>
      <c r="D10" s="196">
        <v>699.99</v>
      </c>
      <c r="E10" s="5" t="s">
        <v>394</v>
      </c>
      <c r="F10" s="6"/>
    </row>
    <row r="11" spans="1:6" ht="12.75" customHeight="1" thickBot="1" x14ac:dyDescent="0.3">
      <c r="A11">
        <v>209</v>
      </c>
      <c r="B11" s="196" t="s">
        <v>395</v>
      </c>
      <c r="C11" s="196" t="s">
        <v>396</v>
      </c>
      <c r="D11" s="196">
        <v>249.5</v>
      </c>
      <c r="E11" s="5" t="s">
        <v>397</v>
      </c>
      <c r="F11" s="6"/>
    </row>
    <row r="12" spans="1:6" ht="12.75" customHeight="1" thickBot="1" x14ac:dyDescent="0.3">
      <c r="A12">
        <v>210</v>
      </c>
      <c r="B12" s="196" t="s">
        <v>398</v>
      </c>
      <c r="C12" s="196" t="s">
        <v>399</v>
      </c>
      <c r="D12" s="196">
        <v>899</v>
      </c>
      <c r="E12" s="5" t="s">
        <v>400</v>
      </c>
    </row>
    <row r="13" spans="1:6" ht="12.75" customHeight="1" thickBot="1" x14ac:dyDescent="0.3">
      <c r="A13">
        <v>211</v>
      </c>
      <c r="B13" s="196" t="s">
        <v>401</v>
      </c>
      <c r="C13" s="196" t="s">
        <v>402</v>
      </c>
      <c r="D13" s="196">
        <v>2500</v>
      </c>
      <c r="E13" s="5" t="s">
        <v>376</v>
      </c>
    </row>
    <row r="14" spans="1:6" ht="12.75" customHeight="1" thickBot="1" x14ac:dyDescent="0.3">
      <c r="A14">
        <v>212</v>
      </c>
      <c r="B14" s="196" t="s">
        <v>403</v>
      </c>
      <c r="C14" s="196" t="s">
        <v>404</v>
      </c>
      <c r="D14" s="196">
        <v>349.99</v>
      </c>
      <c r="E14" s="5" t="s">
        <v>379</v>
      </c>
    </row>
    <row r="15" spans="1:6" ht="12.75" customHeight="1" thickBot="1" x14ac:dyDescent="0.3">
      <c r="A15">
        <v>213</v>
      </c>
      <c r="B15" s="196" t="s">
        <v>405</v>
      </c>
      <c r="C15" s="196" t="s">
        <v>406</v>
      </c>
      <c r="D15" s="196">
        <v>599.5</v>
      </c>
      <c r="E15" s="5" t="s">
        <v>382</v>
      </c>
    </row>
    <row r="16" spans="1:6" ht="12.75" customHeight="1" thickBot="1" x14ac:dyDescent="0.3">
      <c r="A16">
        <v>214</v>
      </c>
      <c r="B16" s="196" t="s">
        <v>407</v>
      </c>
      <c r="C16" s="196" t="s">
        <v>408</v>
      </c>
      <c r="D16" s="196">
        <v>449</v>
      </c>
      <c r="E16" s="5" t="s">
        <v>385</v>
      </c>
    </row>
    <row r="17" spans="1:14" ht="12.75" customHeight="1" thickBot="1" x14ac:dyDescent="0.3">
      <c r="A17">
        <v>215</v>
      </c>
      <c r="B17" s="196" t="s">
        <v>409</v>
      </c>
      <c r="C17" s="196" t="s">
        <v>410</v>
      </c>
      <c r="D17" s="196">
        <v>1500</v>
      </c>
      <c r="E17" s="5" t="s">
        <v>388</v>
      </c>
    </row>
    <row r="18" spans="1:14" ht="12.75" customHeight="1" thickBot="1" x14ac:dyDescent="0.3">
      <c r="A18">
        <v>216</v>
      </c>
      <c r="B18" s="196" t="s">
        <v>411</v>
      </c>
      <c r="C18" s="196" t="s">
        <v>412</v>
      </c>
      <c r="D18" s="196">
        <v>299.99</v>
      </c>
      <c r="E18" s="5" t="s">
        <v>391</v>
      </c>
    </row>
    <row r="19" spans="1:14" ht="12.75" customHeight="1" thickBot="1" x14ac:dyDescent="0.3">
      <c r="A19">
        <v>217</v>
      </c>
      <c r="B19" s="196" t="s">
        <v>413</v>
      </c>
      <c r="C19" s="196" t="s">
        <v>414</v>
      </c>
      <c r="D19" s="196">
        <v>89.5</v>
      </c>
      <c r="E19" s="5" t="s">
        <v>394</v>
      </c>
    </row>
    <row r="20" spans="1:14" ht="12.75" customHeight="1" thickBot="1" x14ac:dyDescent="0.3">
      <c r="A20">
        <v>218</v>
      </c>
      <c r="B20" s="196" t="s">
        <v>415</v>
      </c>
      <c r="C20" s="196" t="s">
        <v>416</v>
      </c>
      <c r="D20" s="196">
        <v>1199</v>
      </c>
      <c r="E20" s="5" t="s">
        <v>397</v>
      </c>
    </row>
    <row r="21" spans="1:14" ht="12.75" customHeight="1" thickBot="1" x14ac:dyDescent="0.3"/>
    <row r="22" spans="1:14" ht="12.75" customHeight="1" thickBot="1" x14ac:dyDescent="0.3">
      <c r="A22" s="223" t="s">
        <v>336</v>
      </c>
      <c r="B22" s="194" t="s">
        <v>337</v>
      </c>
      <c r="C22" s="194" t="s">
        <v>338</v>
      </c>
      <c r="D22" s="194" t="s">
        <v>339</v>
      </c>
      <c r="E22" s="194" t="s">
        <v>340</v>
      </c>
      <c r="F22" s="194" t="s">
        <v>341</v>
      </c>
      <c r="G22" s="194" t="s">
        <v>342</v>
      </c>
      <c r="H22" s="194" t="s">
        <v>343</v>
      </c>
      <c r="I22" s="194" t="s">
        <v>344</v>
      </c>
      <c r="J22" s="194" t="s">
        <v>319</v>
      </c>
      <c r="K22" s="195" t="s">
        <v>345</v>
      </c>
    </row>
    <row r="23" spans="1:14" s="12" customFormat="1" ht="12.75" customHeight="1" thickBot="1" x14ac:dyDescent="0.3">
      <c r="A23" s="216">
        <v>2001</v>
      </c>
      <c r="B23" s="208" t="s">
        <v>348</v>
      </c>
      <c r="C23" s="208">
        <v>0</v>
      </c>
      <c r="D23" s="208">
        <v>8</v>
      </c>
      <c r="E23" s="209">
        <v>0</v>
      </c>
      <c r="F23" s="209">
        <v>1275.6375</v>
      </c>
      <c r="G23" s="209">
        <f>C23*E23</f>
        <v>0</v>
      </c>
      <c r="H23" s="208">
        <f>D23*F23</f>
        <v>10205.1</v>
      </c>
      <c r="I23" s="208" t="s">
        <v>349</v>
      </c>
      <c r="J23" s="196">
        <v>1001</v>
      </c>
      <c r="K23" s="210" t="s">
        <v>354</v>
      </c>
      <c r="L23"/>
      <c r="M23"/>
      <c r="N23"/>
    </row>
    <row r="24" spans="1:14" s="12" customFormat="1" ht="12.75" customHeight="1" thickBot="1" x14ac:dyDescent="0.3">
      <c r="A24" s="216">
        <v>2002</v>
      </c>
      <c r="B24" s="208" t="s">
        <v>348</v>
      </c>
      <c r="C24" s="208">
        <v>0</v>
      </c>
      <c r="D24" s="208">
        <v>15</v>
      </c>
      <c r="E24" s="209">
        <v>0</v>
      </c>
      <c r="F24" s="209">
        <v>494.99450000000007</v>
      </c>
      <c r="G24" s="209">
        <f t="shared" ref="G24:G38" si="0">C24*E24</f>
        <v>0</v>
      </c>
      <c r="H24" s="208">
        <f t="shared" ref="H24:H38" si="1">D24*F24</f>
        <v>7424.9175000000014</v>
      </c>
      <c r="I24" s="208" t="s">
        <v>349</v>
      </c>
      <c r="J24" s="196">
        <v>1002</v>
      </c>
      <c r="K24" s="210" t="s">
        <v>358</v>
      </c>
      <c r="L24"/>
      <c r="M24"/>
      <c r="N24"/>
    </row>
    <row r="25" spans="1:14" s="12" customFormat="1" ht="12.75" customHeight="1" thickBot="1" x14ac:dyDescent="0.3">
      <c r="A25" s="216">
        <v>2003</v>
      </c>
      <c r="B25" s="208" t="s">
        <v>348</v>
      </c>
      <c r="C25" s="208">
        <v>0</v>
      </c>
      <c r="D25" s="208">
        <v>5</v>
      </c>
      <c r="E25" s="209">
        <v>0</v>
      </c>
      <c r="F25" s="209">
        <v>31500.45</v>
      </c>
      <c r="G25" s="209">
        <f t="shared" si="0"/>
        <v>0</v>
      </c>
      <c r="H25" s="208">
        <f t="shared" si="1"/>
        <v>157502.25</v>
      </c>
      <c r="I25" s="208" t="s">
        <v>349</v>
      </c>
      <c r="J25" s="196">
        <v>1003</v>
      </c>
      <c r="K25" s="210" t="s">
        <v>357</v>
      </c>
      <c r="L25"/>
      <c r="M25"/>
      <c r="N25"/>
    </row>
    <row r="26" spans="1:14" s="12" customFormat="1" ht="12.75" customHeight="1" thickBot="1" x14ac:dyDescent="0.3">
      <c r="A26" s="216">
        <v>2004</v>
      </c>
      <c r="B26" s="208" t="s">
        <v>348</v>
      </c>
      <c r="C26" s="208">
        <v>0</v>
      </c>
      <c r="D26" s="208">
        <v>8</v>
      </c>
      <c r="E26" s="209">
        <v>0</v>
      </c>
      <c r="F26" s="209">
        <v>3510.1125000000002</v>
      </c>
      <c r="G26" s="209">
        <f t="shared" si="0"/>
        <v>0</v>
      </c>
      <c r="H26" s="208">
        <f t="shared" si="1"/>
        <v>28080.9</v>
      </c>
      <c r="I26" s="208" t="s">
        <v>349</v>
      </c>
      <c r="J26" s="196">
        <v>1004</v>
      </c>
      <c r="K26" s="210" t="s">
        <v>355</v>
      </c>
      <c r="L26"/>
      <c r="M26"/>
      <c r="N26"/>
    </row>
    <row r="27" spans="1:14" s="12" customFormat="1" ht="12.75" customHeight="1" thickBot="1" x14ac:dyDescent="0.3">
      <c r="A27" s="216">
        <v>2005</v>
      </c>
      <c r="B27" s="208" t="s">
        <v>348</v>
      </c>
      <c r="C27" s="208">
        <v>0</v>
      </c>
      <c r="D27" s="208">
        <v>10</v>
      </c>
      <c r="E27" s="209">
        <v>0</v>
      </c>
      <c r="F27" s="209">
        <v>164.72500000000002</v>
      </c>
      <c r="G27" s="209">
        <f t="shared" si="0"/>
        <v>0</v>
      </c>
      <c r="H27" s="208">
        <f t="shared" si="1"/>
        <v>1647.2500000000002</v>
      </c>
      <c r="I27" s="208" t="s">
        <v>349</v>
      </c>
      <c r="J27" s="196">
        <v>1005</v>
      </c>
      <c r="K27" s="210" t="s">
        <v>359</v>
      </c>
      <c r="L27"/>
      <c r="M27"/>
      <c r="N27"/>
    </row>
    <row r="28" spans="1:14" ht="12.75" customHeight="1" thickBot="1" x14ac:dyDescent="0.3">
      <c r="A28" s="216">
        <v>2006</v>
      </c>
      <c r="B28" s="196" t="s">
        <v>348</v>
      </c>
      <c r="C28" s="196">
        <v>0</v>
      </c>
      <c r="D28" s="196">
        <v>150</v>
      </c>
      <c r="E28" s="201">
        <v>0</v>
      </c>
      <c r="F28" s="201">
        <v>5</v>
      </c>
      <c r="G28" s="201">
        <f t="shared" si="0"/>
        <v>0</v>
      </c>
      <c r="H28" s="196">
        <f t="shared" si="1"/>
        <v>750</v>
      </c>
      <c r="I28" s="196" t="s">
        <v>349</v>
      </c>
      <c r="J28" s="196">
        <v>1006</v>
      </c>
      <c r="K28" s="5" t="s">
        <v>356</v>
      </c>
    </row>
    <row r="29" spans="1:14" ht="12.75" customHeight="1" thickBot="1" x14ac:dyDescent="0.3">
      <c r="A29" s="216">
        <v>2007</v>
      </c>
      <c r="B29" s="196" t="s">
        <v>348</v>
      </c>
      <c r="C29" s="196">
        <v>0</v>
      </c>
      <c r="D29" s="196">
        <v>8</v>
      </c>
      <c r="E29" s="201">
        <f t="shared" ref="E29" si="2">D8</f>
        <v>30000</v>
      </c>
      <c r="F29" s="201">
        <v>25500</v>
      </c>
      <c r="G29" s="201">
        <f t="shared" si="0"/>
        <v>0</v>
      </c>
      <c r="H29" s="196">
        <f t="shared" si="1"/>
        <v>204000</v>
      </c>
      <c r="I29" s="196" t="s">
        <v>349</v>
      </c>
      <c r="J29" s="196">
        <v>1007</v>
      </c>
      <c r="K29" s="5" t="s">
        <v>347</v>
      </c>
    </row>
    <row r="30" spans="1:14" ht="12.75" customHeight="1" thickBot="1" x14ac:dyDescent="0.3">
      <c r="A30" s="216">
        <v>2008</v>
      </c>
      <c r="B30" s="196" t="s">
        <v>348</v>
      </c>
      <c r="C30" s="196">
        <v>4</v>
      </c>
      <c r="D30" s="196">
        <v>0</v>
      </c>
      <c r="E30" s="201">
        <v>1500.75</v>
      </c>
      <c r="F30" s="201">
        <v>0</v>
      </c>
      <c r="G30" s="201">
        <f t="shared" si="0"/>
        <v>6003</v>
      </c>
      <c r="H30" s="196">
        <f t="shared" si="1"/>
        <v>0</v>
      </c>
      <c r="I30" s="196" t="s">
        <v>349</v>
      </c>
      <c r="J30" s="196">
        <v>1008</v>
      </c>
      <c r="K30" s="5" t="s">
        <v>351</v>
      </c>
    </row>
    <row r="31" spans="1:14" ht="12.75" customHeight="1" thickBot="1" x14ac:dyDescent="0.3">
      <c r="A31" s="216">
        <v>2009</v>
      </c>
      <c r="B31" s="196" t="s">
        <v>348</v>
      </c>
      <c r="C31" s="196">
        <v>10</v>
      </c>
      <c r="D31" s="196">
        <v>0</v>
      </c>
      <c r="E31" s="201">
        <v>899.99</v>
      </c>
      <c r="F31" s="201">
        <v>0</v>
      </c>
      <c r="G31" s="201">
        <f t="shared" si="0"/>
        <v>8999.9</v>
      </c>
      <c r="H31" s="196">
        <f t="shared" si="1"/>
        <v>0</v>
      </c>
      <c r="I31" s="196" t="s">
        <v>349</v>
      </c>
      <c r="J31" s="196">
        <v>1009</v>
      </c>
      <c r="K31" s="5" t="s">
        <v>353</v>
      </c>
    </row>
    <row r="32" spans="1:14" ht="12.75" customHeight="1" thickBot="1" x14ac:dyDescent="0.3">
      <c r="A32" s="216">
        <v>2010</v>
      </c>
      <c r="B32" s="196" t="s">
        <v>348</v>
      </c>
      <c r="C32" s="196">
        <v>5</v>
      </c>
      <c r="D32" s="196">
        <v>0</v>
      </c>
      <c r="E32" s="201">
        <v>35000.5</v>
      </c>
      <c r="F32" s="201">
        <v>0</v>
      </c>
      <c r="G32" s="201">
        <f t="shared" si="0"/>
        <v>175002.5</v>
      </c>
      <c r="H32" s="196">
        <f t="shared" si="1"/>
        <v>0</v>
      </c>
      <c r="I32" s="196" t="s">
        <v>349</v>
      </c>
      <c r="J32" s="196">
        <v>1010</v>
      </c>
      <c r="K32" s="5" t="s">
        <v>361</v>
      </c>
    </row>
    <row r="33" spans="1:14" ht="12.75" customHeight="1" thickBot="1" x14ac:dyDescent="0.3">
      <c r="A33" s="216">
        <v>2011</v>
      </c>
      <c r="B33" s="196" t="s">
        <v>348</v>
      </c>
      <c r="C33" s="196">
        <v>8</v>
      </c>
      <c r="D33" s="196">
        <v>0</v>
      </c>
      <c r="E33" s="201">
        <v>7800.25</v>
      </c>
      <c r="F33" s="201">
        <v>0</v>
      </c>
      <c r="G33" s="201">
        <f t="shared" si="0"/>
        <v>62402</v>
      </c>
      <c r="H33" s="196">
        <f t="shared" si="1"/>
        <v>0</v>
      </c>
      <c r="I33" s="196" t="s">
        <v>349</v>
      </c>
      <c r="J33" s="196">
        <v>1011</v>
      </c>
      <c r="K33" s="5" t="s">
        <v>352</v>
      </c>
    </row>
    <row r="34" spans="1:14" ht="12.75" customHeight="1" thickBot="1" x14ac:dyDescent="0.3">
      <c r="A34" s="216">
        <v>2012</v>
      </c>
      <c r="B34" s="196" t="s">
        <v>348</v>
      </c>
      <c r="C34" s="196">
        <v>8</v>
      </c>
      <c r="D34" s="196">
        <v>0</v>
      </c>
      <c r="E34" s="201">
        <v>299.5</v>
      </c>
      <c r="F34" s="201">
        <v>0</v>
      </c>
      <c r="G34" s="201">
        <f t="shared" si="0"/>
        <v>2396</v>
      </c>
      <c r="H34" s="196">
        <f t="shared" si="1"/>
        <v>0</v>
      </c>
      <c r="I34" s="196" t="s">
        <v>349</v>
      </c>
      <c r="J34" s="196">
        <v>1012</v>
      </c>
      <c r="K34" s="5" t="s">
        <v>350</v>
      </c>
    </row>
    <row r="35" spans="1:14" ht="12.75" customHeight="1" thickBot="1" x14ac:dyDescent="0.3">
      <c r="A35" s="216">
        <v>2013</v>
      </c>
      <c r="B35" s="196" t="s">
        <v>348</v>
      </c>
      <c r="C35" s="196">
        <v>30</v>
      </c>
      <c r="D35" s="196">
        <v>0</v>
      </c>
      <c r="E35" s="201">
        <v>20</v>
      </c>
      <c r="F35" s="201">
        <v>0</v>
      </c>
      <c r="G35" s="201">
        <f t="shared" si="0"/>
        <v>600</v>
      </c>
      <c r="H35" s="196">
        <f t="shared" si="1"/>
        <v>0</v>
      </c>
      <c r="I35" s="196" t="s">
        <v>349</v>
      </c>
      <c r="J35" s="196">
        <v>1013</v>
      </c>
      <c r="K35" s="5" t="s">
        <v>362</v>
      </c>
    </row>
    <row r="36" spans="1:14" ht="12.75" customHeight="1" thickBot="1" x14ac:dyDescent="0.3">
      <c r="A36" s="216">
        <v>2014</v>
      </c>
      <c r="B36" s="199" t="s">
        <v>348</v>
      </c>
      <c r="C36" s="199">
        <v>3</v>
      </c>
      <c r="D36" s="199">
        <v>0</v>
      </c>
      <c r="E36" s="202">
        <v>30000</v>
      </c>
      <c r="F36" s="201">
        <v>0</v>
      </c>
      <c r="G36" s="201">
        <f t="shared" si="0"/>
        <v>90000</v>
      </c>
      <c r="H36" s="199">
        <f t="shared" si="1"/>
        <v>0</v>
      </c>
      <c r="I36" s="199" t="s">
        <v>349</v>
      </c>
      <c r="J36" s="196">
        <v>1014</v>
      </c>
      <c r="K36" s="200" t="s">
        <v>360</v>
      </c>
    </row>
    <row r="37" spans="1:14" s="11" customFormat="1" ht="12.75" customHeight="1" thickBot="1" x14ac:dyDescent="0.3">
      <c r="A37" s="216">
        <v>2015</v>
      </c>
      <c r="B37" s="211" t="s">
        <v>348</v>
      </c>
      <c r="C37" s="211">
        <v>1</v>
      </c>
      <c r="D37" s="211">
        <v>0</v>
      </c>
      <c r="E37" s="212">
        <v>30000</v>
      </c>
      <c r="F37" s="207">
        <v>0</v>
      </c>
      <c r="G37" s="207">
        <f t="shared" si="0"/>
        <v>30000</v>
      </c>
      <c r="H37" s="211">
        <f t="shared" si="1"/>
        <v>0</v>
      </c>
      <c r="I37" s="211" t="s">
        <v>346</v>
      </c>
      <c r="J37" s="211">
        <v>1009</v>
      </c>
      <c r="K37" s="213" t="s">
        <v>360</v>
      </c>
      <c r="L37"/>
      <c r="M37"/>
      <c r="N37"/>
    </row>
    <row r="38" spans="1:14" s="11" customFormat="1" ht="12.75" customHeight="1" thickBot="1" x14ac:dyDescent="0.3">
      <c r="A38" s="216">
        <v>2016</v>
      </c>
      <c r="B38" s="211" t="s">
        <v>348</v>
      </c>
      <c r="C38" s="211">
        <v>1</v>
      </c>
      <c r="D38" s="211">
        <v>0</v>
      </c>
      <c r="E38" s="212">
        <v>30000</v>
      </c>
      <c r="F38" s="207">
        <v>0</v>
      </c>
      <c r="G38" s="207">
        <f t="shared" si="0"/>
        <v>30000</v>
      </c>
      <c r="H38" s="211">
        <f t="shared" si="1"/>
        <v>0</v>
      </c>
      <c r="I38" s="211" t="s">
        <v>346</v>
      </c>
      <c r="J38" s="211">
        <v>1009</v>
      </c>
      <c r="K38" s="213" t="s">
        <v>360</v>
      </c>
      <c r="L38"/>
      <c r="M38"/>
      <c r="N38"/>
    </row>
    <row r="39" spans="1:14" ht="12.75" customHeight="1" thickBot="1" x14ac:dyDescent="0.3">
      <c r="A39" s="196"/>
      <c r="C39" s="204">
        <f t="shared" ref="C39:F39" si="3">SUM(C23:C38)</f>
        <v>70</v>
      </c>
      <c r="D39" s="204">
        <f t="shared" si="3"/>
        <v>204</v>
      </c>
      <c r="E39" s="204">
        <f t="shared" si="3"/>
        <v>165520.99</v>
      </c>
      <c r="F39" s="204">
        <f t="shared" si="3"/>
        <v>62450.919500000004</v>
      </c>
      <c r="G39" s="204">
        <f>SUM(G23:G38)</f>
        <v>405403.4</v>
      </c>
      <c r="H39" s="204">
        <f>SUM(H23:H38)</f>
        <v>409610.41749999998</v>
      </c>
      <c r="I39" s="205">
        <f>H39-G39</f>
        <v>4207.0174999999581</v>
      </c>
    </row>
    <row r="43" spans="1:14" ht="12.75" customHeight="1" thickBot="1" x14ac:dyDescent="0.3"/>
    <row r="44" spans="1:14" ht="12.75" customHeight="1" thickBot="1" x14ac:dyDescent="0.3">
      <c r="A44" s="223" t="s">
        <v>319</v>
      </c>
      <c r="B44" s="194" t="s">
        <v>320</v>
      </c>
      <c r="C44" s="194" t="s">
        <v>321</v>
      </c>
      <c r="D44" s="194" t="s">
        <v>322</v>
      </c>
      <c r="E44" s="194" t="s">
        <v>323</v>
      </c>
      <c r="F44" s="194" t="s">
        <v>324</v>
      </c>
      <c r="G44" s="194" t="s">
        <v>325</v>
      </c>
      <c r="H44" s="194" t="s">
        <v>326</v>
      </c>
      <c r="I44" s="194" t="s">
        <v>327</v>
      </c>
      <c r="J44" s="194" t="s">
        <v>328</v>
      </c>
      <c r="K44" s="194" t="s">
        <v>329</v>
      </c>
      <c r="L44" s="195" t="s">
        <v>330</v>
      </c>
    </row>
    <row r="45" spans="1:14" ht="12.75" customHeight="1" thickBot="1" x14ac:dyDescent="0.3">
      <c r="A45" s="218">
        <v>1001</v>
      </c>
      <c r="B45" s="196" t="s">
        <v>187</v>
      </c>
      <c r="C45" s="196" t="s">
        <v>424</v>
      </c>
      <c r="D45" s="196" t="s">
        <v>204</v>
      </c>
      <c r="E45" s="197">
        <v>45092.4375</v>
      </c>
      <c r="F45" s="197">
        <v>45137.333333333336</v>
      </c>
      <c r="G45" s="196" t="s">
        <v>331</v>
      </c>
      <c r="H45" s="196">
        <v>0.18</v>
      </c>
      <c r="I45" s="196">
        <v>10205.1</v>
      </c>
      <c r="J45" s="201">
        <f>I45/1.18</f>
        <v>8648.3898305084749</v>
      </c>
      <c r="K45" s="201">
        <f>J45*0.18</f>
        <v>1556.7101694915254</v>
      </c>
      <c r="L45" s="5">
        <v>0</v>
      </c>
      <c r="M45" s="208"/>
    </row>
    <row r="46" spans="1:14" ht="12.75" customHeight="1" thickBot="1" x14ac:dyDescent="0.3">
      <c r="A46" s="218">
        <v>1002</v>
      </c>
      <c r="B46" s="196" t="s">
        <v>333</v>
      </c>
      <c r="C46" s="196" t="s">
        <v>332</v>
      </c>
      <c r="D46" s="196" t="s">
        <v>204</v>
      </c>
      <c r="E46" s="197">
        <v>45099.704861111109</v>
      </c>
      <c r="F46" s="197">
        <v>45136.614583333336</v>
      </c>
      <c r="G46" s="206" t="s">
        <v>430</v>
      </c>
      <c r="H46" s="206">
        <v>0</v>
      </c>
      <c r="I46" s="207">
        <v>7424.9175000000014</v>
      </c>
      <c r="J46" s="207">
        <f>I46</f>
        <v>7424.9175000000014</v>
      </c>
      <c r="K46" s="201"/>
      <c r="L46" s="5">
        <v>0</v>
      </c>
      <c r="M46" s="208"/>
    </row>
    <row r="47" spans="1:14" ht="12.75" customHeight="1" thickBot="1" x14ac:dyDescent="0.3">
      <c r="A47" s="218">
        <v>1003</v>
      </c>
      <c r="B47" s="196" t="s">
        <v>334</v>
      </c>
      <c r="C47" s="196" t="s">
        <v>425</v>
      </c>
      <c r="D47" s="196" t="s">
        <v>204</v>
      </c>
      <c r="E47" s="197">
        <v>45107.715277777781</v>
      </c>
      <c r="F47" s="197">
        <v>45137.715277777781</v>
      </c>
      <c r="G47" s="206" t="s">
        <v>430</v>
      </c>
      <c r="H47" s="206">
        <v>0</v>
      </c>
      <c r="I47" s="207">
        <v>157502.25</v>
      </c>
      <c r="J47" s="207">
        <f>I47</f>
        <v>157502.25</v>
      </c>
      <c r="K47" s="201"/>
      <c r="L47" s="5">
        <v>0</v>
      </c>
      <c r="M47" s="208"/>
    </row>
    <row r="48" spans="1:14" ht="12.75" customHeight="1" thickBot="1" x14ac:dyDescent="0.3">
      <c r="A48" s="218">
        <v>1004</v>
      </c>
      <c r="B48" s="196" t="s">
        <v>187</v>
      </c>
      <c r="C48" s="196" t="s">
        <v>426</v>
      </c>
      <c r="D48" s="196" t="s">
        <v>204</v>
      </c>
      <c r="E48" s="197">
        <v>45107.715277777781</v>
      </c>
      <c r="F48" s="197">
        <v>45137.715277777781</v>
      </c>
      <c r="G48" s="206" t="s">
        <v>331</v>
      </c>
      <c r="H48" s="206">
        <v>0</v>
      </c>
      <c r="I48" s="206">
        <v>28080.9</v>
      </c>
      <c r="J48" s="207">
        <f>(I48-L48)/1.18</f>
        <v>23771.949152542376</v>
      </c>
      <c r="K48" s="207">
        <f t="shared" ref="K48:K58" si="4">J48*0.18</f>
        <v>4278.9508474576278</v>
      </c>
      <c r="L48" s="222">
        <v>30</v>
      </c>
      <c r="M48" s="206"/>
    </row>
    <row r="49" spans="1:15" ht="12.75" customHeight="1" thickBot="1" x14ac:dyDescent="0.3">
      <c r="A49" s="218">
        <v>1005</v>
      </c>
      <c r="B49" s="196" t="s">
        <v>187</v>
      </c>
      <c r="C49" s="196" t="s">
        <v>427</v>
      </c>
      <c r="D49" s="196" t="s">
        <v>204</v>
      </c>
      <c r="E49" s="197">
        <v>45122.715277777781</v>
      </c>
      <c r="F49" s="197">
        <v>45137.715277777781</v>
      </c>
      <c r="G49" s="196" t="s">
        <v>331</v>
      </c>
      <c r="H49" s="196">
        <v>0.18</v>
      </c>
      <c r="I49" s="196">
        <v>1647.2500000000002</v>
      </c>
      <c r="J49" s="201">
        <f t="shared" ref="J49:J57" si="5">I49/1.18</f>
        <v>1395.9745762711866</v>
      </c>
      <c r="K49" s="201">
        <f t="shared" si="4"/>
        <v>251.27542372881359</v>
      </c>
      <c r="L49" s="5">
        <v>0</v>
      </c>
      <c r="M49" s="208"/>
    </row>
    <row r="50" spans="1:15" ht="12.75" customHeight="1" thickBot="1" x14ac:dyDescent="0.3">
      <c r="A50" s="218">
        <v>1006</v>
      </c>
      <c r="B50" s="196" t="s">
        <v>187</v>
      </c>
      <c r="C50" s="196" t="s">
        <v>427</v>
      </c>
      <c r="D50" s="196" t="s">
        <v>204</v>
      </c>
      <c r="E50" s="197">
        <v>45127.715277777781</v>
      </c>
      <c r="F50" s="197">
        <v>45137.715277777781</v>
      </c>
      <c r="G50" s="196" t="s">
        <v>331</v>
      </c>
      <c r="H50" s="196">
        <v>0.18</v>
      </c>
      <c r="I50" s="196">
        <v>750</v>
      </c>
      <c r="J50" s="201">
        <f t="shared" si="5"/>
        <v>635.59322033898309</v>
      </c>
      <c r="K50" s="201">
        <f t="shared" si="4"/>
        <v>114.40677966101696</v>
      </c>
      <c r="L50" s="5">
        <v>0</v>
      </c>
      <c r="M50" s="196"/>
    </row>
    <row r="51" spans="1:15" ht="12.75" customHeight="1" thickBot="1" x14ac:dyDescent="0.3">
      <c r="A51" s="218">
        <v>1007</v>
      </c>
      <c r="B51" s="196" t="s">
        <v>187</v>
      </c>
      <c r="C51" s="196" t="s">
        <v>428</v>
      </c>
      <c r="D51" s="196" t="s">
        <v>204</v>
      </c>
      <c r="E51" s="197">
        <v>45071.715277777781</v>
      </c>
      <c r="F51" s="197">
        <v>45137.715277777781</v>
      </c>
      <c r="G51" s="196" t="s">
        <v>331</v>
      </c>
      <c r="H51" s="196">
        <v>0.18</v>
      </c>
      <c r="I51" s="196">
        <v>204000</v>
      </c>
      <c r="J51" s="201">
        <f t="shared" si="5"/>
        <v>172881.35593220341</v>
      </c>
      <c r="K51" s="201">
        <f t="shared" si="4"/>
        <v>31118.644067796613</v>
      </c>
      <c r="L51" s="5">
        <v>0</v>
      </c>
      <c r="M51" s="196"/>
    </row>
    <row r="52" spans="1:15" ht="12.75" customHeight="1" thickBot="1" x14ac:dyDescent="0.3">
      <c r="A52" s="218">
        <v>1008</v>
      </c>
      <c r="B52" s="196" t="s">
        <v>187</v>
      </c>
      <c r="C52" s="196" t="s">
        <v>417</v>
      </c>
      <c r="D52" s="196" t="s">
        <v>203</v>
      </c>
      <c r="E52" s="197">
        <v>45125.489583333336</v>
      </c>
      <c r="F52" s="197">
        <v>45132.385416666664</v>
      </c>
      <c r="G52" s="224" t="s">
        <v>331</v>
      </c>
      <c r="H52" s="196">
        <v>0.18</v>
      </c>
      <c r="I52" s="196">
        <v>6003</v>
      </c>
      <c r="J52" s="201">
        <f t="shared" si="5"/>
        <v>5087.2881355932204</v>
      </c>
      <c r="K52" s="201">
        <f t="shared" si="4"/>
        <v>915.71186440677968</v>
      </c>
      <c r="L52" s="5">
        <v>0</v>
      </c>
      <c r="M52" s="196"/>
    </row>
    <row r="53" spans="1:15" ht="12.75" customHeight="1" thickBot="1" x14ac:dyDescent="0.3">
      <c r="A53" s="218">
        <v>1009</v>
      </c>
      <c r="B53" s="196" t="s">
        <v>187</v>
      </c>
      <c r="C53" s="196" t="s">
        <v>418</v>
      </c>
      <c r="D53" s="196" t="s">
        <v>203</v>
      </c>
      <c r="E53" s="197">
        <v>45135.597222222219</v>
      </c>
      <c r="F53" s="197">
        <v>45134.479166666664</v>
      </c>
      <c r="G53" s="196" t="s">
        <v>331</v>
      </c>
      <c r="H53" s="196">
        <v>0.18</v>
      </c>
      <c r="I53" s="196">
        <v>8999.9</v>
      </c>
      <c r="J53" s="201">
        <f t="shared" si="5"/>
        <v>7627.0338983050851</v>
      </c>
      <c r="K53" s="201">
        <f t="shared" si="4"/>
        <v>1372.8661016949152</v>
      </c>
      <c r="L53" s="5">
        <v>0</v>
      </c>
      <c r="M53" s="196"/>
    </row>
    <row r="54" spans="1:15" ht="12.75" customHeight="1" thickBot="1" x14ac:dyDescent="0.3">
      <c r="A54" s="218">
        <v>1010</v>
      </c>
      <c r="B54" s="196" t="s">
        <v>187</v>
      </c>
      <c r="C54" s="196" t="s">
        <v>419</v>
      </c>
      <c r="D54" s="196" t="s">
        <v>203</v>
      </c>
      <c r="E54" s="197">
        <v>45137.715277777781</v>
      </c>
      <c r="F54" s="197">
        <v>45137.715277777781</v>
      </c>
      <c r="G54" s="196" t="s">
        <v>331</v>
      </c>
      <c r="H54" s="196">
        <v>0.18</v>
      </c>
      <c r="I54" s="196">
        <v>175002.5</v>
      </c>
      <c r="J54" s="201">
        <f t="shared" si="5"/>
        <v>148307.20338983051</v>
      </c>
      <c r="K54" s="201">
        <f t="shared" si="4"/>
        <v>26695.296610169491</v>
      </c>
      <c r="L54" s="5">
        <v>0</v>
      </c>
      <c r="M54" s="196"/>
    </row>
    <row r="55" spans="1:15" ht="12.75" customHeight="1" thickBot="1" x14ac:dyDescent="0.3">
      <c r="A55" s="218">
        <v>1011</v>
      </c>
      <c r="B55" s="196" t="s">
        <v>187</v>
      </c>
      <c r="C55" s="196" t="s">
        <v>420</v>
      </c>
      <c r="D55" s="196" t="s">
        <v>203</v>
      </c>
      <c r="E55" s="197">
        <v>45132.715277777781</v>
      </c>
      <c r="F55" s="197">
        <v>45137.715277777781</v>
      </c>
      <c r="G55" s="196" t="s">
        <v>331</v>
      </c>
      <c r="H55" s="196">
        <v>0.18</v>
      </c>
      <c r="I55" s="196">
        <v>62402</v>
      </c>
      <c r="J55" s="201">
        <f t="shared" si="5"/>
        <v>52883.050847457627</v>
      </c>
      <c r="K55" s="201">
        <f t="shared" si="4"/>
        <v>9518.9491525423728</v>
      </c>
      <c r="L55" s="5">
        <v>0</v>
      </c>
      <c r="M55" s="196"/>
    </row>
    <row r="56" spans="1:15" ht="12.75" customHeight="1" thickBot="1" x14ac:dyDescent="0.3">
      <c r="A56" s="218">
        <v>1012</v>
      </c>
      <c r="B56" s="196" t="s">
        <v>187</v>
      </c>
      <c r="C56" s="196" t="s">
        <v>421</v>
      </c>
      <c r="D56" s="196" t="s">
        <v>203</v>
      </c>
      <c r="E56" s="197">
        <v>45132.715277777781</v>
      </c>
      <c r="F56" s="197">
        <v>45137.715277777781</v>
      </c>
      <c r="G56" s="196" t="s">
        <v>331</v>
      </c>
      <c r="H56" s="196">
        <v>0.18</v>
      </c>
      <c r="I56" s="196">
        <v>2396</v>
      </c>
      <c r="J56" s="201">
        <f t="shared" si="5"/>
        <v>2030.5084745762713</v>
      </c>
      <c r="K56" s="201">
        <f t="shared" si="4"/>
        <v>365.49152542372883</v>
      </c>
      <c r="L56" s="5">
        <v>0</v>
      </c>
      <c r="M56" s="196"/>
    </row>
    <row r="57" spans="1:15" ht="12.75" customHeight="1" thickBot="1" x14ac:dyDescent="0.3">
      <c r="A57" s="218">
        <v>1013</v>
      </c>
      <c r="B57" s="196" t="s">
        <v>187</v>
      </c>
      <c r="C57" s="196" t="s">
        <v>422</v>
      </c>
      <c r="D57" s="196" t="s">
        <v>203</v>
      </c>
      <c r="E57" s="197">
        <v>45132.715277777781</v>
      </c>
      <c r="F57" s="197">
        <v>45137.715277777781</v>
      </c>
      <c r="G57" s="224" t="s">
        <v>331</v>
      </c>
      <c r="H57" s="196">
        <v>0.18</v>
      </c>
      <c r="I57" s="196">
        <v>600</v>
      </c>
      <c r="J57" s="201">
        <f t="shared" si="5"/>
        <v>508.47457627118649</v>
      </c>
      <c r="K57" s="201">
        <f t="shared" si="4"/>
        <v>91.525423728813564</v>
      </c>
      <c r="L57" s="5">
        <v>0</v>
      </c>
      <c r="M57" s="196"/>
    </row>
    <row r="58" spans="1:15" ht="12.75" customHeight="1" thickBot="1" x14ac:dyDescent="0.3">
      <c r="A58" s="218">
        <v>1014</v>
      </c>
      <c r="B58" s="196" t="s">
        <v>333</v>
      </c>
      <c r="C58" s="196" t="s">
        <v>423</v>
      </c>
      <c r="D58" s="196" t="s">
        <v>203</v>
      </c>
      <c r="E58" s="197">
        <v>45132.715277777781</v>
      </c>
      <c r="F58" s="197">
        <v>45137.715277777781</v>
      </c>
      <c r="G58" s="196" t="s">
        <v>331</v>
      </c>
      <c r="H58" s="196">
        <v>0.18</v>
      </c>
      <c r="I58" s="196">
        <v>90000</v>
      </c>
      <c r="J58" s="201">
        <f>I58/1.18</f>
        <v>76271.186440677964</v>
      </c>
      <c r="K58" s="201">
        <f t="shared" si="4"/>
        <v>13728.813559322032</v>
      </c>
      <c r="L58" s="5">
        <v>0</v>
      </c>
      <c r="M58" s="199"/>
    </row>
    <row r="59" spans="1:15" ht="12.75" customHeight="1" x14ac:dyDescent="0.25">
      <c r="I59" s="205">
        <f>SUM(I45:I58)</f>
        <v>755013.8175</v>
      </c>
      <c r="J59" s="205">
        <f>SUM(J45:J58)</f>
        <v>664975.17597457627</v>
      </c>
      <c r="K59" s="205">
        <f>SUM(K45:K58)</f>
        <v>90008.641525423736</v>
      </c>
      <c r="L59" s="205">
        <f>SUM(L45:L58)</f>
        <v>30</v>
      </c>
      <c r="O59" s="205"/>
    </row>
    <row r="61" spans="1:15" ht="12.75" customHeight="1" thickBot="1" x14ac:dyDescent="0.3">
      <c r="A61" s="198"/>
      <c r="B61" s="198"/>
      <c r="C61" s="198"/>
      <c r="D61" s="198"/>
      <c r="E61" s="198"/>
      <c r="F61" s="198"/>
    </row>
    <row r="62" spans="1:15" ht="12.75" customHeight="1" thickBot="1" x14ac:dyDescent="0.3">
      <c r="A62" s="223" t="s">
        <v>432</v>
      </c>
      <c r="B62" s="194" t="s">
        <v>435</v>
      </c>
      <c r="C62" s="194" t="s">
        <v>433</v>
      </c>
      <c r="D62" s="194" t="s">
        <v>434</v>
      </c>
      <c r="E62" s="194" t="s">
        <v>363</v>
      </c>
      <c r="F62" s="194" t="s">
        <v>319</v>
      </c>
      <c r="G62" s="195" t="s">
        <v>336</v>
      </c>
    </row>
    <row r="63" spans="1:15" ht="12.75" customHeight="1" thickBot="1" x14ac:dyDescent="0.3">
      <c r="A63" s="218">
        <v>100</v>
      </c>
      <c r="B63" t="s">
        <v>436</v>
      </c>
      <c r="C63" s="196">
        <v>0</v>
      </c>
      <c r="D63" s="196">
        <v>8</v>
      </c>
      <c r="E63">
        <v>200</v>
      </c>
      <c r="F63" s="196">
        <v>1001</v>
      </c>
      <c r="G63" s="208">
        <v>2001</v>
      </c>
    </row>
    <row r="64" spans="1:15" ht="12.75" customHeight="1" thickBot="1" x14ac:dyDescent="0.3">
      <c r="A64" s="218">
        <v>101</v>
      </c>
      <c r="B64" t="s">
        <v>436</v>
      </c>
      <c r="C64" s="196">
        <v>0</v>
      </c>
      <c r="D64" s="196">
        <v>15</v>
      </c>
      <c r="E64">
        <v>201</v>
      </c>
      <c r="F64" s="196">
        <v>1002</v>
      </c>
      <c r="G64" s="208">
        <v>2002</v>
      </c>
    </row>
    <row r="65" spans="1:8" ht="12.75" customHeight="1" thickBot="1" x14ac:dyDescent="0.3">
      <c r="A65" s="218">
        <v>102</v>
      </c>
      <c r="B65" t="s">
        <v>436</v>
      </c>
      <c r="C65" s="196">
        <v>0</v>
      </c>
      <c r="D65" s="196">
        <v>5</v>
      </c>
      <c r="E65">
        <v>202</v>
      </c>
      <c r="F65" s="196">
        <v>1003</v>
      </c>
      <c r="G65" s="208">
        <v>2003</v>
      </c>
    </row>
    <row r="66" spans="1:8" ht="12.75" customHeight="1" thickBot="1" x14ac:dyDescent="0.3">
      <c r="A66" s="218">
        <v>103</v>
      </c>
      <c r="B66" t="s">
        <v>436</v>
      </c>
      <c r="C66" s="196">
        <v>0</v>
      </c>
      <c r="D66" s="196">
        <v>8</v>
      </c>
      <c r="E66">
        <v>203</v>
      </c>
      <c r="F66" s="196">
        <v>1004</v>
      </c>
      <c r="G66" s="208">
        <v>2004</v>
      </c>
      <c r="H66" s="6"/>
    </row>
    <row r="67" spans="1:8" ht="12.75" customHeight="1" thickBot="1" x14ac:dyDescent="0.3">
      <c r="A67" s="218">
        <v>104</v>
      </c>
      <c r="B67" t="s">
        <v>436</v>
      </c>
      <c r="C67" s="196">
        <v>0</v>
      </c>
      <c r="D67" s="196">
        <v>10</v>
      </c>
      <c r="E67">
        <v>204</v>
      </c>
      <c r="F67" s="196">
        <v>1005</v>
      </c>
      <c r="G67" s="208">
        <v>2005</v>
      </c>
    </row>
    <row r="68" spans="1:8" ht="12.75" customHeight="1" thickBot="1" x14ac:dyDescent="0.3">
      <c r="A68" s="218">
        <v>105</v>
      </c>
      <c r="B68" t="s">
        <v>436</v>
      </c>
      <c r="C68" s="196">
        <v>0</v>
      </c>
      <c r="D68" s="196">
        <v>150</v>
      </c>
      <c r="E68">
        <v>205</v>
      </c>
      <c r="F68" s="196">
        <v>1006</v>
      </c>
      <c r="G68" s="208">
        <v>2006</v>
      </c>
    </row>
    <row r="69" spans="1:8" ht="12.75" customHeight="1" thickBot="1" x14ac:dyDescent="0.3">
      <c r="A69" s="218">
        <v>106</v>
      </c>
      <c r="B69" t="s">
        <v>436</v>
      </c>
      <c r="C69" s="196">
        <v>0</v>
      </c>
      <c r="D69" s="196">
        <v>8</v>
      </c>
      <c r="E69">
        <v>206</v>
      </c>
      <c r="F69" s="196">
        <v>1007</v>
      </c>
      <c r="G69" s="208">
        <v>2007</v>
      </c>
    </row>
    <row r="70" spans="1:8" ht="12.75" customHeight="1" thickBot="1" x14ac:dyDescent="0.3">
      <c r="A70" s="218">
        <v>107</v>
      </c>
      <c r="B70" t="s">
        <v>436</v>
      </c>
      <c r="C70" s="196">
        <v>0</v>
      </c>
      <c r="D70" s="196">
        <f t="shared" ref="D70:D78" si="6">-C30</f>
        <v>-4</v>
      </c>
      <c r="E70">
        <v>200</v>
      </c>
      <c r="F70" s="196">
        <v>1008</v>
      </c>
      <c r="G70" s="208">
        <v>2008</v>
      </c>
    </row>
    <row r="71" spans="1:8" ht="12.75" customHeight="1" thickBot="1" x14ac:dyDescent="0.3">
      <c r="A71" s="218">
        <v>108</v>
      </c>
      <c r="B71" t="s">
        <v>436</v>
      </c>
      <c r="C71" s="196">
        <v>0</v>
      </c>
      <c r="D71" s="196">
        <f t="shared" si="6"/>
        <v>-10</v>
      </c>
      <c r="E71">
        <v>201</v>
      </c>
      <c r="F71" s="196">
        <v>1009</v>
      </c>
      <c r="G71" s="208">
        <v>2009</v>
      </c>
    </row>
    <row r="72" spans="1:8" ht="12.75" customHeight="1" thickBot="1" x14ac:dyDescent="0.3">
      <c r="A72" s="218">
        <v>109</v>
      </c>
      <c r="B72" t="s">
        <v>436</v>
      </c>
      <c r="C72" s="196">
        <v>0</v>
      </c>
      <c r="D72" s="196">
        <f t="shared" si="6"/>
        <v>-5</v>
      </c>
      <c r="E72">
        <v>202</v>
      </c>
      <c r="F72" s="196">
        <v>1010</v>
      </c>
      <c r="G72" s="208">
        <v>2010</v>
      </c>
    </row>
    <row r="73" spans="1:8" ht="12.75" customHeight="1" thickBot="1" x14ac:dyDescent="0.3">
      <c r="A73" s="218">
        <v>110</v>
      </c>
      <c r="B73" t="s">
        <v>436</v>
      </c>
      <c r="C73" s="196">
        <v>0</v>
      </c>
      <c r="D73" s="196">
        <f t="shared" si="6"/>
        <v>-8</v>
      </c>
      <c r="E73">
        <v>203</v>
      </c>
      <c r="F73" s="196">
        <v>1011</v>
      </c>
      <c r="G73" s="208">
        <v>2011</v>
      </c>
    </row>
    <row r="74" spans="1:8" ht="12.75" customHeight="1" thickBot="1" x14ac:dyDescent="0.3">
      <c r="A74" s="218">
        <v>111</v>
      </c>
      <c r="B74" t="s">
        <v>436</v>
      </c>
      <c r="C74" s="196">
        <v>0</v>
      </c>
      <c r="D74" s="196">
        <f t="shared" si="6"/>
        <v>-8</v>
      </c>
      <c r="E74">
        <v>204</v>
      </c>
      <c r="F74" s="196">
        <v>1012</v>
      </c>
      <c r="G74" s="208">
        <v>2012</v>
      </c>
    </row>
    <row r="75" spans="1:8" ht="12.75" customHeight="1" thickBot="1" x14ac:dyDescent="0.3">
      <c r="A75" s="218">
        <v>112</v>
      </c>
      <c r="B75" t="s">
        <v>436</v>
      </c>
      <c r="C75" s="196">
        <v>0</v>
      </c>
      <c r="D75" s="196">
        <f t="shared" si="6"/>
        <v>-30</v>
      </c>
      <c r="E75">
        <v>205</v>
      </c>
      <c r="F75" s="196">
        <v>1013</v>
      </c>
      <c r="G75" s="208">
        <v>2013</v>
      </c>
    </row>
    <row r="76" spans="1:8" ht="12.75" customHeight="1" thickBot="1" x14ac:dyDescent="0.3">
      <c r="A76" s="218">
        <v>113</v>
      </c>
      <c r="B76" t="s">
        <v>436</v>
      </c>
      <c r="C76" s="196">
        <v>0</v>
      </c>
      <c r="D76" s="196">
        <f t="shared" si="6"/>
        <v>-3</v>
      </c>
      <c r="E76">
        <v>206</v>
      </c>
      <c r="F76" s="196">
        <v>1014</v>
      </c>
      <c r="G76" s="208">
        <v>2014</v>
      </c>
    </row>
    <row r="77" spans="1:8" ht="12.75" customHeight="1" thickBot="1" x14ac:dyDescent="0.3">
      <c r="A77" s="218">
        <v>114</v>
      </c>
      <c r="B77" t="s">
        <v>436</v>
      </c>
      <c r="C77" s="196">
        <v>0</v>
      </c>
      <c r="D77" s="196">
        <f t="shared" si="6"/>
        <v>-1</v>
      </c>
      <c r="E77">
        <v>206</v>
      </c>
      <c r="F77" s="211">
        <v>1009</v>
      </c>
      <c r="G77" s="208">
        <v>2015</v>
      </c>
    </row>
    <row r="78" spans="1:8" ht="12.75" customHeight="1" thickBot="1" x14ac:dyDescent="0.3">
      <c r="A78" s="218">
        <v>115</v>
      </c>
      <c r="B78" t="s">
        <v>436</v>
      </c>
      <c r="C78" s="196">
        <v>0</v>
      </c>
      <c r="D78" s="196">
        <f t="shared" si="6"/>
        <v>-1</v>
      </c>
      <c r="E78">
        <v>206</v>
      </c>
      <c r="F78" s="211">
        <v>1009</v>
      </c>
      <c r="G78" s="208">
        <v>2016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tablasubicacion</vt:lpstr>
      <vt:lpstr>Hoja2 (2)</vt:lpstr>
      <vt:lpstr>RELACIONESSTORE</vt:lpstr>
      <vt:lpstr>Hoja3</vt:lpstr>
      <vt:lpstr>RELACIONESSTORE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claudio</cp:lastModifiedBy>
  <dcterms:created xsi:type="dcterms:W3CDTF">2023-07-27T20:10:11Z</dcterms:created>
  <dcterms:modified xsi:type="dcterms:W3CDTF">2023-07-29T07:33:25Z</dcterms:modified>
</cp:coreProperties>
</file>