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/>
  <mc:AlternateContent xmlns:mc="http://schemas.openxmlformats.org/markup-compatibility/2006">
    <mc:Choice Requires="x15">
      <x15ac:absPath xmlns:x15ac="http://schemas.microsoft.com/office/spreadsheetml/2010/11/ac" url="C:\Users\jninop\Documents\2019\tecnico\Kit Factura Electronica V2 Validacion Previa\Ejemplificaciones\Excel\"/>
    </mc:Choice>
  </mc:AlternateContent>
  <bookViews>
    <workbookView xWindow="0" yWindow="0" windowWidth="28800" windowHeight="11610" activeTab="5"/>
  </bookViews>
  <sheets>
    <sheet name="Excluido y Exentos" sheetId="9" r:id="rId1"/>
    <sheet name="Mandatos" sheetId="11" r:id="rId2"/>
    <sheet name="Servicios AIU" sheetId="12" r:id="rId3"/>
    <sheet name="Genérica" sheetId="6" r:id="rId4"/>
    <sheet name="Emisor-Es-Autoretendor" sheetId="8" r:id="rId5"/>
    <sheet name="Combustibles" sheetId="7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" l="1"/>
  <c r="H3" i="9"/>
  <c r="F30" i="12"/>
  <c r="E30" i="12"/>
  <c r="D29" i="12"/>
  <c r="K29" i="12" s="1"/>
  <c r="K30" i="12" s="1"/>
  <c r="D28" i="12"/>
  <c r="G28" i="12" s="1"/>
  <c r="G29" i="12" l="1"/>
  <c r="G30" i="12" s="1"/>
  <c r="H29" i="12"/>
  <c r="D30" i="12"/>
  <c r="M25" i="8" l="1"/>
  <c r="N26" i="7"/>
  <c r="T14" i="7"/>
  <c r="T13" i="7"/>
  <c r="T12" i="7"/>
  <c r="P14" i="7"/>
  <c r="P13" i="7"/>
  <c r="P12" i="7"/>
  <c r="P11" i="7"/>
  <c r="P10" i="7"/>
  <c r="P9" i="7"/>
  <c r="P8" i="7"/>
  <c r="P7" i="7"/>
  <c r="P6" i="7"/>
  <c r="P5" i="7"/>
  <c r="P4" i="7"/>
  <c r="P3" i="7"/>
  <c r="G17" i="12" l="1"/>
  <c r="F12" i="12"/>
  <c r="F17" i="12" s="1"/>
  <c r="F6" i="12"/>
  <c r="E6" i="12"/>
  <c r="D5" i="12"/>
  <c r="D4" i="12"/>
  <c r="G4" i="12" s="1"/>
  <c r="D3" i="12"/>
  <c r="G3" i="12" s="1"/>
  <c r="G20" i="11"/>
  <c r="G9" i="11"/>
  <c r="F9" i="11"/>
  <c r="I8" i="11"/>
  <c r="H8" i="11"/>
  <c r="E8" i="11"/>
  <c r="E7" i="11"/>
  <c r="L7" i="11" s="1"/>
  <c r="E6" i="11"/>
  <c r="H6" i="11" s="1"/>
  <c r="L5" i="11"/>
  <c r="E5" i="11"/>
  <c r="H5" i="11" s="1"/>
  <c r="I5" i="11" s="1"/>
  <c r="I4" i="11"/>
  <c r="H4" i="11"/>
  <c r="E4" i="11"/>
  <c r="L4" i="11" s="1"/>
  <c r="F15" i="11" s="1"/>
  <c r="F20" i="11" s="1"/>
  <c r="E3" i="11"/>
  <c r="H3" i="11" s="1"/>
  <c r="H5" i="12" l="1"/>
  <c r="I17" i="12" s="1"/>
  <c r="G5" i="12"/>
  <c r="G6" i="12" s="1"/>
  <c r="H17" i="12" s="1"/>
  <c r="K5" i="12"/>
  <c r="D6" i="12"/>
  <c r="I3" i="11"/>
  <c r="L3" i="11" s="1"/>
  <c r="L9" i="11" s="1"/>
  <c r="L20" i="11" s="1"/>
  <c r="E9" i="11"/>
  <c r="H7" i="11"/>
  <c r="I7" i="11" s="1"/>
  <c r="K6" i="12" l="1"/>
  <c r="J17" i="12" s="1"/>
  <c r="H20" i="11"/>
  <c r="I20" i="11"/>
  <c r="H9" i="11"/>
  <c r="L17" i="12" l="1"/>
  <c r="N17" i="12"/>
  <c r="J20" i="11"/>
  <c r="N20" i="11" s="1"/>
  <c r="G20" i="9" l="1"/>
  <c r="G9" i="9"/>
  <c r="F9" i="9"/>
  <c r="E4" i="9"/>
  <c r="L4" i="9" s="1"/>
  <c r="F15" i="9" s="1"/>
  <c r="F20" i="9" s="1"/>
  <c r="E3" i="9"/>
  <c r="E9" i="9" s="1"/>
  <c r="I4" i="9" l="1"/>
  <c r="I20" i="9" s="1"/>
  <c r="E10" i="8"/>
  <c r="H10" i="8" s="1"/>
  <c r="E8" i="8"/>
  <c r="H8" i="8" s="1"/>
  <c r="R8" i="8" s="1"/>
  <c r="G25" i="8"/>
  <c r="G12" i="8"/>
  <c r="F12" i="8"/>
  <c r="I11" i="8"/>
  <c r="L11" i="8" s="1"/>
  <c r="H11" i="8"/>
  <c r="R11" i="8" s="1"/>
  <c r="E11" i="8"/>
  <c r="E9" i="8"/>
  <c r="L9" i="8" s="1"/>
  <c r="O9" i="8" s="1"/>
  <c r="E7" i="8"/>
  <c r="E6" i="8"/>
  <c r="L6" i="8" s="1"/>
  <c r="O6" i="8" s="1"/>
  <c r="H5" i="8"/>
  <c r="R5" i="8" s="1"/>
  <c r="E5" i="8"/>
  <c r="I5" i="8" s="1"/>
  <c r="E4" i="8"/>
  <c r="H4" i="8" s="1"/>
  <c r="I4" i="8" s="1"/>
  <c r="L4" i="8" s="1"/>
  <c r="R4" i="8" l="1"/>
  <c r="L9" i="9"/>
  <c r="L20" i="9" s="1"/>
  <c r="H9" i="9"/>
  <c r="H20" i="9"/>
  <c r="R10" i="8"/>
  <c r="I10" i="8"/>
  <c r="L10" i="8"/>
  <c r="O10" i="8" s="1"/>
  <c r="H9" i="8"/>
  <c r="H7" i="8"/>
  <c r="R7" i="8" s="1"/>
  <c r="L5" i="8"/>
  <c r="E12" i="8"/>
  <c r="O4" i="8"/>
  <c r="H6" i="8"/>
  <c r="R6" i="8" s="1"/>
  <c r="Q14" i="7"/>
  <c r="E14" i="7"/>
  <c r="L14" i="7" s="1"/>
  <c r="E13" i="7"/>
  <c r="L13" i="7" s="1"/>
  <c r="H13" i="7"/>
  <c r="I13" i="7" s="1"/>
  <c r="Q13" i="7"/>
  <c r="E12" i="7"/>
  <c r="H12" i="7" s="1"/>
  <c r="I12" i="7" s="1"/>
  <c r="Q12" i="7"/>
  <c r="Q11" i="7"/>
  <c r="T11" i="7" s="1"/>
  <c r="Q10" i="7"/>
  <c r="T10" i="7" s="1"/>
  <c r="Q5" i="7"/>
  <c r="T5" i="7" s="1"/>
  <c r="Q4" i="7"/>
  <c r="T4" i="7" s="1"/>
  <c r="Q3" i="7"/>
  <c r="T3" i="7" s="1"/>
  <c r="E11" i="7"/>
  <c r="L11" i="7" s="1"/>
  <c r="E10" i="7"/>
  <c r="L10" i="7" s="1"/>
  <c r="E9" i="7"/>
  <c r="L9" i="7" s="1"/>
  <c r="E8" i="7"/>
  <c r="L8" i="7" s="1"/>
  <c r="G16" i="7"/>
  <c r="F16" i="7"/>
  <c r="E7" i="7"/>
  <c r="H7" i="7" s="1"/>
  <c r="I7" i="7" s="1"/>
  <c r="E6" i="7"/>
  <c r="L6" i="7" s="1"/>
  <c r="E5" i="7"/>
  <c r="H5" i="7" s="1"/>
  <c r="I5" i="7" s="1"/>
  <c r="E4" i="7"/>
  <c r="L4" i="7" s="1"/>
  <c r="E3" i="7"/>
  <c r="H3" i="7" s="1"/>
  <c r="J20" i="9" l="1"/>
  <c r="N20" i="9" s="1"/>
  <c r="I9" i="8"/>
  <c r="R9" i="8"/>
  <c r="F18" i="8"/>
  <c r="F25" i="8" s="1"/>
  <c r="O5" i="8"/>
  <c r="L12" i="8"/>
  <c r="L25" i="8" s="1"/>
  <c r="I6" i="8"/>
  <c r="I25" i="8"/>
  <c r="H12" i="8"/>
  <c r="H25" i="8"/>
  <c r="H8" i="7"/>
  <c r="I8" i="7" s="1"/>
  <c r="H14" i="7"/>
  <c r="I14" i="7" s="1"/>
  <c r="P16" i="7"/>
  <c r="H11" i="7"/>
  <c r="I11" i="7" s="1"/>
  <c r="L12" i="7"/>
  <c r="H9" i="7"/>
  <c r="I9" i="7" s="1"/>
  <c r="H10" i="7"/>
  <c r="I10" i="7" s="1"/>
  <c r="Q6" i="7"/>
  <c r="T6" i="7" s="1"/>
  <c r="Q7" i="7"/>
  <c r="T7" i="7" s="1"/>
  <c r="Q8" i="7"/>
  <c r="T8" i="7" s="1"/>
  <c r="Q9" i="7"/>
  <c r="T9" i="7" s="1"/>
  <c r="H4" i="7"/>
  <c r="I4" i="7" s="1"/>
  <c r="I3" i="7"/>
  <c r="L3" i="7" s="1"/>
  <c r="L7" i="7"/>
  <c r="H6" i="7"/>
  <c r="I6" i="7" s="1"/>
  <c r="L5" i="7"/>
  <c r="E16" i="7"/>
  <c r="H6" i="6"/>
  <c r="E6" i="6"/>
  <c r="I26" i="7" l="1"/>
  <c r="T16" i="7"/>
  <c r="O12" i="8"/>
  <c r="R12" i="8"/>
  <c r="J25" i="8"/>
  <c r="N25" i="8" s="1"/>
  <c r="L16" i="7"/>
  <c r="H26" i="7"/>
  <c r="J26" i="7" s="1"/>
  <c r="H16" i="7"/>
  <c r="G20" i="6"/>
  <c r="G9" i="6"/>
  <c r="F9" i="6"/>
  <c r="I8" i="6"/>
  <c r="H8" i="6"/>
  <c r="E8" i="6"/>
  <c r="E7" i="6"/>
  <c r="L7" i="6" s="1"/>
  <c r="E5" i="6"/>
  <c r="L5" i="6" s="1"/>
  <c r="H4" i="6"/>
  <c r="E4" i="6"/>
  <c r="L4" i="6" s="1"/>
  <c r="F15" i="6" s="1"/>
  <c r="F20" i="6" s="1"/>
  <c r="E3" i="6"/>
  <c r="L26" i="7" l="1"/>
  <c r="E9" i="6"/>
  <c r="H3" i="6"/>
  <c r="H5" i="6"/>
  <c r="I5" i="6" s="1"/>
  <c r="H7" i="6"/>
  <c r="I7" i="6" s="1"/>
  <c r="I4" i="6"/>
  <c r="H20" i="6" l="1"/>
  <c r="I20" i="6"/>
  <c r="H9" i="6"/>
  <c r="I3" i="6"/>
  <c r="L3" i="6" s="1"/>
  <c r="L9" i="6" l="1"/>
  <c r="L20" i="6" l="1"/>
  <c r="J20" i="6"/>
  <c r="N20" i="6" s="1"/>
</calcChain>
</file>

<file path=xl/sharedStrings.xml><?xml version="1.0" encoding="utf-8"?>
<sst xmlns="http://schemas.openxmlformats.org/spreadsheetml/2006/main" count="432" uniqueCount="101">
  <si>
    <t>Subtotal</t>
  </si>
  <si>
    <t>Valor</t>
  </si>
  <si>
    <t>Desc</t>
  </si>
  <si>
    <t>Cargo</t>
  </si>
  <si>
    <t>LExtAm</t>
  </si>
  <si>
    <t>IVA</t>
  </si>
  <si>
    <t>LegalMonetaryTotal</t>
  </si>
  <si>
    <t>false</t>
  </si>
  <si>
    <t>true</t>
  </si>
  <si>
    <t>ValorFactura</t>
  </si>
  <si>
    <t>acarreo</t>
  </si>
  <si>
    <t>Base para TV</t>
  </si>
  <si>
    <t>Antena (regalo)</t>
  </si>
  <si>
    <t>TV</t>
  </si>
  <si>
    <t>Descuento cliente frecuente</t>
  </si>
  <si>
    <t>Cargo financiero pago 30dd</t>
  </si>
  <si>
    <t>Descuento por temporada</t>
  </si>
  <si>
    <t>Cargo financiero estudio de crédito</t>
  </si>
  <si>
    <t>Descuento por IVA asumido</t>
  </si>
  <si>
    <t>AllowanceCharge</t>
  </si>
  <si>
    <t>LineExtensionAmount</t>
  </si>
  <si>
    <t>Percent</t>
  </si>
  <si>
    <t>TaxAmount</t>
  </si>
  <si>
    <t>Bolsas</t>
  </si>
  <si>
    <t>TarifaTributo</t>
  </si>
  <si>
    <t>ValorTributo</t>
  </si>
  <si>
    <t>Cantidad</t>
  </si>
  <si>
    <t>Precio Unitario</t>
  </si>
  <si>
    <t>Price</t>
  </si>
  <si>
    <t>Quantity</t>
  </si>
  <si>
    <t>TaxableAmount</t>
  </si>
  <si>
    <t>Base tributable</t>
  </si>
  <si>
    <t>Tributo</t>
  </si>
  <si>
    <t>ID ( TaxCategory)</t>
  </si>
  <si>
    <t>TotalAllowance</t>
  </si>
  <si>
    <t>TotalCharges</t>
  </si>
  <si>
    <t>LineExtensionAmt</t>
  </si>
  <si>
    <t>TaxExclusiveAmt</t>
  </si>
  <si>
    <t>Papa</t>
  </si>
  <si>
    <t>TaxInclusiveAmt</t>
  </si>
  <si>
    <t>PayeableAmt</t>
  </si>
  <si>
    <t>Gasolina corriente</t>
  </si>
  <si>
    <t>Gasolina Extra</t>
  </si>
  <si>
    <t>ACPM</t>
  </si>
  <si>
    <t>Otras gasolinas</t>
  </si>
  <si>
    <t>Otro ACPM</t>
  </si>
  <si>
    <t>ACPM 98% BIO 2%</t>
  </si>
  <si>
    <t>ACPM 96% BIO 4%</t>
  </si>
  <si>
    <t>ACPM 92% BIO 8%</t>
  </si>
  <si>
    <t>ACPM 90% BIO 10%</t>
  </si>
  <si>
    <t>Impuesto Nacional</t>
  </si>
  <si>
    <t>Impuesto al Carbono</t>
  </si>
  <si>
    <t>Gasolina corriente en San Andres</t>
  </si>
  <si>
    <t>Gasolina extra en San Andres</t>
  </si>
  <si>
    <t>ACPM Diesel Marino y Fluvial</t>
  </si>
  <si>
    <t>PrePaidAmt</t>
  </si>
  <si>
    <t>Sum(TaxTotal x Impuesto)</t>
  </si>
  <si>
    <t>Impuestos retenidos</t>
  </si>
  <si>
    <t>RETEIVA</t>
  </si>
  <si>
    <t>Carne</t>
  </si>
  <si>
    <t>Servicio de instalación y configuración</t>
  </si>
  <si>
    <t>RETEFUENTE</t>
  </si>
  <si>
    <t>Total retenciones</t>
  </si>
  <si>
    <t>Consideraciones</t>
  </si>
  <si>
    <t>1. Los conceptos de retención para bienes o servicios NO generales se aplican por bien o servicio reportado</t>
  </si>
  <si>
    <t>2. Para los generales, si el pago o abono a cuenta supera los topes, se debe aplicar la tarifa a cada item idividualmente, independiente de que un iten en particular no supere el tope del concepto</t>
  </si>
  <si>
    <t>3. Debe diferenciar las tarifas para los declarantes de renta y los no declarantes de renta.</t>
  </si>
  <si>
    <t>Bien excluido **</t>
  </si>
  <si>
    <t>Bien exento ++</t>
  </si>
  <si>
    <t>Excluido **</t>
  </si>
  <si>
    <t>Exento ++</t>
  </si>
  <si>
    <t>Da derecho a la devolución: E.T artículos 477, 478, 479 (Exportaciones), 480</t>
  </si>
  <si>
    <t xml:space="preserve">Propuesta de fiscalización: </t>
  </si>
  <si>
    <t>Que para los excluidos NO se reporte el correspondiente grupo taxTotal a nivel de item; Lo anterior va en línea con el ET, donde el excluido no causa Iva, mientras que el exento es un bien que causa IVA (Gravado), pero a tarifa 0%</t>
  </si>
  <si>
    <t>NIT Mandante **</t>
  </si>
  <si>
    <t>Mandante**</t>
  </si>
  <si>
    <t>Rechazo si el NIT del mandante no está registrado en RUT</t>
  </si>
  <si>
    <t>Servicio Salud (exluido)</t>
  </si>
  <si>
    <t>Servicio (Excluido)</t>
  </si>
  <si>
    <t>Utilidad</t>
  </si>
  <si>
    <t>Administración **</t>
  </si>
  <si>
    <t>Imprevisto **</t>
  </si>
  <si>
    <t>Deben tomarse en cuenta las disposiciones tributarias para el pacto de la Utilidad (10% ET 462-1)</t>
  </si>
  <si>
    <t>Artículos 476, 424</t>
  </si>
  <si>
    <t>Descuento por impuestos asumidos</t>
  </si>
  <si>
    <t>Otro descuento</t>
  </si>
  <si>
    <t>Deben ir codificados de acuerdo a tabla respectiva</t>
  </si>
  <si>
    <t>TaxableAmount / BaseUnitMeasure</t>
  </si>
  <si>
    <t>Percent / PerUnitAmount</t>
  </si>
  <si>
    <t>Regalo</t>
  </si>
  <si>
    <t>Debe informar el grupo cac:PricingReference</t>
  </si>
  <si>
    <t>BaseUnitMeasure</t>
  </si>
  <si>
    <t>PerUnitAmount</t>
  </si>
  <si>
    <t>WithHoldingTax</t>
  </si>
  <si>
    <t>Obligatorio incluir la descripción del contrato de servicios AIU Obra civil</t>
  </si>
  <si>
    <t>Para contratro AIU por servicios generales, ejemplo vigilancia debe informar los siguientes ítems:</t>
  </si>
  <si>
    <t>AIU</t>
  </si>
  <si>
    <t>Componente AIU sin impuesto</t>
  </si>
  <si>
    <t>Componente AIU sin impuesto **</t>
  </si>
  <si>
    <t>cac:PartyIdentification/cbc:ID</t>
  </si>
  <si>
    <t>Debe incluir el cac:PricingReference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</si>
</sst>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.00_-;\-&quot;$&quot;\ * #,##0.00_-;_-&quot;$&quot;\ * &quot;-&quot;_-;_-@_-"/>
    <numFmt numFmtId="167" formatCode="0.0%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0" borderId="17" xfId="0" applyNumberFormat="1" applyBorder="1"/>
    <xf numFmtId="0" fontId="0" fillId="2" borderId="17" xfId="0" applyFill="1" applyBorder="1"/>
    <xf numFmtId="164" fontId="0" fillId="0" borderId="3" xfId="1" applyFont="1" applyBorder="1"/>
    <xf numFmtId="164" fontId="0" fillId="0" borderId="9" xfId="1" applyFont="1" applyBorder="1"/>
    <xf numFmtId="164" fontId="0" fillId="0" borderId="6" xfId="1" applyFont="1" applyBorder="1"/>
    <xf numFmtId="164" fontId="0" fillId="0" borderId="17" xfId="1" applyFont="1" applyBorder="1"/>
    <xf numFmtId="164" fontId="0" fillId="0" borderId="12" xfId="1" applyFont="1" applyBorder="1"/>
    <xf numFmtId="166" fontId="0" fillId="0" borderId="10" xfId="1" applyNumberFormat="1" applyFont="1" applyBorder="1"/>
    <xf numFmtId="166" fontId="0" fillId="0" borderId="18" xfId="1" applyNumberFormat="1" applyFont="1" applyBorder="1"/>
    <xf numFmtId="166" fontId="0" fillId="0" borderId="11" xfId="1" applyNumberFormat="1" applyFont="1" applyBorder="1"/>
    <xf numFmtId="166" fontId="0" fillId="0" borderId="0" xfId="1" applyNumberFormat="1" applyFont="1"/>
    <xf numFmtId="166" fontId="0" fillId="0" borderId="1" xfId="1" applyNumberFormat="1" applyFont="1" applyBorder="1"/>
    <xf numFmtId="166" fontId="1" fillId="0" borderId="0" xfId="1" applyNumberFormat="1" applyFont="1"/>
    <xf numFmtId="166" fontId="0" fillId="0" borderId="3" xfId="1" applyNumberFormat="1" applyFont="1" applyBorder="1"/>
    <xf numFmtId="0" fontId="0" fillId="2" borderId="12" xfId="0" applyFill="1" applyBorder="1"/>
    <xf numFmtId="166" fontId="0" fillId="0" borderId="0" xfId="1" applyNumberFormat="1" applyFont="1" applyBorder="1"/>
    <xf numFmtId="0" fontId="0" fillId="0" borderId="0" xfId="0" applyBorder="1"/>
    <xf numFmtId="164" fontId="0" fillId="0" borderId="0" xfId="1" applyFont="1" applyBorder="1"/>
    <xf numFmtId="0" fontId="4" fillId="0" borderId="0" xfId="0" applyFont="1"/>
    <xf numFmtId="0" fontId="5" fillId="0" borderId="0" xfId="0" applyFont="1"/>
    <xf numFmtId="0" fontId="0" fillId="0" borderId="0" xfId="0" applyFill="1" applyBorder="1"/>
    <xf numFmtId="164" fontId="0" fillId="0" borderId="3" xfId="1" quotePrefix="1" applyFont="1" applyBorder="1"/>
    <xf numFmtId="165" fontId="0" fillId="0" borderId="3" xfId="0" applyNumberFormat="1" applyBorder="1"/>
    <xf numFmtId="0" fontId="0" fillId="0" borderId="3" xfId="0" applyBorder="1" applyAlignment="1">
      <alignment wrapText="1"/>
    </xf>
    <xf numFmtId="0" fontId="0" fillId="0" borderId="3" xfId="0" applyFill="1" applyBorder="1"/>
    <xf numFmtId="166" fontId="3" fillId="0" borderId="0" xfId="1" applyNumberFormat="1" applyFont="1"/>
    <xf numFmtId="164" fontId="0" fillId="0" borderId="0" xfId="1" quotePrefix="1" applyFont="1" applyFill="1" applyBorder="1"/>
    <xf numFmtId="9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quotePrefix="1" applyFill="1" applyBorder="1"/>
    <xf numFmtId="166" fontId="0" fillId="0" borderId="0" xfId="1" applyNumberFormat="1" applyFont="1" applyFill="1" applyBorder="1"/>
    <xf numFmtId="167" fontId="0" fillId="0" borderId="17" xfId="0" applyNumberFormat="1" applyBorder="1"/>
    <xf numFmtId="0" fontId="0" fillId="0" borderId="19" xfId="0" applyFill="1" applyBorder="1"/>
    <xf numFmtId="1" fontId="0" fillId="0" borderId="0" xfId="1" quotePrefix="1" applyNumberFormat="1" applyFont="1" applyFill="1" applyBorder="1"/>
    <xf numFmtId="0" fontId="1" fillId="0" borderId="0" xfId="0" applyFont="1"/>
    <xf numFmtId="0" fontId="6" fillId="0" borderId="0" xfId="0" applyFont="1"/>
    <xf numFmtId="0" fontId="7" fillId="2" borderId="17" xfId="0" applyFont="1" applyFill="1" applyBorder="1"/>
    <xf numFmtId="0" fontId="7" fillId="0" borderId="0" xfId="0" applyFont="1"/>
    <xf numFmtId="0" fontId="7" fillId="0" borderId="14" xfId="0" applyFont="1" applyBorder="1"/>
    <xf numFmtId="164" fontId="7" fillId="0" borderId="3" xfId="1" applyFont="1" applyBorder="1"/>
    <xf numFmtId="164" fontId="7" fillId="0" borderId="6" xfId="1" applyFont="1" applyBorder="1"/>
    <xf numFmtId="164" fontId="7" fillId="0" borderId="0" xfId="1" applyFont="1" applyBorder="1"/>
    <xf numFmtId="164" fontId="7" fillId="0" borderId="12" xfId="1" applyFont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164" fontId="0" fillId="0" borderId="17" xfId="1" applyNumberFormat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H15" sqref="H15"/>
    </sheetView>
  </sheetViews>
  <sheetFormatPr baseColWidth="10" defaultColWidth="11" defaultRowHeight="15.75" x14ac:dyDescent="0.25"/>
  <cols>
    <col min="1" max="1" width="17.625" bestFit="1" customWidth="1"/>
    <col min="2" max="2" width="7" bestFit="1" customWidth="1"/>
    <col min="3" max="3" width="7" customWidth="1"/>
    <col min="4" max="4" width="13.125" bestFit="1" customWidth="1"/>
    <col min="5" max="5" width="11.75" bestFit="1" customWidth="1"/>
    <col min="6" max="6" width="12.125" bestFit="1" customWidth="1"/>
    <col min="7" max="7" width="14.375" bestFit="1" customWidth="1"/>
    <col min="8" max="8" width="19" bestFit="1" customWidth="1"/>
    <col min="9" max="9" width="15.75" bestFit="1" customWidth="1"/>
    <col min="10" max="10" width="15.375" bestFit="1" customWidth="1"/>
    <col min="12" max="12" width="14.375" bestFit="1" customWidth="1"/>
    <col min="13" max="13" width="12.875" customWidth="1"/>
    <col min="14" max="14" width="14.375" bestFit="1" customWidth="1"/>
    <col min="16" max="16" width="11.75" bestFit="1" customWidth="1"/>
  </cols>
  <sheetData>
    <row r="1" spans="1:16" ht="16.5" thickBot="1" x14ac:dyDescent="0.3">
      <c r="C1" t="s">
        <v>29</v>
      </c>
      <c r="D1" t="s">
        <v>28</v>
      </c>
      <c r="F1" s="33" t="s">
        <v>19</v>
      </c>
      <c r="G1" s="32" t="s">
        <v>19</v>
      </c>
      <c r="H1" t="s">
        <v>20</v>
      </c>
      <c r="I1" t="s">
        <v>30</v>
      </c>
      <c r="J1" t="s">
        <v>33</v>
      </c>
      <c r="K1" t="s">
        <v>21</v>
      </c>
      <c r="L1" t="s">
        <v>22</v>
      </c>
      <c r="M1" s="34"/>
      <c r="N1" s="34"/>
      <c r="O1" s="34"/>
      <c r="P1" s="34"/>
    </row>
    <row r="2" spans="1:16" x14ac:dyDescent="0.25">
      <c r="A2" s="7"/>
      <c r="B2" s="11"/>
      <c r="C2" s="11" t="s">
        <v>26</v>
      </c>
      <c r="D2" s="11" t="s">
        <v>27</v>
      </c>
      <c r="E2" s="11" t="s">
        <v>1</v>
      </c>
      <c r="F2" s="12" t="s">
        <v>2</v>
      </c>
      <c r="G2" s="13" t="s">
        <v>3</v>
      </c>
      <c r="H2" s="11" t="s">
        <v>4</v>
      </c>
      <c r="I2" s="1" t="s">
        <v>31</v>
      </c>
      <c r="J2" s="1" t="s">
        <v>32</v>
      </c>
      <c r="K2" s="1" t="s">
        <v>24</v>
      </c>
      <c r="L2" s="11" t="s">
        <v>25</v>
      </c>
      <c r="M2" s="34"/>
      <c r="N2" s="34"/>
      <c r="O2" s="34"/>
      <c r="P2" s="34"/>
    </row>
    <row r="3" spans="1:16" x14ac:dyDescent="0.25">
      <c r="A3" s="8" t="s">
        <v>67</v>
      </c>
      <c r="B3" s="2"/>
      <c r="C3" s="2">
        <v>1</v>
      </c>
      <c r="D3" s="16">
        <v>300000</v>
      </c>
      <c r="E3" s="16">
        <f>C3*D3</f>
        <v>300000</v>
      </c>
      <c r="F3" s="16"/>
      <c r="G3" s="16"/>
      <c r="H3" s="16">
        <f>E3-F3+G3</f>
        <v>300000</v>
      </c>
      <c r="I3" s="19"/>
      <c r="J3" s="19"/>
      <c r="K3" s="14"/>
      <c r="L3" s="21"/>
      <c r="M3" s="40"/>
      <c r="N3" s="34"/>
      <c r="O3" s="41"/>
      <c r="P3" s="42"/>
    </row>
    <row r="4" spans="1:16" x14ac:dyDescent="0.25">
      <c r="A4" s="8" t="s">
        <v>68</v>
      </c>
      <c r="B4" s="2"/>
      <c r="C4" s="2">
        <v>1</v>
      </c>
      <c r="D4" s="16">
        <v>100000</v>
      </c>
      <c r="E4" s="16">
        <f t="shared" ref="E4" si="0">C4*D4</f>
        <v>100000</v>
      </c>
      <c r="F4" s="16"/>
      <c r="G4" s="16"/>
      <c r="H4" s="16">
        <f>E4-F4+G4</f>
        <v>100000</v>
      </c>
      <c r="I4" s="19">
        <f t="shared" ref="I4" si="1">IF(B4="false",H4,E4-F4+G4)</f>
        <v>100000</v>
      </c>
      <c r="J4" s="19" t="s">
        <v>5</v>
      </c>
      <c r="K4" s="14">
        <v>0</v>
      </c>
      <c r="L4" s="21">
        <f>K4*SUM(E4:G4)</f>
        <v>0</v>
      </c>
      <c r="M4" s="40"/>
      <c r="N4" s="34"/>
      <c r="O4" s="41"/>
      <c r="P4" s="42"/>
    </row>
    <row r="5" spans="1:16" x14ac:dyDescent="0.25">
      <c r="A5" s="8"/>
      <c r="B5" s="2"/>
      <c r="C5" s="2"/>
      <c r="D5" s="16"/>
      <c r="E5" s="16"/>
      <c r="F5" s="16"/>
      <c r="G5" s="16"/>
      <c r="H5" s="16"/>
      <c r="I5" s="19"/>
      <c r="J5" s="19"/>
      <c r="K5" s="14"/>
      <c r="L5" s="21"/>
      <c r="M5" s="40"/>
      <c r="N5" s="34"/>
      <c r="O5" s="41"/>
      <c r="P5" s="42"/>
    </row>
    <row r="6" spans="1:16" x14ac:dyDescent="0.25">
      <c r="A6" s="8"/>
      <c r="B6" s="2"/>
      <c r="C6" s="2"/>
      <c r="D6" s="16"/>
      <c r="E6" s="16"/>
      <c r="F6" s="16"/>
      <c r="G6" s="16"/>
      <c r="H6" s="16"/>
      <c r="I6" s="19"/>
      <c r="J6" s="19"/>
      <c r="K6" s="14"/>
      <c r="L6" s="21"/>
      <c r="M6" s="40"/>
      <c r="N6" s="34"/>
      <c r="O6" s="41"/>
      <c r="P6" s="42"/>
    </row>
    <row r="7" spans="1:16" x14ac:dyDescent="0.25">
      <c r="A7" s="8"/>
      <c r="B7" s="2"/>
      <c r="C7" s="2"/>
      <c r="D7" s="16"/>
      <c r="E7" s="16"/>
      <c r="F7" s="16"/>
      <c r="G7" s="16"/>
      <c r="H7" s="16"/>
      <c r="I7" s="19"/>
      <c r="J7" s="19"/>
      <c r="K7" s="14"/>
      <c r="L7" s="21"/>
      <c r="M7" s="40"/>
      <c r="N7" s="34"/>
      <c r="O7" s="41"/>
      <c r="P7" s="42"/>
    </row>
    <row r="8" spans="1:16" x14ac:dyDescent="0.25">
      <c r="A8" s="4"/>
      <c r="B8" s="2"/>
      <c r="C8" s="9"/>
      <c r="D8" s="17"/>
      <c r="E8" s="16"/>
      <c r="F8" s="17"/>
      <c r="G8" s="17"/>
      <c r="H8" s="16"/>
      <c r="I8" s="15"/>
      <c r="J8" s="28"/>
      <c r="K8" s="20"/>
      <c r="L8" s="22"/>
      <c r="M8" s="43"/>
      <c r="N8" s="34"/>
      <c r="O8" s="34"/>
      <c r="P8" s="34"/>
    </row>
    <row r="9" spans="1:16" ht="16.5" thickBot="1" x14ac:dyDescent="0.3">
      <c r="A9" s="5" t="s">
        <v>0</v>
      </c>
      <c r="B9" s="6"/>
      <c r="C9" s="6"/>
      <c r="D9" s="18"/>
      <c r="E9" s="18">
        <f>SUM(E3:E8)</f>
        <v>400000</v>
      </c>
      <c r="F9" s="18">
        <f t="shared" ref="F9:H9" si="2">SUM(F3:F7)</f>
        <v>0</v>
      </c>
      <c r="G9" s="18">
        <f t="shared" si="2"/>
        <v>0</v>
      </c>
      <c r="H9" s="18">
        <f t="shared" si="2"/>
        <v>400000</v>
      </c>
      <c r="I9" s="10"/>
      <c r="J9" s="10"/>
      <c r="K9" s="10"/>
      <c r="L9" s="23">
        <f>SUM(L3:L8)</f>
        <v>0</v>
      </c>
      <c r="M9" s="34"/>
      <c r="N9" s="34"/>
      <c r="O9" s="34"/>
      <c r="P9" s="44"/>
    </row>
    <row r="10" spans="1:16" x14ac:dyDescent="0.25">
      <c r="A10" s="30"/>
      <c r="B10" s="30"/>
      <c r="C10" s="30"/>
      <c r="D10" s="31"/>
      <c r="E10" s="31"/>
      <c r="F10" s="31"/>
      <c r="G10" s="31"/>
      <c r="H10" s="31"/>
      <c r="I10" s="30"/>
      <c r="J10" s="30"/>
      <c r="K10" s="30"/>
      <c r="L10" s="29"/>
      <c r="M10" s="34"/>
      <c r="N10" s="34"/>
      <c r="O10" s="34"/>
      <c r="P10" s="44"/>
    </row>
    <row r="11" spans="1:16" x14ac:dyDescent="0.25">
      <c r="A11" s="30"/>
      <c r="B11" s="30"/>
      <c r="C11" s="30"/>
      <c r="D11" s="31"/>
      <c r="E11" s="31"/>
      <c r="F11" s="31"/>
      <c r="G11" s="31"/>
      <c r="H11" s="31"/>
      <c r="I11" s="30"/>
      <c r="J11" s="30"/>
      <c r="K11" s="30"/>
      <c r="L11" s="29"/>
      <c r="M11" s="30"/>
      <c r="P11" s="29"/>
    </row>
    <row r="12" spans="1:16" x14ac:dyDescent="0.25">
      <c r="F12" s="33" t="s">
        <v>19</v>
      </c>
      <c r="G12" s="32" t="s">
        <v>19</v>
      </c>
    </row>
    <row r="13" spans="1:16" x14ac:dyDescent="0.25">
      <c r="A13" t="s">
        <v>14</v>
      </c>
      <c r="F13" s="24">
        <v>10000</v>
      </c>
      <c r="G13" s="24"/>
      <c r="H13" s="24"/>
      <c r="I13" s="24"/>
      <c r="J13" s="24"/>
      <c r="K13" s="24"/>
      <c r="L13" s="24"/>
      <c r="M13" s="24"/>
      <c r="N13" s="24"/>
    </row>
    <row r="14" spans="1:16" x14ac:dyDescent="0.25">
      <c r="A14" t="s">
        <v>15</v>
      </c>
      <c r="F14" s="24"/>
      <c r="G14" s="24">
        <v>15000</v>
      </c>
      <c r="H14" s="24"/>
      <c r="I14" s="24"/>
      <c r="J14" s="24"/>
      <c r="K14" s="24"/>
      <c r="L14" s="24"/>
      <c r="M14" s="24"/>
      <c r="N14" s="24"/>
    </row>
    <row r="15" spans="1:16" x14ac:dyDescent="0.25">
      <c r="A15" t="s">
        <v>18</v>
      </c>
      <c r="F15" s="24">
        <f>L4</f>
        <v>0</v>
      </c>
      <c r="G15" s="24"/>
      <c r="H15" s="24"/>
      <c r="I15" s="24"/>
      <c r="J15" s="24"/>
      <c r="K15" s="24"/>
      <c r="L15" s="24"/>
      <c r="M15" s="24"/>
      <c r="N15" s="24"/>
    </row>
    <row r="16" spans="1:16" x14ac:dyDescent="0.25">
      <c r="A16" t="s">
        <v>16</v>
      </c>
      <c r="F16" s="24">
        <v>30000</v>
      </c>
      <c r="G16" s="24"/>
      <c r="H16" s="24"/>
      <c r="I16" s="24"/>
      <c r="J16" s="24"/>
      <c r="K16" s="24"/>
      <c r="L16" s="24"/>
      <c r="M16" s="24"/>
      <c r="N16" s="24"/>
    </row>
    <row r="17" spans="1:14" x14ac:dyDescent="0.25">
      <c r="A17" t="s">
        <v>17</v>
      </c>
      <c r="F17" s="25"/>
      <c r="G17" s="25">
        <v>5000</v>
      </c>
      <c r="H17" s="24"/>
      <c r="I17" s="24"/>
      <c r="J17" s="24"/>
      <c r="K17" s="24"/>
      <c r="L17" s="24"/>
      <c r="M17" s="24"/>
    </row>
    <row r="18" spans="1:14" x14ac:dyDescent="0.25">
      <c r="F18" s="29"/>
      <c r="G18" s="29"/>
      <c r="H18" s="24"/>
      <c r="I18" s="24"/>
      <c r="J18" s="24"/>
      <c r="K18" s="24"/>
      <c r="L18" s="24"/>
      <c r="M18" s="24"/>
      <c r="N18" s="24" t="s">
        <v>9</v>
      </c>
    </row>
    <row r="19" spans="1:14" x14ac:dyDescent="0.25">
      <c r="F19" s="29" t="s">
        <v>34</v>
      </c>
      <c r="G19" s="29" t="s">
        <v>35</v>
      </c>
      <c r="H19" s="24" t="s">
        <v>36</v>
      </c>
      <c r="I19" s="24" t="s">
        <v>37</v>
      </c>
      <c r="J19" s="24" t="s">
        <v>39</v>
      </c>
      <c r="K19" s="24" t="s">
        <v>55</v>
      </c>
      <c r="L19" s="24" t="s">
        <v>56</v>
      </c>
      <c r="M19" s="24"/>
      <c r="N19" t="s">
        <v>40</v>
      </c>
    </row>
    <row r="20" spans="1:14" x14ac:dyDescent="0.25">
      <c r="A20" t="s">
        <v>6</v>
      </c>
      <c r="F20" s="24">
        <f>SUM(F13:F17)</f>
        <v>40000</v>
      </c>
      <c r="G20" s="24">
        <f>SUM(G13:G17)</f>
        <v>20000</v>
      </c>
      <c r="H20" s="39">
        <f>SUM(H3:H8)</f>
        <v>400000</v>
      </c>
      <c r="I20" s="39">
        <f>+I4</f>
        <v>100000</v>
      </c>
      <c r="J20" s="39">
        <f>H20+L9</f>
        <v>400000</v>
      </c>
      <c r="K20" s="24">
        <v>0</v>
      </c>
      <c r="L20" s="24">
        <f>L9</f>
        <v>0</v>
      </c>
      <c r="M20" s="26"/>
      <c r="N20" s="24">
        <f>J20-F20+G20</f>
        <v>380000</v>
      </c>
    </row>
    <row r="23" spans="1:14" x14ac:dyDescent="0.25">
      <c r="A23" t="s">
        <v>69</v>
      </c>
      <c r="B23" t="s">
        <v>83</v>
      </c>
    </row>
    <row r="24" spans="1:14" x14ac:dyDescent="0.25">
      <c r="A24" t="s">
        <v>70</v>
      </c>
      <c r="B24" t="s">
        <v>71</v>
      </c>
    </row>
    <row r="26" spans="1:14" x14ac:dyDescent="0.25">
      <c r="A26" t="s">
        <v>72</v>
      </c>
      <c r="B26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Normal="100" workbookViewId="0">
      <selection activeCell="A11" sqref="A11"/>
    </sheetView>
  </sheetViews>
  <sheetFormatPr baseColWidth="10" defaultColWidth="11" defaultRowHeight="15.75" x14ac:dyDescent="0.25"/>
  <cols>
    <col min="1" max="1" width="17.625" bestFit="1" customWidth="1"/>
    <col min="2" max="2" width="7" bestFit="1" customWidth="1"/>
    <col min="3" max="3" width="7" customWidth="1"/>
    <col min="4" max="4" width="13.125" bestFit="1" customWidth="1"/>
    <col min="5" max="5" width="11.75" bestFit="1" customWidth="1"/>
    <col min="6" max="6" width="12.125" bestFit="1" customWidth="1"/>
    <col min="7" max="7" width="14.375" bestFit="1" customWidth="1"/>
    <col min="8" max="8" width="19" bestFit="1" customWidth="1"/>
    <col min="9" max="9" width="15.75" bestFit="1" customWidth="1"/>
    <col min="10" max="10" width="15.375" bestFit="1" customWidth="1"/>
    <col min="12" max="12" width="14.375" bestFit="1" customWidth="1"/>
    <col min="13" max="13" width="11.375" bestFit="1" customWidth="1"/>
    <col min="14" max="14" width="14.375" bestFit="1" customWidth="1"/>
    <col min="16" max="16" width="11.75" bestFit="1" customWidth="1"/>
  </cols>
  <sheetData>
    <row r="1" spans="1:16" ht="16.5" thickBot="1" x14ac:dyDescent="0.3">
      <c r="C1" t="s">
        <v>29</v>
      </c>
      <c r="D1" t="s">
        <v>28</v>
      </c>
      <c r="F1" s="33" t="s">
        <v>19</v>
      </c>
      <c r="G1" s="32" t="s">
        <v>19</v>
      </c>
      <c r="H1" t="s">
        <v>20</v>
      </c>
      <c r="I1" t="s">
        <v>30</v>
      </c>
      <c r="J1" t="s">
        <v>33</v>
      </c>
      <c r="K1" t="s">
        <v>21</v>
      </c>
      <c r="L1" t="s">
        <v>22</v>
      </c>
      <c r="M1" s="34" t="s">
        <v>99</v>
      </c>
      <c r="N1" s="34"/>
      <c r="O1" s="34"/>
      <c r="P1" s="34"/>
    </row>
    <row r="2" spans="1:16" x14ac:dyDescent="0.25">
      <c r="A2" s="7"/>
      <c r="B2" s="11" t="s">
        <v>89</v>
      </c>
      <c r="C2" s="11" t="s">
        <v>26</v>
      </c>
      <c r="D2" s="11" t="s">
        <v>27</v>
      </c>
      <c r="E2" s="11" t="s">
        <v>1</v>
      </c>
      <c r="F2" s="12" t="s">
        <v>2</v>
      </c>
      <c r="G2" s="13" t="s">
        <v>3</v>
      </c>
      <c r="H2" s="11" t="s">
        <v>4</v>
      </c>
      <c r="I2" s="1" t="s">
        <v>31</v>
      </c>
      <c r="J2" s="1" t="s">
        <v>32</v>
      </c>
      <c r="K2" s="1" t="s">
        <v>24</v>
      </c>
      <c r="L2" s="11" t="s">
        <v>25</v>
      </c>
      <c r="M2" s="46" t="s">
        <v>74</v>
      </c>
      <c r="N2" s="34"/>
      <c r="O2" s="34"/>
      <c r="P2" s="34"/>
    </row>
    <row r="3" spans="1:16" x14ac:dyDescent="0.25">
      <c r="A3" s="8" t="s">
        <v>11</v>
      </c>
      <c r="B3" s="2" t="s">
        <v>7</v>
      </c>
      <c r="C3" s="2">
        <v>1</v>
      </c>
      <c r="D3" s="16">
        <v>300000</v>
      </c>
      <c r="E3" s="16">
        <f>C3*D3</f>
        <v>300000</v>
      </c>
      <c r="F3" s="16">
        <v>50000</v>
      </c>
      <c r="G3" s="16"/>
      <c r="H3" s="16">
        <f>IF(B3="false",E3-F3+G3,0)</f>
        <v>250000</v>
      </c>
      <c r="I3" s="19">
        <f>IF(B3="false",H3,E3-F3+G3)</f>
        <v>250000</v>
      </c>
      <c r="J3" s="19" t="s">
        <v>5</v>
      </c>
      <c r="K3" s="14">
        <v>0.19</v>
      </c>
      <c r="L3" s="21">
        <f>K3*I3</f>
        <v>47500</v>
      </c>
      <c r="M3" s="47">
        <v>900125124</v>
      </c>
      <c r="N3" s="34"/>
      <c r="O3" s="41"/>
      <c r="P3" s="42"/>
    </row>
    <row r="4" spans="1:16" x14ac:dyDescent="0.25">
      <c r="A4" s="8" t="s">
        <v>12</v>
      </c>
      <c r="B4" s="2" t="s">
        <v>8</v>
      </c>
      <c r="C4" s="2">
        <v>1</v>
      </c>
      <c r="D4" s="16">
        <v>100000</v>
      </c>
      <c r="E4" s="16">
        <f t="shared" ref="E4:E8" si="0">C4*D4</f>
        <v>100000</v>
      </c>
      <c r="F4" s="16"/>
      <c r="G4" s="16"/>
      <c r="H4" s="16">
        <f t="shared" ref="H4:H8" si="1">IF(B4="false",E4-F4+G4,0)</f>
        <v>0</v>
      </c>
      <c r="I4" s="19">
        <f t="shared" ref="I4:I7" si="2">IF(B4="false",H4,E4-F4+G4)</f>
        <v>100000</v>
      </c>
      <c r="J4" s="19" t="s">
        <v>5</v>
      </c>
      <c r="K4" s="14">
        <v>0.19</v>
      </c>
      <c r="L4" s="21">
        <f>K4*SUM(E4:G4)</f>
        <v>19000</v>
      </c>
      <c r="M4" t="s">
        <v>100</v>
      </c>
      <c r="N4" s="34"/>
      <c r="O4" s="41"/>
      <c r="P4" s="42"/>
    </row>
    <row r="5" spans="1:16" x14ac:dyDescent="0.25">
      <c r="A5" s="8" t="s">
        <v>13</v>
      </c>
      <c r="B5" s="2" t="s">
        <v>7</v>
      </c>
      <c r="C5" s="2">
        <v>1</v>
      </c>
      <c r="D5" s="16">
        <v>1400000</v>
      </c>
      <c r="E5" s="16">
        <f t="shared" si="0"/>
        <v>1400000</v>
      </c>
      <c r="F5" s="16"/>
      <c r="G5" s="16">
        <v>10000</v>
      </c>
      <c r="H5" s="16">
        <f t="shared" si="1"/>
        <v>1410000</v>
      </c>
      <c r="I5" s="19">
        <f t="shared" si="2"/>
        <v>1410000</v>
      </c>
      <c r="J5" s="19" t="s">
        <v>5</v>
      </c>
      <c r="K5" s="14">
        <v>0.19</v>
      </c>
      <c r="L5" s="21">
        <f>K5*SUM(E5:G5)</f>
        <v>267900</v>
      </c>
      <c r="N5" s="34"/>
      <c r="O5" s="41"/>
      <c r="P5" s="42"/>
    </row>
    <row r="6" spans="1:16" x14ac:dyDescent="0.25">
      <c r="A6" s="8" t="s">
        <v>78</v>
      </c>
      <c r="B6" s="2" t="s">
        <v>7</v>
      </c>
      <c r="C6" s="2">
        <v>1</v>
      </c>
      <c r="D6" s="16">
        <v>20000</v>
      </c>
      <c r="E6" s="16">
        <f t="shared" si="0"/>
        <v>20000</v>
      </c>
      <c r="F6" s="16">
        <v>0</v>
      </c>
      <c r="G6" s="16">
        <v>0</v>
      </c>
      <c r="H6" s="16">
        <f t="shared" si="1"/>
        <v>20000</v>
      </c>
      <c r="I6" s="19"/>
      <c r="J6" s="19"/>
      <c r="K6" s="14"/>
      <c r="L6" s="21"/>
      <c r="M6" s="40"/>
      <c r="N6" s="34"/>
      <c r="O6" s="41"/>
      <c r="P6" s="42"/>
    </row>
    <row r="7" spans="1:16" x14ac:dyDescent="0.25">
      <c r="A7" s="8" t="s">
        <v>10</v>
      </c>
      <c r="B7" s="2" t="s">
        <v>7</v>
      </c>
      <c r="C7" s="2">
        <v>1</v>
      </c>
      <c r="D7" s="16">
        <v>40000</v>
      </c>
      <c r="E7" s="16">
        <f t="shared" si="0"/>
        <v>40000</v>
      </c>
      <c r="F7" s="16"/>
      <c r="G7" s="16"/>
      <c r="H7" s="16">
        <f t="shared" si="1"/>
        <v>40000</v>
      </c>
      <c r="I7" s="19">
        <f t="shared" si="2"/>
        <v>40000</v>
      </c>
      <c r="J7" s="19" t="s">
        <v>5</v>
      </c>
      <c r="K7" s="14">
        <v>0.19</v>
      </c>
      <c r="L7" s="21">
        <f>K7*SUM(E7:G7)</f>
        <v>7600</v>
      </c>
      <c r="M7" s="40"/>
      <c r="N7" s="34"/>
      <c r="O7" s="41"/>
      <c r="P7" s="42"/>
    </row>
    <row r="8" spans="1:16" x14ac:dyDescent="0.25">
      <c r="A8" s="4" t="s">
        <v>23</v>
      </c>
      <c r="B8" s="2" t="s">
        <v>8</v>
      </c>
      <c r="C8" s="9">
        <v>2</v>
      </c>
      <c r="D8" s="17">
        <v>100</v>
      </c>
      <c r="E8" s="16">
        <f t="shared" si="0"/>
        <v>200</v>
      </c>
      <c r="F8" s="17"/>
      <c r="G8" s="17"/>
      <c r="H8" s="16">
        <f t="shared" si="1"/>
        <v>0</v>
      </c>
      <c r="I8" s="15">
        <f>C8</f>
        <v>2</v>
      </c>
      <c r="J8" s="28" t="s">
        <v>23</v>
      </c>
      <c r="K8" s="20">
        <v>30</v>
      </c>
      <c r="L8" s="22">
        <v>60</v>
      </c>
      <c r="M8" s="43"/>
      <c r="N8" s="34"/>
      <c r="O8" s="34"/>
      <c r="P8" s="34"/>
    </row>
    <row r="9" spans="1:16" ht="16.5" thickBot="1" x14ac:dyDescent="0.3">
      <c r="A9" s="5" t="s">
        <v>0</v>
      </c>
      <c r="B9" s="6"/>
      <c r="C9" s="6"/>
      <c r="D9" s="18"/>
      <c r="E9" s="18">
        <f>SUM(E3:E8)</f>
        <v>1860200</v>
      </c>
      <c r="F9" s="18">
        <f t="shared" ref="F9:H9" si="3">SUM(F3:F7)</f>
        <v>50000</v>
      </c>
      <c r="G9" s="18">
        <f t="shared" si="3"/>
        <v>10000</v>
      </c>
      <c r="H9" s="18">
        <f t="shared" si="3"/>
        <v>1720000</v>
      </c>
      <c r="I9" s="10"/>
      <c r="J9" s="10"/>
      <c r="K9" s="10"/>
      <c r="L9" s="23">
        <f>SUM(L3:L8)</f>
        <v>342060</v>
      </c>
      <c r="M9" s="34"/>
      <c r="N9" s="34"/>
      <c r="O9" s="34"/>
      <c r="P9" s="44"/>
    </row>
    <row r="10" spans="1:16" x14ac:dyDescent="0.25">
      <c r="A10" s="30"/>
      <c r="B10" s="30"/>
      <c r="C10" s="30"/>
      <c r="D10" s="31"/>
      <c r="E10" s="31"/>
      <c r="F10" s="31"/>
      <c r="G10" s="31"/>
      <c r="H10" s="31"/>
      <c r="I10" s="30"/>
      <c r="J10" s="30"/>
      <c r="K10" s="30"/>
      <c r="L10" s="29"/>
      <c r="M10" s="34"/>
      <c r="N10" s="34"/>
      <c r="O10" s="34"/>
      <c r="P10" s="44"/>
    </row>
    <row r="11" spans="1:16" x14ac:dyDescent="0.25">
      <c r="A11" s="30"/>
      <c r="B11" s="30"/>
      <c r="C11" s="30"/>
      <c r="D11" s="31"/>
      <c r="E11" s="31"/>
      <c r="F11" s="31"/>
      <c r="G11" s="31"/>
      <c r="H11" s="31"/>
      <c r="I11" s="30"/>
      <c r="J11" s="30"/>
      <c r="K11" s="30"/>
      <c r="L11" s="29"/>
      <c r="M11" s="30"/>
      <c r="P11" s="29"/>
    </row>
    <row r="12" spans="1:16" x14ac:dyDescent="0.25">
      <c r="F12" s="33" t="s">
        <v>19</v>
      </c>
      <c r="G12" s="32" t="s">
        <v>19</v>
      </c>
    </row>
    <row r="13" spans="1:16" x14ac:dyDescent="0.25">
      <c r="A13" t="s">
        <v>14</v>
      </c>
      <c r="F13" s="24">
        <v>10000</v>
      </c>
      <c r="G13" s="24"/>
      <c r="H13" s="24"/>
      <c r="I13" s="24"/>
      <c r="J13" s="24"/>
      <c r="K13" s="24"/>
      <c r="L13" s="24"/>
      <c r="M13" s="24"/>
      <c r="N13" s="24"/>
    </row>
    <row r="14" spans="1:16" x14ac:dyDescent="0.25">
      <c r="A14" t="s">
        <v>15</v>
      </c>
      <c r="F14" s="24"/>
      <c r="G14" s="24">
        <v>15000</v>
      </c>
      <c r="H14" s="24"/>
      <c r="I14" s="24"/>
      <c r="J14" s="24"/>
      <c r="K14" s="24"/>
      <c r="L14" s="24"/>
      <c r="M14" s="24"/>
      <c r="N14" s="24"/>
    </row>
    <row r="15" spans="1:16" x14ac:dyDescent="0.25">
      <c r="A15" t="s">
        <v>18</v>
      </c>
      <c r="F15" s="24">
        <f>L4</f>
        <v>19000</v>
      </c>
      <c r="G15" s="24"/>
      <c r="H15" s="24"/>
      <c r="I15" s="24"/>
      <c r="J15" s="24"/>
      <c r="K15" s="24"/>
      <c r="L15" s="24"/>
      <c r="M15" s="24"/>
      <c r="N15" s="24"/>
    </row>
    <row r="16" spans="1:16" x14ac:dyDescent="0.25">
      <c r="A16" t="s">
        <v>16</v>
      </c>
      <c r="F16" s="24">
        <v>30000</v>
      </c>
      <c r="G16" s="24"/>
      <c r="H16" s="24"/>
      <c r="I16" s="24"/>
      <c r="J16" s="24"/>
      <c r="K16" s="24"/>
      <c r="L16" s="24"/>
      <c r="M16" s="24"/>
      <c r="N16" s="24"/>
    </row>
    <row r="17" spans="1:14" x14ac:dyDescent="0.25">
      <c r="A17" t="s">
        <v>17</v>
      </c>
      <c r="F17" s="25"/>
      <c r="G17" s="25">
        <v>5000</v>
      </c>
      <c r="H17" s="24"/>
      <c r="I17" s="24"/>
      <c r="J17" s="24"/>
      <c r="K17" s="24"/>
      <c r="L17" s="24"/>
      <c r="M17" s="24"/>
    </row>
    <row r="18" spans="1:14" x14ac:dyDescent="0.25">
      <c r="F18" s="29"/>
      <c r="G18" s="29"/>
      <c r="H18" s="24"/>
      <c r="I18" s="24"/>
      <c r="J18" s="24"/>
      <c r="K18" s="24"/>
      <c r="L18" s="24"/>
      <c r="M18" s="24"/>
      <c r="N18" s="24" t="s">
        <v>9</v>
      </c>
    </row>
    <row r="19" spans="1:14" x14ac:dyDescent="0.25">
      <c r="F19" s="29" t="s">
        <v>34</v>
      </c>
      <c r="G19" s="29" t="s">
        <v>35</v>
      </c>
      <c r="H19" s="24" t="s">
        <v>36</v>
      </c>
      <c r="I19" s="24" t="s">
        <v>37</v>
      </c>
      <c r="J19" s="24" t="s">
        <v>39</v>
      </c>
      <c r="K19" s="24" t="s">
        <v>55</v>
      </c>
      <c r="L19" s="24" t="s">
        <v>56</v>
      </c>
      <c r="M19" s="24"/>
      <c r="N19" t="s">
        <v>40</v>
      </c>
    </row>
    <row r="20" spans="1:14" x14ac:dyDescent="0.25">
      <c r="A20" t="s">
        <v>6</v>
      </c>
      <c r="F20" s="24">
        <f>SUM(F13:F17)</f>
        <v>59000</v>
      </c>
      <c r="G20" s="24">
        <f>SUM(G13:G17)</f>
        <v>20000</v>
      </c>
      <c r="H20" s="39">
        <f>SUM(H3:H8)</f>
        <v>1720000</v>
      </c>
      <c r="I20" s="39">
        <f>SUM(H3:H7)-H6</f>
        <v>1700000</v>
      </c>
      <c r="J20" s="39">
        <f>H20+L9</f>
        <v>2062060</v>
      </c>
      <c r="K20" s="24">
        <v>0</v>
      </c>
      <c r="L20" s="24">
        <f>L9</f>
        <v>342060</v>
      </c>
      <c r="M20" s="26"/>
      <c r="N20" s="24">
        <f>J20-F20+G20</f>
        <v>2023060</v>
      </c>
    </row>
    <row r="23" spans="1:14" x14ac:dyDescent="0.25">
      <c r="A23" t="s">
        <v>75</v>
      </c>
      <c r="B23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1" sqref="A21"/>
    </sheetView>
  </sheetViews>
  <sheetFormatPr baseColWidth="10" defaultRowHeight="15.75" x14ac:dyDescent="0.25"/>
  <cols>
    <col min="1" max="1" width="23.625" customWidth="1"/>
    <col min="4" max="4" width="12.875" bestFit="1" customWidth="1"/>
    <col min="5" max="5" width="11.625" bestFit="1" customWidth="1"/>
    <col min="6" max="7" width="15" bestFit="1" customWidth="1"/>
    <col min="8" max="8" width="12.625" bestFit="1" customWidth="1"/>
    <col min="9" max="9" width="11.625" bestFit="1" customWidth="1"/>
    <col min="10" max="10" width="12.625" bestFit="1" customWidth="1"/>
    <col min="11" max="12" width="11.625" bestFit="1" customWidth="1"/>
    <col min="14" max="14" width="12.625" bestFit="1" customWidth="1"/>
  </cols>
  <sheetData>
    <row r="1" spans="1:14" ht="16.5" thickBot="1" x14ac:dyDescent="0.3">
      <c r="B1" t="s">
        <v>29</v>
      </c>
      <c r="C1" t="s">
        <v>28</v>
      </c>
      <c r="E1" s="33" t="s">
        <v>19</v>
      </c>
      <c r="F1" s="32" t="s">
        <v>19</v>
      </c>
      <c r="G1" t="s">
        <v>20</v>
      </c>
      <c r="H1" t="s">
        <v>30</v>
      </c>
      <c r="I1" t="s">
        <v>33</v>
      </c>
      <c r="J1" t="s">
        <v>21</v>
      </c>
      <c r="K1" t="s">
        <v>22</v>
      </c>
    </row>
    <row r="2" spans="1:14" x14ac:dyDescent="0.25">
      <c r="A2" s="7"/>
      <c r="B2" s="11" t="s">
        <v>26</v>
      </c>
      <c r="C2" s="11" t="s">
        <v>27</v>
      </c>
      <c r="D2" s="11" t="s">
        <v>1</v>
      </c>
      <c r="E2" s="12" t="s">
        <v>2</v>
      </c>
      <c r="F2" s="13" t="s">
        <v>3</v>
      </c>
      <c r="G2" s="11" t="s">
        <v>4</v>
      </c>
      <c r="H2" s="1" t="s">
        <v>31</v>
      </c>
      <c r="I2" s="1" t="s">
        <v>32</v>
      </c>
      <c r="J2" s="1" t="s">
        <v>24</v>
      </c>
      <c r="K2" s="11" t="s">
        <v>25</v>
      </c>
    </row>
    <row r="3" spans="1:14" x14ac:dyDescent="0.25">
      <c r="A3" s="8" t="s">
        <v>80</v>
      </c>
      <c r="B3" s="2">
        <v>1</v>
      </c>
      <c r="C3" s="16">
        <v>600000</v>
      </c>
      <c r="D3" s="16">
        <f>B3*C3</f>
        <v>600000</v>
      </c>
      <c r="E3" s="16"/>
      <c r="F3" s="16"/>
      <c r="G3" s="16">
        <f>D3-E3+F3</f>
        <v>600000</v>
      </c>
      <c r="H3" s="19"/>
      <c r="I3" s="19"/>
      <c r="J3" s="14"/>
      <c r="K3" s="21"/>
    </row>
    <row r="4" spans="1:14" x14ac:dyDescent="0.25">
      <c r="A4" s="8" t="s">
        <v>81</v>
      </c>
      <c r="B4" s="2">
        <v>1</v>
      </c>
      <c r="C4" s="16">
        <v>60000</v>
      </c>
      <c r="D4" s="16">
        <f t="shared" ref="D4:D5" si="0">B4*C4</f>
        <v>60000</v>
      </c>
      <c r="E4" s="16"/>
      <c r="F4" s="16"/>
      <c r="G4" s="16">
        <f t="shared" ref="G4:G5" si="1">D4-E4+F4</f>
        <v>60000</v>
      </c>
      <c r="H4" s="19"/>
      <c r="I4" s="19"/>
      <c r="J4" s="14"/>
      <c r="K4" s="21"/>
    </row>
    <row r="5" spans="1:14" x14ac:dyDescent="0.25">
      <c r="A5" s="8" t="s">
        <v>79</v>
      </c>
      <c r="B5" s="2">
        <v>1</v>
      </c>
      <c r="C5" s="16">
        <v>60000</v>
      </c>
      <c r="D5" s="16">
        <f t="shared" si="0"/>
        <v>60000</v>
      </c>
      <c r="E5" s="16"/>
      <c r="F5" s="16"/>
      <c r="G5" s="16">
        <f t="shared" si="1"/>
        <v>60000</v>
      </c>
      <c r="H5" s="63">
        <f>D5-E5+F5</f>
        <v>60000</v>
      </c>
      <c r="I5" s="19" t="s">
        <v>5</v>
      </c>
      <c r="J5" s="14">
        <v>0.19</v>
      </c>
      <c r="K5" s="21">
        <f>J5*SUM(D5:F5)</f>
        <v>11400</v>
      </c>
    </row>
    <row r="6" spans="1:14" ht="16.5" thickBot="1" x14ac:dyDescent="0.3">
      <c r="A6" s="5" t="s">
        <v>0</v>
      </c>
      <c r="B6" s="6"/>
      <c r="C6" s="18"/>
      <c r="D6" s="18">
        <f>SUM(D3:D5)</f>
        <v>720000</v>
      </c>
      <c r="E6" s="18">
        <f>SUM(E3:E5)</f>
        <v>0</v>
      </c>
      <c r="F6" s="18">
        <f>SUM(F3:F5)</f>
        <v>0</v>
      </c>
      <c r="G6" s="18">
        <f>SUM(G3:G5)</f>
        <v>720000</v>
      </c>
      <c r="H6" s="10"/>
      <c r="I6" s="10"/>
      <c r="J6" s="10"/>
      <c r="K6" s="23">
        <f>SUM(K3:K5)</f>
        <v>11400</v>
      </c>
    </row>
    <row r="9" spans="1:14" x14ac:dyDescent="0.25">
      <c r="F9" s="33" t="s">
        <v>19</v>
      </c>
      <c r="G9" s="32" t="s">
        <v>19</v>
      </c>
    </row>
    <row r="10" spans="1:14" x14ac:dyDescent="0.25">
      <c r="A10" t="s">
        <v>14</v>
      </c>
      <c r="F10" s="24">
        <v>10000</v>
      </c>
      <c r="G10" s="24"/>
      <c r="H10" s="24"/>
      <c r="I10" s="24"/>
      <c r="J10" s="24"/>
      <c r="K10" s="24"/>
      <c r="L10" s="24"/>
      <c r="M10" s="24"/>
      <c r="N10" s="24"/>
    </row>
    <row r="11" spans="1:14" x14ac:dyDescent="0.25">
      <c r="A11" t="s">
        <v>15</v>
      </c>
      <c r="F11" s="24"/>
      <c r="G11" s="24">
        <v>15000</v>
      </c>
      <c r="H11" s="24"/>
      <c r="I11" s="24"/>
      <c r="J11" s="24"/>
      <c r="K11" s="24"/>
      <c r="L11" s="24"/>
      <c r="M11" s="24"/>
      <c r="N11" s="24"/>
    </row>
    <row r="12" spans="1:14" x14ac:dyDescent="0.25">
      <c r="A12" t="s">
        <v>18</v>
      </c>
      <c r="F12" s="24" t="str">
        <f>K1</f>
        <v>TaxAmount</v>
      </c>
      <c r="G12" s="24"/>
      <c r="H12" s="24"/>
      <c r="I12" s="24"/>
      <c r="J12" s="24"/>
      <c r="K12" s="24"/>
      <c r="L12" s="24"/>
      <c r="M12" s="24"/>
      <c r="N12" s="24"/>
    </row>
    <row r="13" spans="1:14" x14ac:dyDescent="0.25">
      <c r="A13" t="s">
        <v>16</v>
      </c>
      <c r="F13" s="24">
        <v>30000</v>
      </c>
      <c r="G13" s="24"/>
      <c r="H13" s="24"/>
      <c r="I13" s="24"/>
      <c r="J13" s="24"/>
      <c r="K13" s="24"/>
      <c r="L13" s="24"/>
      <c r="M13" s="24"/>
      <c r="N13" s="24"/>
    </row>
    <row r="14" spans="1:14" x14ac:dyDescent="0.25">
      <c r="A14" t="s">
        <v>17</v>
      </c>
      <c r="F14" s="25"/>
      <c r="G14" s="25">
        <v>5000</v>
      </c>
      <c r="H14" s="24"/>
      <c r="I14" s="24"/>
      <c r="J14" s="24"/>
      <c r="K14" s="24"/>
      <c r="L14" s="24"/>
      <c r="M14" s="24"/>
    </row>
    <row r="15" spans="1:14" x14ac:dyDescent="0.25">
      <c r="F15" s="29"/>
      <c r="G15" s="29"/>
      <c r="H15" s="24"/>
      <c r="I15" s="24"/>
      <c r="J15" s="24"/>
      <c r="K15" s="24"/>
      <c r="L15" s="24"/>
      <c r="M15" s="24"/>
      <c r="N15" s="24" t="s">
        <v>9</v>
      </c>
    </row>
    <row r="16" spans="1:14" x14ac:dyDescent="0.25">
      <c r="F16" s="29" t="s">
        <v>34</v>
      </c>
      <c r="G16" s="29" t="s">
        <v>35</v>
      </c>
      <c r="H16" s="24" t="s">
        <v>36</v>
      </c>
      <c r="I16" s="24" t="s">
        <v>37</v>
      </c>
      <c r="J16" s="24" t="s">
        <v>39</v>
      </c>
      <c r="K16" s="24" t="s">
        <v>55</v>
      </c>
      <c r="L16" s="24" t="s">
        <v>56</v>
      </c>
      <c r="M16" s="24"/>
      <c r="N16" t="s">
        <v>40</v>
      </c>
    </row>
    <row r="17" spans="1:14" x14ac:dyDescent="0.25">
      <c r="A17" t="s">
        <v>6</v>
      </c>
      <c r="F17" s="24">
        <f>SUM(F10:F14)</f>
        <v>40000</v>
      </c>
      <c r="G17" s="24">
        <f>SUM(G10:G14)</f>
        <v>20000</v>
      </c>
      <c r="H17" s="39">
        <f>+G6</f>
        <v>720000</v>
      </c>
      <c r="I17" s="39">
        <f>+SUM(H3:H5)</f>
        <v>60000</v>
      </c>
      <c r="J17" s="39">
        <f>+H17+K6</f>
        <v>731400</v>
      </c>
      <c r="K17" s="24">
        <v>0</v>
      </c>
      <c r="L17" s="24">
        <f>K6</f>
        <v>11400</v>
      </c>
      <c r="M17" s="26"/>
      <c r="N17" s="24">
        <f>J17-F17+G17</f>
        <v>711400</v>
      </c>
    </row>
    <row r="20" spans="1:14" x14ac:dyDescent="0.25">
      <c r="A20" t="s">
        <v>80</v>
      </c>
      <c r="B20" t="s">
        <v>94</v>
      </c>
    </row>
    <row r="21" spans="1:14" x14ac:dyDescent="0.25">
      <c r="A21" t="s">
        <v>79</v>
      </c>
      <c r="B21" t="s">
        <v>82</v>
      </c>
    </row>
    <row r="24" spans="1:14" x14ac:dyDescent="0.25">
      <c r="A24" t="s">
        <v>95</v>
      </c>
    </row>
    <row r="26" spans="1:14" ht="16.5" thickBot="1" x14ac:dyDescent="0.3">
      <c r="B26" t="s">
        <v>29</v>
      </c>
      <c r="C26" t="s">
        <v>28</v>
      </c>
      <c r="E26" s="33" t="s">
        <v>19</v>
      </c>
      <c r="F26" s="32" t="s">
        <v>19</v>
      </c>
      <c r="G26" t="s">
        <v>20</v>
      </c>
      <c r="H26" t="s">
        <v>30</v>
      </c>
      <c r="I26" t="s">
        <v>33</v>
      </c>
      <c r="J26" t="s">
        <v>21</v>
      </c>
      <c r="K26" t="s">
        <v>22</v>
      </c>
    </row>
    <row r="27" spans="1:14" x14ac:dyDescent="0.25">
      <c r="A27" s="7"/>
      <c r="B27" s="11" t="s">
        <v>26</v>
      </c>
      <c r="C27" s="11" t="s">
        <v>27</v>
      </c>
      <c r="D27" s="11" t="s">
        <v>1</v>
      </c>
      <c r="E27" s="12" t="s">
        <v>2</v>
      </c>
      <c r="F27" s="13" t="s">
        <v>3</v>
      </c>
      <c r="G27" s="11" t="s">
        <v>4</v>
      </c>
      <c r="H27" s="1" t="s">
        <v>31</v>
      </c>
      <c r="I27" s="1" t="s">
        <v>32</v>
      </c>
      <c r="J27" s="1" t="s">
        <v>24</v>
      </c>
      <c r="K27" s="11" t="s">
        <v>25</v>
      </c>
    </row>
    <row r="28" spans="1:14" x14ac:dyDescent="0.25">
      <c r="A28" s="8" t="s">
        <v>97</v>
      </c>
      <c r="B28" s="2">
        <v>1</v>
      </c>
      <c r="C28" s="16">
        <v>60000</v>
      </c>
      <c r="D28" s="16">
        <f t="shared" ref="D28:D29" si="2">B28*C28</f>
        <v>60000</v>
      </c>
      <c r="E28" s="16"/>
      <c r="F28" s="16"/>
      <c r="G28" s="16">
        <f t="shared" ref="G28:G29" si="3">D28-E28+F28</f>
        <v>60000</v>
      </c>
      <c r="H28" s="19"/>
      <c r="I28" s="19"/>
      <c r="J28" s="14"/>
      <c r="K28" s="21"/>
    </row>
    <row r="29" spans="1:14" x14ac:dyDescent="0.25">
      <c r="A29" s="8" t="s">
        <v>96</v>
      </c>
      <c r="B29" s="2">
        <v>1</v>
      </c>
      <c r="C29" s="16">
        <v>60000</v>
      </c>
      <c r="D29" s="16">
        <f t="shared" si="2"/>
        <v>60000</v>
      </c>
      <c r="E29" s="16"/>
      <c r="F29" s="16"/>
      <c r="G29" s="16">
        <f t="shared" si="3"/>
        <v>60000</v>
      </c>
      <c r="H29" s="63">
        <f>D29-E29+F29</f>
        <v>60000</v>
      </c>
      <c r="I29" s="19" t="s">
        <v>5</v>
      </c>
      <c r="J29" s="14">
        <v>0.19</v>
      </c>
      <c r="K29" s="21">
        <f>J29*SUM(D29:F29)</f>
        <v>11400</v>
      </c>
    </row>
    <row r="30" spans="1:14" ht="16.5" thickBot="1" x14ac:dyDescent="0.3">
      <c r="A30" s="5" t="s">
        <v>0</v>
      </c>
      <c r="B30" s="6"/>
      <c r="C30" s="18"/>
      <c r="D30" s="18">
        <f>SUM(D28:D29)</f>
        <v>120000</v>
      </c>
      <c r="E30" s="18">
        <f>SUM(E28:E29)</f>
        <v>0</v>
      </c>
      <c r="F30" s="18">
        <f>SUM(F28:F29)</f>
        <v>0</v>
      </c>
      <c r="G30" s="18">
        <f>SUM(G28:G29)</f>
        <v>120000</v>
      </c>
      <c r="H30" s="10"/>
      <c r="I30" s="10"/>
      <c r="J30" s="10"/>
      <c r="K30" s="23">
        <f>SUM(K28:K29)</f>
        <v>11400</v>
      </c>
    </row>
    <row r="32" spans="1:14" x14ac:dyDescent="0.25">
      <c r="A32" s="8" t="s">
        <v>98</v>
      </c>
      <c r="B3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selection activeCell="I1" sqref="I1"/>
    </sheetView>
  </sheetViews>
  <sheetFormatPr baseColWidth="10" defaultColWidth="11" defaultRowHeight="15.75" x14ac:dyDescent="0.25"/>
  <cols>
    <col min="1" max="1" width="17.625" bestFit="1" customWidth="1"/>
    <col min="2" max="2" width="7" bestFit="1" customWidth="1"/>
    <col min="3" max="3" width="8.375" customWidth="1"/>
    <col min="4" max="4" width="13.125" bestFit="1" customWidth="1"/>
    <col min="5" max="5" width="11.75" style="51" bestFit="1" customWidth="1"/>
    <col min="6" max="6" width="12.125" bestFit="1" customWidth="1"/>
    <col min="7" max="7" width="14.375" bestFit="1" customWidth="1"/>
    <col min="8" max="8" width="19" bestFit="1" customWidth="1"/>
    <col min="9" max="9" width="15.75" bestFit="1" customWidth="1"/>
    <col min="10" max="10" width="15.375" bestFit="1" customWidth="1"/>
    <col min="12" max="12" width="14.375" bestFit="1" customWidth="1"/>
    <col min="13" max="13" width="12.875" customWidth="1"/>
    <col min="14" max="14" width="14.375" bestFit="1" customWidth="1"/>
    <col min="16" max="16" width="11.75" bestFit="1" customWidth="1"/>
  </cols>
  <sheetData>
    <row r="1" spans="1:16" s="57" customFormat="1" ht="48" thickBot="1" x14ac:dyDescent="0.3">
      <c r="C1" s="57" t="s">
        <v>29</v>
      </c>
      <c r="D1" s="57" t="s">
        <v>28</v>
      </c>
      <c r="E1" s="58"/>
      <c r="F1" s="59" t="s">
        <v>19</v>
      </c>
      <c r="G1" s="60" t="s">
        <v>19</v>
      </c>
      <c r="H1" s="57" t="s">
        <v>20</v>
      </c>
      <c r="I1" s="57" t="s">
        <v>87</v>
      </c>
      <c r="J1" s="57" t="s">
        <v>33</v>
      </c>
      <c r="K1" s="57" t="s">
        <v>88</v>
      </c>
      <c r="L1" s="57" t="s">
        <v>22</v>
      </c>
      <c r="M1" s="61"/>
      <c r="N1" s="61"/>
      <c r="O1" s="61"/>
      <c r="P1" s="61"/>
    </row>
    <row r="2" spans="1:16" x14ac:dyDescent="0.25">
      <c r="A2" s="7"/>
      <c r="B2" s="11" t="s">
        <v>89</v>
      </c>
      <c r="C2" s="11" t="s">
        <v>26</v>
      </c>
      <c r="D2" s="11" t="s">
        <v>27</v>
      </c>
      <c r="E2" s="52" t="s">
        <v>1</v>
      </c>
      <c r="F2" s="12" t="s">
        <v>2</v>
      </c>
      <c r="G2" s="13" t="s">
        <v>3</v>
      </c>
      <c r="H2" s="11" t="s">
        <v>4</v>
      </c>
      <c r="I2" s="1" t="s">
        <v>31</v>
      </c>
      <c r="J2" s="1" t="s">
        <v>32</v>
      </c>
      <c r="K2" s="1" t="s">
        <v>24</v>
      </c>
      <c r="L2" s="11" t="s">
        <v>25</v>
      </c>
      <c r="M2" s="34"/>
      <c r="N2" s="34"/>
      <c r="O2" s="34"/>
      <c r="P2" s="34"/>
    </row>
    <row r="3" spans="1:16" x14ac:dyDescent="0.25">
      <c r="A3" s="8" t="s">
        <v>11</v>
      </c>
      <c r="B3" s="2" t="s">
        <v>7</v>
      </c>
      <c r="C3" s="2">
        <v>1</v>
      </c>
      <c r="D3" s="16">
        <v>300000</v>
      </c>
      <c r="E3" s="53">
        <f>C3*D3</f>
        <v>300000</v>
      </c>
      <c r="F3" s="16">
        <v>50000</v>
      </c>
      <c r="G3" s="16"/>
      <c r="H3" s="16">
        <f>IF(B3="false",E3-F3+G3,0)</f>
        <v>250000</v>
      </c>
      <c r="I3" s="19">
        <f>IF(B3="false",H3,E3-F3+G3)</f>
        <v>250000</v>
      </c>
      <c r="J3" s="19" t="s">
        <v>5</v>
      </c>
      <c r="K3" s="14">
        <v>0.19</v>
      </c>
      <c r="L3" s="21">
        <f>K3*I3</f>
        <v>47500</v>
      </c>
      <c r="M3" s="40"/>
      <c r="N3" s="34"/>
      <c r="O3" s="41"/>
      <c r="P3" s="42"/>
    </row>
    <row r="4" spans="1:16" x14ac:dyDescent="0.25">
      <c r="A4" s="8" t="s">
        <v>12</v>
      </c>
      <c r="B4" s="2" t="s">
        <v>8</v>
      </c>
      <c r="C4" s="2">
        <v>1</v>
      </c>
      <c r="D4" s="16">
        <v>100000</v>
      </c>
      <c r="E4" s="53">
        <f t="shared" ref="E4:E8" si="0">C4*D4</f>
        <v>100000</v>
      </c>
      <c r="F4" s="16"/>
      <c r="G4" s="16"/>
      <c r="H4" s="16">
        <f t="shared" ref="H4:H8" si="1">IF(B4="false",E4-F4+G4,0)</f>
        <v>0</v>
      </c>
      <c r="I4" s="19">
        <f t="shared" ref="I4:I7" si="2">IF(B4="false",H4,E4-F4+G4)</f>
        <v>100000</v>
      </c>
      <c r="J4" s="19" t="s">
        <v>5</v>
      </c>
      <c r="K4" s="14">
        <v>0.19</v>
      </c>
      <c r="L4" s="21">
        <f>K4*SUM(E4:G4)</f>
        <v>19000</v>
      </c>
      <c r="M4" s="40" t="s">
        <v>90</v>
      </c>
      <c r="N4" s="34"/>
      <c r="O4" s="41"/>
      <c r="P4" s="42"/>
    </row>
    <row r="5" spans="1:16" x14ac:dyDescent="0.25">
      <c r="A5" s="8" t="s">
        <v>13</v>
      </c>
      <c r="B5" s="2" t="s">
        <v>7</v>
      </c>
      <c r="C5" s="2">
        <v>1</v>
      </c>
      <c r="D5" s="16">
        <v>1400000</v>
      </c>
      <c r="E5" s="53">
        <f t="shared" si="0"/>
        <v>1400000</v>
      </c>
      <c r="F5" s="16"/>
      <c r="G5" s="16">
        <v>10000</v>
      </c>
      <c r="H5" s="16">
        <f t="shared" si="1"/>
        <v>1410000</v>
      </c>
      <c r="I5" s="19">
        <f t="shared" si="2"/>
        <v>1410000</v>
      </c>
      <c r="J5" s="19" t="s">
        <v>5</v>
      </c>
      <c r="K5" s="14">
        <v>0.19</v>
      </c>
      <c r="L5" s="21">
        <f>K5*SUM(E5:G5)</f>
        <v>267900</v>
      </c>
      <c r="M5" s="40"/>
      <c r="N5" s="34"/>
      <c r="O5" s="41"/>
      <c r="P5" s="42"/>
    </row>
    <row r="6" spans="1:16" x14ac:dyDescent="0.25">
      <c r="A6" s="8" t="s">
        <v>77</v>
      </c>
      <c r="B6" s="2" t="s">
        <v>7</v>
      </c>
      <c r="C6" s="2">
        <v>1</v>
      </c>
      <c r="D6" s="16">
        <v>20000</v>
      </c>
      <c r="E6" s="53">
        <f t="shared" si="0"/>
        <v>20000</v>
      </c>
      <c r="F6" s="16">
        <v>0</v>
      </c>
      <c r="G6" s="16">
        <v>0</v>
      </c>
      <c r="H6" s="16">
        <f t="shared" si="1"/>
        <v>20000</v>
      </c>
      <c r="I6" s="19"/>
      <c r="J6" s="19"/>
      <c r="K6" s="14"/>
      <c r="L6" s="21"/>
      <c r="M6" s="40"/>
      <c r="N6" s="34"/>
      <c r="O6" s="41"/>
      <c r="P6" s="42"/>
    </row>
    <row r="7" spans="1:16" x14ac:dyDescent="0.25">
      <c r="A7" s="8" t="s">
        <v>10</v>
      </c>
      <c r="B7" s="2" t="s">
        <v>7</v>
      </c>
      <c r="C7" s="2">
        <v>1</v>
      </c>
      <c r="D7" s="16">
        <v>40000</v>
      </c>
      <c r="E7" s="53">
        <f t="shared" si="0"/>
        <v>40000</v>
      </c>
      <c r="F7" s="16"/>
      <c r="G7" s="16"/>
      <c r="H7" s="16">
        <f t="shared" si="1"/>
        <v>40000</v>
      </c>
      <c r="I7" s="19">
        <f t="shared" si="2"/>
        <v>40000</v>
      </c>
      <c r="J7" s="19" t="s">
        <v>5</v>
      </c>
      <c r="K7" s="14">
        <v>0.19</v>
      </c>
      <c r="L7" s="21">
        <f>K7*SUM(E7:G7)</f>
        <v>7600</v>
      </c>
      <c r="M7" s="40"/>
      <c r="N7" s="34"/>
      <c r="O7" s="41"/>
      <c r="P7" s="42"/>
    </row>
    <row r="8" spans="1:16" x14ac:dyDescent="0.25">
      <c r="A8" s="4" t="s">
        <v>23</v>
      </c>
      <c r="B8" s="2" t="s">
        <v>8</v>
      </c>
      <c r="C8" s="9">
        <v>2</v>
      </c>
      <c r="D8" s="17">
        <v>100</v>
      </c>
      <c r="E8" s="53">
        <f t="shared" si="0"/>
        <v>200</v>
      </c>
      <c r="F8" s="17"/>
      <c r="G8" s="17"/>
      <c r="H8" s="16">
        <f t="shared" si="1"/>
        <v>0</v>
      </c>
      <c r="I8" s="50">
        <f>C8</f>
        <v>2</v>
      </c>
      <c r="J8" s="28" t="s">
        <v>23</v>
      </c>
      <c r="K8" s="56">
        <v>30</v>
      </c>
      <c r="L8" s="22">
        <v>60</v>
      </c>
      <c r="M8" s="43"/>
      <c r="N8" s="34"/>
      <c r="O8" s="34"/>
      <c r="P8" s="34"/>
    </row>
    <row r="9" spans="1:16" ht="16.5" thickBot="1" x14ac:dyDescent="0.3">
      <c r="A9" s="5" t="s">
        <v>0</v>
      </c>
      <c r="B9" s="6"/>
      <c r="C9" s="6"/>
      <c r="D9" s="18"/>
      <c r="E9" s="54">
        <f>SUM(E3:E8)</f>
        <v>1860200</v>
      </c>
      <c r="F9" s="18">
        <f t="shared" ref="F9:H9" si="3">SUM(F3:F7)</f>
        <v>50000</v>
      </c>
      <c r="G9" s="18">
        <f t="shared" si="3"/>
        <v>10000</v>
      </c>
      <c r="H9" s="18">
        <f t="shared" si="3"/>
        <v>1720000</v>
      </c>
      <c r="I9" s="10"/>
      <c r="J9" s="10"/>
      <c r="K9" s="10"/>
      <c r="L9" s="23">
        <f>SUM(L3:L8)</f>
        <v>342060</v>
      </c>
      <c r="M9" s="34"/>
      <c r="N9" s="34"/>
      <c r="O9" s="34"/>
      <c r="P9" s="44"/>
    </row>
    <row r="10" spans="1:16" x14ac:dyDescent="0.25">
      <c r="A10" s="30"/>
      <c r="B10" s="30"/>
      <c r="C10" s="30"/>
      <c r="D10" s="31"/>
      <c r="E10" s="55"/>
      <c r="F10" s="31"/>
      <c r="G10" s="31"/>
      <c r="H10" s="31"/>
      <c r="I10" s="30"/>
      <c r="J10" s="30"/>
      <c r="K10" s="30"/>
      <c r="L10" s="29"/>
      <c r="M10" s="34"/>
      <c r="N10" s="34"/>
      <c r="O10" s="34"/>
      <c r="P10" s="44"/>
    </row>
    <row r="11" spans="1:16" x14ac:dyDescent="0.25">
      <c r="A11" s="30"/>
      <c r="B11" s="30"/>
      <c r="C11" s="30"/>
      <c r="D11" s="31"/>
      <c r="E11" s="55"/>
      <c r="F11" s="31"/>
      <c r="G11" s="31"/>
      <c r="H11" s="31"/>
      <c r="I11" s="30"/>
      <c r="J11" s="30"/>
      <c r="K11" s="30"/>
      <c r="L11" s="29"/>
      <c r="M11" s="30"/>
      <c r="P11" s="29"/>
    </row>
    <row r="12" spans="1:16" x14ac:dyDescent="0.25">
      <c r="F12" s="33" t="s">
        <v>19</v>
      </c>
      <c r="G12" s="32" t="s">
        <v>19</v>
      </c>
    </row>
    <row r="13" spans="1:16" x14ac:dyDescent="0.25">
      <c r="A13" s="48" t="s">
        <v>85</v>
      </c>
      <c r="B13" s="49" t="s">
        <v>86</v>
      </c>
      <c r="F13" s="24">
        <v>10000</v>
      </c>
      <c r="G13" s="24"/>
      <c r="H13" s="24"/>
      <c r="I13" s="24"/>
      <c r="J13" s="24"/>
      <c r="K13" s="24"/>
      <c r="L13" s="24"/>
      <c r="M13" s="24"/>
      <c r="N13" s="24"/>
    </row>
    <row r="14" spans="1:16" x14ac:dyDescent="0.25">
      <c r="A14" t="s">
        <v>15</v>
      </c>
      <c r="F14" s="24"/>
      <c r="G14" s="24">
        <v>15000</v>
      </c>
      <c r="H14" s="24"/>
      <c r="I14" s="24"/>
      <c r="J14" s="24"/>
      <c r="K14" s="24"/>
      <c r="L14" s="24"/>
      <c r="M14" s="24"/>
      <c r="N14" s="24"/>
    </row>
    <row r="15" spans="1:16" x14ac:dyDescent="0.25">
      <c r="A15" s="48" t="s">
        <v>84</v>
      </c>
      <c r="B15" s="49" t="s">
        <v>86</v>
      </c>
      <c r="F15" s="24">
        <f>L4</f>
        <v>19000</v>
      </c>
      <c r="G15" s="24"/>
      <c r="H15" s="24"/>
      <c r="I15" s="24"/>
      <c r="J15" s="24"/>
      <c r="K15" s="24"/>
      <c r="L15" s="24"/>
      <c r="M15" s="24"/>
      <c r="N15" s="24"/>
    </row>
    <row r="16" spans="1:16" x14ac:dyDescent="0.25">
      <c r="A16" s="48" t="s">
        <v>16</v>
      </c>
      <c r="B16" s="49" t="s">
        <v>86</v>
      </c>
      <c r="F16" s="24">
        <v>30000</v>
      </c>
      <c r="G16" s="24"/>
      <c r="H16" s="24"/>
      <c r="I16" s="24"/>
      <c r="J16" s="24"/>
      <c r="K16" s="24"/>
      <c r="L16" s="24"/>
      <c r="M16" s="24"/>
      <c r="N16" s="24"/>
    </row>
    <row r="17" spans="1:14" x14ac:dyDescent="0.25">
      <c r="A17" t="s">
        <v>17</v>
      </c>
      <c r="F17" s="25"/>
      <c r="G17" s="25">
        <v>5000</v>
      </c>
      <c r="H17" s="24"/>
      <c r="I17" s="24"/>
      <c r="J17" s="24"/>
      <c r="K17" s="24"/>
      <c r="L17" s="24"/>
      <c r="M17" s="24"/>
    </row>
    <row r="18" spans="1:14" x14ac:dyDescent="0.25">
      <c r="F18" s="29"/>
      <c r="G18" s="29"/>
      <c r="H18" s="24"/>
      <c r="I18" s="24"/>
      <c r="J18" s="24"/>
      <c r="K18" s="24"/>
      <c r="L18" s="24"/>
      <c r="M18" s="24"/>
      <c r="N18" s="24" t="s">
        <v>9</v>
      </c>
    </row>
    <row r="19" spans="1:14" x14ac:dyDescent="0.25">
      <c r="F19" s="29" t="s">
        <v>34</v>
      </c>
      <c r="G19" s="29" t="s">
        <v>35</v>
      </c>
      <c r="H19" s="24" t="s">
        <v>36</v>
      </c>
      <c r="I19" s="24" t="s">
        <v>37</v>
      </c>
      <c r="J19" s="24" t="s">
        <v>39</v>
      </c>
      <c r="K19" s="24" t="s">
        <v>55</v>
      </c>
      <c r="L19" s="24" t="s">
        <v>56</v>
      </c>
      <c r="M19" s="24"/>
      <c r="N19" t="s">
        <v>40</v>
      </c>
    </row>
    <row r="20" spans="1:14" x14ac:dyDescent="0.25">
      <c r="A20" t="s">
        <v>6</v>
      </c>
      <c r="F20" s="24">
        <f>SUM(F13:F17)</f>
        <v>59000</v>
      </c>
      <c r="G20" s="24">
        <f>SUM(G13:G17)</f>
        <v>20000</v>
      </c>
      <c r="H20" s="39">
        <f>SUM(H3:H8)</f>
        <v>1720000</v>
      </c>
      <c r="I20" s="39">
        <f>SUM(H3:H7)-H6</f>
        <v>1700000</v>
      </c>
      <c r="J20" s="39">
        <f>H20+L9</f>
        <v>2062060</v>
      </c>
      <c r="K20" s="24">
        <v>0</v>
      </c>
      <c r="L20" s="24">
        <f>L9</f>
        <v>342060</v>
      </c>
      <c r="M20" s="26"/>
      <c r="N20" s="24">
        <f>J20-F20+G20</f>
        <v>2023060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0" sqref="A10"/>
    </sheetView>
  </sheetViews>
  <sheetFormatPr baseColWidth="10" defaultRowHeight="15.75" x14ac:dyDescent="0.25"/>
  <cols>
    <col min="3" max="3" width="9" customWidth="1"/>
    <col min="4" max="4" width="12.875" bestFit="1" customWidth="1"/>
    <col min="5" max="5" width="12.625" bestFit="1" customWidth="1"/>
    <col min="6" max="7" width="15" bestFit="1" customWidth="1"/>
    <col min="8" max="8" width="18.5" bestFit="1" customWidth="1"/>
    <col min="9" max="9" width="15.75" bestFit="1" customWidth="1"/>
    <col min="10" max="10" width="15.375" bestFit="1" customWidth="1"/>
    <col min="12" max="12" width="14.625" customWidth="1"/>
    <col min="13" max="13" width="15.375" customWidth="1"/>
    <col min="14" max="14" width="15.125" bestFit="1" customWidth="1"/>
    <col min="15" max="15" width="13" customWidth="1"/>
    <col min="18" max="18" width="12.625" bestFit="1" customWidth="1"/>
  </cols>
  <sheetData>
    <row r="1" spans="1:19" x14ac:dyDescent="0.25">
      <c r="M1" t="s">
        <v>57</v>
      </c>
      <c r="P1" s="62" t="s">
        <v>93</v>
      </c>
      <c r="Q1" s="62"/>
      <c r="R1" s="62"/>
    </row>
    <row r="2" spans="1:19" ht="16.5" thickBot="1" x14ac:dyDescent="0.3">
      <c r="C2" t="s">
        <v>29</v>
      </c>
      <c r="D2" t="s">
        <v>28</v>
      </c>
      <c r="F2" s="33" t="s">
        <v>19</v>
      </c>
      <c r="G2" s="32" t="s">
        <v>19</v>
      </c>
      <c r="H2" t="s">
        <v>20</v>
      </c>
      <c r="I2" t="s">
        <v>30</v>
      </c>
      <c r="J2" t="s">
        <v>33</v>
      </c>
      <c r="K2" t="s">
        <v>21</v>
      </c>
      <c r="L2" t="s">
        <v>22</v>
      </c>
      <c r="M2" t="s">
        <v>33</v>
      </c>
      <c r="N2" t="s">
        <v>21</v>
      </c>
      <c r="O2" t="s">
        <v>22</v>
      </c>
      <c r="P2" t="s">
        <v>33</v>
      </c>
      <c r="Q2" t="s">
        <v>21</v>
      </c>
      <c r="R2" t="s">
        <v>22</v>
      </c>
    </row>
    <row r="3" spans="1:19" x14ac:dyDescent="0.25">
      <c r="A3" s="7"/>
      <c r="B3" s="11" t="s">
        <v>89</v>
      </c>
      <c r="C3" s="11" t="s">
        <v>26</v>
      </c>
      <c r="D3" s="11" t="s">
        <v>27</v>
      </c>
      <c r="E3" s="11" t="s">
        <v>1</v>
      </c>
      <c r="F3" s="12" t="s">
        <v>2</v>
      </c>
      <c r="G3" s="13" t="s">
        <v>3</v>
      </c>
      <c r="H3" s="11" t="s">
        <v>4</v>
      </c>
      <c r="I3" s="1" t="s">
        <v>31</v>
      </c>
      <c r="J3" s="1" t="s">
        <v>32</v>
      </c>
      <c r="K3" s="1" t="s">
        <v>24</v>
      </c>
      <c r="L3" s="11" t="s">
        <v>25</v>
      </c>
      <c r="M3" s="1" t="s">
        <v>32</v>
      </c>
      <c r="N3" s="1" t="s">
        <v>24</v>
      </c>
      <c r="O3" s="11" t="s">
        <v>25</v>
      </c>
      <c r="P3" s="1" t="s">
        <v>32</v>
      </c>
      <c r="Q3" s="1" t="s">
        <v>24</v>
      </c>
      <c r="R3" s="11" t="s">
        <v>25</v>
      </c>
    </row>
    <row r="4" spans="1:19" x14ac:dyDescent="0.25">
      <c r="A4" s="8" t="s">
        <v>11</v>
      </c>
      <c r="B4" s="2" t="s">
        <v>7</v>
      </c>
      <c r="C4" s="2">
        <v>2</v>
      </c>
      <c r="D4" s="16">
        <v>300000</v>
      </c>
      <c r="E4" s="16">
        <f>C4*D4</f>
        <v>600000</v>
      </c>
      <c r="F4" s="16">
        <v>100000</v>
      </c>
      <c r="G4" s="16"/>
      <c r="H4" s="16">
        <f>IF(B4="false",E4-F4+G4,0)</f>
        <v>500000</v>
      </c>
      <c r="I4" s="19">
        <f>IF(B4="false",H4,E4-F4+G4)</f>
        <v>500000</v>
      </c>
      <c r="J4" s="19" t="s">
        <v>5</v>
      </c>
      <c r="K4" s="14">
        <v>0.19</v>
      </c>
      <c r="L4" s="21">
        <f>K4*I4</f>
        <v>95000</v>
      </c>
      <c r="M4" s="19" t="s">
        <v>58</v>
      </c>
      <c r="N4" s="14">
        <v>0.15</v>
      </c>
      <c r="O4" s="21">
        <f>L4*N4</f>
        <v>14250</v>
      </c>
      <c r="P4" s="19" t="s">
        <v>61</v>
      </c>
      <c r="Q4" s="45">
        <v>2.5000000000000001E-2</v>
      </c>
      <c r="R4" s="21">
        <f t="shared" ref="R4:R5" si="0">Q4*H4</f>
        <v>12500</v>
      </c>
    </row>
    <row r="5" spans="1:19" x14ac:dyDescent="0.25">
      <c r="A5" s="8" t="s">
        <v>12</v>
      </c>
      <c r="B5" s="2" t="s">
        <v>8</v>
      </c>
      <c r="C5" s="2">
        <v>10</v>
      </c>
      <c r="D5" s="16">
        <v>10000</v>
      </c>
      <c r="E5" s="16">
        <f t="shared" ref="E5:E11" si="1">C5*D5</f>
        <v>100000</v>
      </c>
      <c r="F5" s="16"/>
      <c r="G5" s="16"/>
      <c r="H5" s="16">
        <f t="shared" ref="H5:H11" si="2">IF(B5="false",E5-F5+G5,0)</f>
        <v>0</v>
      </c>
      <c r="I5" s="19">
        <f t="shared" ref="I5:I9" si="3">IF(B5="false",H5,E5-F5+G5)</f>
        <v>100000</v>
      </c>
      <c r="J5" s="19" t="s">
        <v>5</v>
      </c>
      <c r="K5" s="14">
        <v>0.19</v>
      </c>
      <c r="L5" s="21">
        <f>K5*SUM(E5:G5)</f>
        <v>19000</v>
      </c>
      <c r="M5" s="19" t="s">
        <v>58</v>
      </c>
      <c r="N5" s="14">
        <v>0.15</v>
      </c>
      <c r="O5" s="21">
        <f t="shared" ref="O5:O9" si="4">L5*N5</f>
        <v>2850</v>
      </c>
      <c r="P5" s="19" t="s">
        <v>61</v>
      </c>
      <c r="Q5" s="45">
        <v>2.5000000000000001E-2</v>
      </c>
      <c r="R5" s="21">
        <f t="shared" si="0"/>
        <v>0</v>
      </c>
      <c r="S5" t="s">
        <v>90</v>
      </c>
    </row>
    <row r="6" spans="1:19" x14ac:dyDescent="0.25">
      <c r="A6" s="8" t="s">
        <v>13</v>
      </c>
      <c r="B6" s="2" t="s">
        <v>7</v>
      </c>
      <c r="C6" s="2">
        <v>10</v>
      </c>
      <c r="D6" s="16">
        <v>1400000</v>
      </c>
      <c r="E6" s="16">
        <f t="shared" si="1"/>
        <v>14000000</v>
      </c>
      <c r="F6" s="16"/>
      <c r="G6" s="16">
        <v>0</v>
      </c>
      <c r="H6" s="16">
        <f t="shared" si="2"/>
        <v>14000000</v>
      </c>
      <c r="I6" s="19">
        <f t="shared" si="3"/>
        <v>14000000</v>
      </c>
      <c r="J6" s="19" t="s">
        <v>5</v>
      </c>
      <c r="K6" s="14">
        <v>0.19</v>
      </c>
      <c r="L6" s="21">
        <f>K6*SUM(E6:G6)</f>
        <v>2660000</v>
      </c>
      <c r="M6" s="19" t="s">
        <v>58</v>
      </c>
      <c r="N6" s="14">
        <v>0.15</v>
      </c>
      <c r="O6" s="21">
        <f t="shared" si="4"/>
        <v>399000</v>
      </c>
      <c r="P6" s="19" t="s">
        <v>61</v>
      </c>
      <c r="Q6" s="45">
        <v>2.5000000000000001E-2</v>
      </c>
      <c r="R6" s="21">
        <f>Q6*H6</f>
        <v>350000</v>
      </c>
    </row>
    <row r="7" spans="1:19" x14ac:dyDescent="0.25">
      <c r="A7" s="8" t="s">
        <v>38</v>
      </c>
      <c r="B7" s="2" t="s">
        <v>7</v>
      </c>
      <c r="C7" s="2">
        <v>100</v>
      </c>
      <c r="D7" s="16">
        <v>20000</v>
      </c>
      <c r="E7" s="16">
        <f t="shared" si="1"/>
        <v>2000000</v>
      </c>
      <c r="F7" s="16">
        <v>0</v>
      </c>
      <c r="G7" s="16">
        <v>0</v>
      </c>
      <c r="H7" s="16">
        <f t="shared" si="2"/>
        <v>2000000</v>
      </c>
      <c r="I7" s="19"/>
      <c r="J7" s="19"/>
      <c r="K7" s="14"/>
      <c r="L7" s="21"/>
      <c r="M7" s="19"/>
      <c r="N7" s="14"/>
      <c r="O7" s="21"/>
      <c r="P7" s="19" t="s">
        <v>61</v>
      </c>
      <c r="Q7" s="45">
        <v>1.4999999999999999E-2</v>
      </c>
      <c r="R7" s="21">
        <f t="shared" ref="R7:R8" si="5">Q7*H7</f>
        <v>30000</v>
      </c>
    </row>
    <row r="8" spans="1:19" x14ac:dyDescent="0.25">
      <c r="A8" s="8" t="s">
        <v>59</v>
      </c>
      <c r="B8" s="2" t="s">
        <v>7</v>
      </c>
      <c r="C8" s="2">
        <v>1000</v>
      </c>
      <c r="D8" s="16">
        <v>7000</v>
      </c>
      <c r="E8" s="16">
        <f t="shared" si="1"/>
        <v>7000000</v>
      </c>
      <c r="F8" s="16"/>
      <c r="G8" s="16"/>
      <c r="H8" s="16">
        <f t="shared" si="2"/>
        <v>7000000</v>
      </c>
      <c r="I8" s="19"/>
      <c r="J8" s="19"/>
      <c r="K8" s="14"/>
      <c r="L8" s="21"/>
      <c r="M8" s="19"/>
      <c r="N8" s="14"/>
      <c r="O8" s="21"/>
      <c r="P8" s="19" t="s">
        <v>61</v>
      </c>
      <c r="Q8" s="45">
        <v>1.4999999999999999E-2</v>
      </c>
      <c r="R8" s="21">
        <f t="shared" si="5"/>
        <v>105000</v>
      </c>
    </row>
    <row r="9" spans="1:19" x14ac:dyDescent="0.25">
      <c r="A9" s="8" t="s">
        <v>10</v>
      </c>
      <c r="B9" s="2" t="s">
        <v>7</v>
      </c>
      <c r="C9" s="2">
        <v>1</v>
      </c>
      <c r="D9" s="16">
        <v>40000</v>
      </c>
      <c r="E9" s="16">
        <f t="shared" si="1"/>
        <v>40000</v>
      </c>
      <c r="F9" s="16"/>
      <c r="G9" s="16"/>
      <c r="H9" s="16">
        <f t="shared" si="2"/>
        <v>40000</v>
      </c>
      <c r="I9" s="19">
        <f t="shared" si="3"/>
        <v>40000</v>
      </c>
      <c r="J9" s="19" t="s">
        <v>5</v>
      </c>
      <c r="K9" s="14">
        <v>0.19</v>
      </c>
      <c r="L9" s="21">
        <f>K9*SUM(E9:G9)</f>
        <v>7600</v>
      </c>
      <c r="M9" s="19" t="s">
        <v>58</v>
      </c>
      <c r="N9" s="14">
        <v>0.15</v>
      </c>
      <c r="O9" s="21">
        <f t="shared" si="4"/>
        <v>1140</v>
      </c>
      <c r="P9" s="19" t="s">
        <v>61</v>
      </c>
      <c r="Q9" s="45">
        <v>0.01</v>
      </c>
      <c r="R9" s="21">
        <f>IF(H9&lt;137000,0,Q9*H9)</f>
        <v>0</v>
      </c>
    </row>
    <row r="10" spans="1:19" x14ac:dyDescent="0.25">
      <c r="A10" s="8" t="s">
        <v>60</v>
      </c>
      <c r="B10" s="2" t="s">
        <v>7</v>
      </c>
      <c r="C10" s="9">
        <v>1</v>
      </c>
      <c r="D10" s="17">
        <v>1300000</v>
      </c>
      <c r="E10" s="16">
        <f t="shared" si="1"/>
        <v>1300000</v>
      </c>
      <c r="F10" s="17"/>
      <c r="G10" s="17">
        <v>15000</v>
      </c>
      <c r="H10" s="16">
        <f t="shared" si="2"/>
        <v>1315000</v>
      </c>
      <c r="I10" s="19">
        <f t="shared" ref="I10" si="6">IF(B10="false",H10,E10-F10+G10)</f>
        <v>1315000</v>
      </c>
      <c r="J10" s="19" t="s">
        <v>5</v>
      </c>
      <c r="K10" s="14">
        <v>0.19</v>
      </c>
      <c r="L10" s="21">
        <f>K10*SUM(E10:G10)</f>
        <v>249850</v>
      </c>
      <c r="M10" s="19" t="s">
        <v>58</v>
      </c>
      <c r="N10" s="14">
        <v>0.15</v>
      </c>
      <c r="O10" s="21">
        <f t="shared" ref="O10" si="7">L10*N10</f>
        <v>37477.5</v>
      </c>
      <c r="P10" s="19" t="s">
        <v>61</v>
      </c>
      <c r="Q10" s="45">
        <v>0.04</v>
      </c>
      <c r="R10" s="21">
        <f>IF(H10&lt;137000,0,Q10*H10)</f>
        <v>52600</v>
      </c>
    </row>
    <row r="11" spans="1:19" x14ac:dyDescent="0.25">
      <c r="A11" s="4" t="s">
        <v>23</v>
      </c>
      <c r="B11" s="2" t="s">
        <v>8</v>
      </c>
      <c r="C11" s="9">
        <v>100</v>
      </c>
      <c r="D11" s="17">
        <v>100</v>
      </c>
      <c r="E11" s="16">
        <f t="shared" si="1"/>
        <v>10000</v>
      </c>
      <c r="F11" s="17"/>
      <c r="G11" s="17"/>
      <c r="H11" s="16">
        <f t="shared" si="2"/>
        <v>0</v>
      </c>
      <c r="I11" s="15">
        <f>C11</f>
        <v>100</v>
      </c>
      <c r="J11" s="28" t="s">
        <v>23</v>
      </c>
      <c r="K11" s="20">
        <v>30</v>
      </c>
      <c r="L11" s="22">
        <f>I11*K11</f>
        <v>3000</v>
      </c>
      <c r="M11" s="43"/>
      <c r="N11" s="34"/>
      <c r="O11" s="34"/>
      <c r="P11" s="19"/>
      <c r="Q11" s="45"/>
      <c r="R11" s="21">
        <f t="shared" ref="R11" si="8">IF(H11&lt;925000,0,Q11*H11)</f>
        <v>0</v>
      </c>
    </row>
    <row r="12" spans="1:19" ht="16.5" thickBot="1" x14ac:dyDescent="0.3">
      <c r="A12" s="5" t="s">
        <v>0</v>
      </c>
      <c r="B12" s="6"/>
      <c r="C12" s="6"/>
      <c r="D12" s="18"/>
      <c r="E12" s="18">
        <f>SUM(E4:E11)</f>
        <v>25050000</v>
      </c>
      <c r="F12" s="18">
        <f t="shared" ref="F12:H12" si="9">SUM(F4:F9)</f>
        <v>100000</v>
      </c>
      <c r="G12" s="18">
        <f t="shared" si="9"/>
        <v>0</v>
      </c>
      <c r="H12" s="18">
        <f t="shared" si="9"/>
        <v>23540000</v>
      </c>
      <c r="I12" s="10"/>
      <c r="J12" s="10"/>
      <c r="K12" s="10"/>
      <c r="L12" s="23">
        <f>SUM(L4:L11)</f>
        <v>3034450</v>
      </c>
      <c r="M12" s="23"/>
      <c r="N12" s="23"/>
      <c r="O12" s="23">
        <f>SUM(O4:O11)</f>
        <v>454717.5</v>
      </c>
      <c r="P12" s="23"/>
      <c r="Q12" s="23"/>
      <c r="R12" s="23">
        <f t="shared" ref="R12" si="10">SUM(R4:R11)</f>
        <v>550100</v>
      </c>
    </row>
    <row r="13" spans="1:19" x14ac:dyDescent="0.25">
      <c r="A13" s="30"/>
      <c r="B13" s="30"/>
      <c r="C13" s="30"/>
      <c r="D13" s="31"/>
      <c r="E13" s="31"/>
      <c r="F13" s="31"/>
      <c r="G13" s="31"/>
      <c r="H13" s="31"/>
      <c r="I13" s="30"/>
      <c r="J13" s="30"/>
      <c r="K13" s="30"/>
      <c r="L13" s="29"/>
      <c r="M13" s="34"/>
      <c r="N13" s="34"/>
      <c r="O13" s="34"/>
    </row>
    <row r="14" spans="1:19" x14ac:dyDescent="0.25">
      <c r="A14" s="30"/>
      <c r="B14" s="30"/>
      <c r="C14" s="30"/>
      <c r="D14" s="31"/>
      <c r="E14" s="31"/>
      <c r="F14" s="31"/>
      <c r="G14" s="31"/>
      <c r="H14" s="31"/>
      <c r="I14" s="30"/>
      <c r="J14" s="30"/>
      <c r="K14" s="30"/>
      <c r="L14" s="29"/>
      <c r="M14" s="30"/>
    </row>
    <row r="15" spans="1:19" x14ac:dyDescent="0.25">
      <c r="F15" s="33" t="s">
        <v>19</v>
      </c>
      <c r="G15" s="32" t="s">
        <v>19</v>
      </c>
    </row>
    <row r="16" spans="1:19" x14ac:dyDescent="0.25">
      <c r="A16" t="s">
        <v>14</v>
      </c>
      <c r="F16" s="24">
        <v>150000</v>
      </c>
      <c r="G16" s="24"/>
      <c r="H16" s="24"/>
      <c r="I16" s="24"/>
      <c r="J16" s="24"/>
      <c r="K16" s="24"/>
      <c r="L16" s="24"/>
      <c r="M16" s="24"/>
      <c r="N16" s="24"/>
    </row>
    <row r="17" spans="1:14" x14ac:dyDescent="0.25">
      <c r="A17" t="s">
        <v>15</v>
      </c>
      <c r="F17" s="24"/>
      <c r="G17" s="24">
        <v>20000</v>
      </c>
      <c r="H17" s="24"/>
      <c r="I17" s="24"/>
      <c r="J17" s="24"/>
      <c r="K17" s="24"/>
      <c r="L17" s="24"/>
      <c r="M17" s="24"/>
      <c r="N17" s="24"/>
    </row>
    <row r="18" spans="1:14" x14ac:dyDescent="0.25">
      <c r="A18" t="s">
        <v>18</v>
      </c>
      <c r="F18" s="24">
        <f>L5</f>
        <v>19000</v>
      </c>
      <c r="G18" s="24"/>
      <c r="H18" s="24"/>
      <c r="I18" s="24"/>
      <c r="J18" s="24"/>
      <c r="K18" s="24"/>
      <c r="L18" s="24"/>
      <c r="M18" s="24"/>
      <c r="N18" s="24"/>
    </row>
    <row r="19" spans="1:14" x14ac:dyDescent="0.25">
      <c r="A19" t="s">
        <v>16</v>
      </c>
      <c r="F19" s="24">
        <v>300000</v>
      </c>
      <c r="G19" s="24"/>
      <c r="H19" s="24"/>
      <c r="I19" s="24"/>
      <c r="J19" s="24"/>
      <c r="K19" s="24"/>
      <c r="L19" s="24"/>
      <c r="M19" s="24"/>
      <c r="N19" s="24"/>
    </row>
    <row r="20" spans="1:14" x14ac:dyDescent="0.25">
      <c r="A20" t="s">
        <v>17</v>
      </c>
      <c r="F20" s="25"/>
      <c r="G20" s="25">
        <v>10000</v>
      </c>
      <c r="H20" s="24"/>
      <c r="I20" s="24"/>
      <c r="J20" s="24"/>
      <c r="K20" s="24"/>
      <c r="L20" s="24"/>
      <c r="M20" s="24"/>
    </row>
    <row r="21" spans="1:14" x14ac:dyDescent="0.25">
      <c r="F21" s="29"/>
      <c r="G21" s="29"/>
      <c r="H21" s="24"/>
      <c r="I21" s="24"/>
      <c r="J21" s="24"/>
      <c r="K21" s="24"/>
      <c r="L21" s="24"/>
      <c r="M21" s="24"/>
    </row>
    <row r="22" spans="1:14" x14ac:dyDescent="0.25">
      <c r="F22" s="29"/>
      <c r="G22" s="29"/>
      <c r="H22" s="24"/>
      <c r="I22" s="24"/>
      <c r="J22" s="24"/>
      <c r="K22" s="24"/>
      <c r="L22" s="24"/>
      <c r="M22" s="24"/>
    </row>
    <row r="23" spans="1:14" x14ac:dyDescent="0.25">
      <c r="F23" s="29"/>
      <c r="G23" s="29"/>
      <c r="H23" s="24"/>
      <c r="I23" s="24"/>
      <c r="J23" s="24"/>
      <c r="K23" s="24"/>
      <c r="L23" s="24"/>
      <c r="M23" s="24"/>
      <c r="N23" s="24" t="s">
        <v>9</v>
      </c>
    </row>
    <row r="24" spans="1:14" x14ac:dyDescent="0.25">
      <c r="F24" s="29" t="s">
        <v>34</v>
      </c>
      <c r="G24" s="29" t="s">
        <v>35</v>
      </c>
      <c r="H24" s="24" t="s">
        <v>36</v>
      </c>
      <c r="I24" s="24" t="s">
        <v>37</v>
      </c>
      <c r="J24" s="24" t="s">
        <v>39</v>
      </c>
      <c r="K24" s="24" t="s">
        <v>55</v>
      </c>
      <c r="L24" s="24" t="s">
        <v>56</v>
      </c>
      <c r="M24" s="24" t="s">
        <v>62</v>
      </c>
      <c r="N24" t="s">
        <v>40</v>
      </c>
    </row>
    <row r="25" spans="1:14" x14ac:dyDescent="0.25">
      <c r="A25" t="s">
        <v>6</v>
      </c>
      <c r="F25" s="24">
        <f>SUM(F16:F20)</f>
        <v>469000</v>
      </c>
      <c r="G25" s="24">
        <f>SUM(G16:G20)</f>
        <v>30000</v>
      </c>
      <c r="H25" s="39">
        <f>SUM(H4:H11)</f>
        <v>24855000</v>
      </c>
      <c r="I25" s="39">
        <f>SUM(H4:H9)-H7</f>
        <v>21540000</v>
      </c>
      <c r="J25" s="39">
        <f>H25+L12</f>
        <v>27889450</v>
      </c>
      <c r="K25" s="24">
        <v>0</v>
      </c>
      <c r="L25" s="24">
        <f>L12</f>
        <v>3034450</v>
      </c>
      <c r="M25" s="26">
        <f>+R12</f>
        <v>550100</v>
      </c>
      <c r="N25" s="24">
        <f>J25-F25+G25</f>
        <v>27450450</v>
      </c>
    </row>
    <row r="29" spans="1:14" x14ac:dyDescent="0.25">
      <c r="A29" t="s">
        <v>63</v>
      </c>
    </row>
    <row r="30" spans="1:14" x14ac:dyDescent="0.25">
      <c r="A30" t="s">
        <v>64</v>
      </c>
    </row>
    <row r="31" spans="1:14" x14ac:dyDescent="0.25">
      <c r="A31" t="s">
        <v>65</v>
      </c>
    </row>
    <row r="32" spans="1:14" x14ac:dyDescent="0.25">
      <c r="A32" t="s">
        <v>66</v>
      </c>
    </row>
  </sheetData>
  <mergeCells count="1">
    <mergeCell ref="P1:R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A10" zoomScaleNormal="100" workbookViewId="0">
      <selection activeCell="B32" sqref="B32"/>
    </sheetView>
  </sheetViews>
  <sheetFormatPr baseColWidth="10" defaultColWidth="11" defaultRowHeight="15.75" x14ac:dyDescent="0.25"/>
  <cols>
    <col min="1" max="1" width="17.625" bestFit="1" customWidth="1"/>
    <col min="2" max="2" width="7" bestFit="1" customWidth="1"/>
    <col min="3" max="3" width="7" customWidth="1"/>
    <col min="4" max="4" width="13.125" bestFit="1" customWidth="1"/>
    <col min="5" max="5" width="12.75" bestFit="1" customWidth="1"/>
    <col min="6" max="6" width="12.125" bestFit="1" customWidth="1"/>
    <col min="7" max="7" width="14.375" bestFit="1" customWidth="1"/>
    <col min="8" max="8" width="19" bestFit="1" customWidth="1"/>
    <col min="9" max="9" width="15.75" bestFit="1" customWidth="1"/>
    <col min="10" max="10" width="15.375" bestFit="1" customWidth="1"/>
    <col min="12" max="12" width="14.375" bestFit="1" customWidth="1"/>
    <col min="13" max="13" width="12.875" customWidth="1"/>
    <col min="14" max="14" width="17.375" bestFit="1" customWidth="1"/>
    <col min="16" max="16" width="14.375" bestFit="1" customWidth="1"/>
    <col min="20" max="20" width="12.75" bestFit="1" customWidth="1"/>
  </cols>
  <sheetData>
    <row r="1" spans="1:20" x14ac:dyDescent="0.25">
      <c r="C1" t="s">
        <v>29</v>
      </c>
      <c r="D1" t="s">
        <v>28</v>
      </c>
      <c r="F1" s="33" t="s">
        <v>19</v>
      </c>
      <c r="G1" s="32" t="s">
        <v>19</v>
      </c>
      <c r="H1" t="s">
        <v>20</v>
      </c>
      <c r="I1" t="s">
        <v>30</v>
      </c>
      <c r="J1" t="s">
        <v>33</v>
      </c>
      <c r="K1" t="s">
        <v>21</v>
      </c>
      <c r="L1" t="s">
        <v>22</v>
      </c>
      <c r="M1" t="s">
        <v>91</v>
      </c>
      <c r="N1" t="s">
        <v>33</v>
      </c>
      <c r="O1" t="s">
        <v>92</v>
      </c>
      <c r="P1" t="s">
        <v>22</v>
      </c>
      <c r="Q1" t="s">
        <v>30</v>
      </c>
      <c r="R1" t="s">
        <v>33</v>
      </c>
      <c r="S1" t="s">
        <v>21</v>
      </c>
      <c r="T1" t="s">
        <v>22</v>
      </c>
    </row>
    <row r="2" spans="1:20" x14ac:dyDescent="0.25">
      <c r="A2" s="2"/>
      <c r="B2" s="2" t="s">
        <v>89</v>
      </c>
      <c r="C2" s="2" t="s">
        <v>26</v>
      </c>
      <c r="D2" s="2" t="s">
        <v>27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31</v>
      </c>
      <c r="J2" s="2" t="s">
        <v>32</v>
      </c>
      <c r="K2" s="2" t="s">
        <v>24</v>
      </c>
      <c r="L2" s="2" t="s">
        <v>25</v>
      </c>
      <c r="M2" s="2" t="s">
        <v>31</v>
      </c>
      <c r="N2" s="2" t="s">
        <v>32</v>
      </c>
      <c r="O2" s="2" t="s">
        <v>24</v>
      </c>
      <c r="P2" s="2" t="s">
        <v>25</v>
      </c>
      <c r="Q2" s="2" t="s">
        <v>31</v>
      </c>
      <c r="R2" s="2" t="s">
        <v>32</v>
      </c>
      <c r="S2" s="2" t="s">
        <v>24</v>
      </c>
      <c r="T2" s="2" t="s">
        <v>25</v>
      </c>
    </row>
    <row r="3" spans="1:20" x14ac:dyDescent="0.25">
      <c r="A3" s="2" t="s">
        <v>41</v>
      </c>
      <c r="B3" s="2" t="s">
        <v>7</v>
      </c>
      <c r="C3" s="2">
        <v>3200</v>
      </c>
      <c r="D3" s="16">
        <v>6383.98</v>
      </c>
      <c r="E3" s="16">
        <f>C3*D3</f>
        <v>20428736</v>
      </c>
      <c r="F3" s="16">
        <v>0</v>
      </c>
      <c r="G3" s="16"/>
      <c r="H3" s="16">
        <f>IF(B3="false",E3-F3+G3,0)</f>
        <v>20428736</v>
      </c>
      <c r="I3" s="16">
        <f>IF(B3="false",H3,E3-F3+G3)</f>
        <v>20428736</v>
      </c>
      <c r="J3" s="16" t="s">
        <v>5</v>
      </c>
      <c r="K3" s="3">
        <v>0.19</v>
      </c>
      <c r="L3" s="27">
        <f>K3*I3</f>
        <v>3881459.84</v>
      </c>
      <c r="M3" s="2">
        <v>1</v>
      </c>
      <c r="N3" s="35" t="s">
        <v>50</v>
      </c>
      <c r="O3" s="27">
        <v>526.26</v>
      </c>
      <c r="P3" s="27">
        <f>M3*O3*C3</f>
        <v>1684032</v>
      </c>
      <c r="Q3" s="2">
        <f>+M3</f>
        <v>1</v>
      </c>
      <c r="R3" s="35" t="s">
        <v>51</v>
      </c>
      <c r="S3" s="27">
        <v>148</v>
      </c>
      <c r="T3" s="27">
        <f>Q3*S3*C3</f>
        <v>473600</v>
      </c>
    </row>
    <row r="4" spans="1:20" x14ac:dyDescent="0.25">
      <c r="A4" s="2" t="s">
        <v>42</v>
      </c>
      <c r="B4" s="2" t="s">
        <v>7</v>
      </c>
      <c r="C4" s="2">
        <v>10</v>
      </c>
      <c r="D4" s="16">
        <v>10580</v>
      </c>
      <c r="E4" s="16">
        <f t="shared" ref="E4:E14" si="0">C4*D4</f>
        <v>105800</v>
      </c>
      <c r="F4" s="16"/>
      <c r="G4" s="16"/>
      <c r="H4" s="16">
        <f t="shared" ref="H4:H14" si="1">IF(B4="false",E4-F4+G4,0)</f>
        <v>105800</v>
      </c>
      <c r="I4" s="16">
        <f t="shared" ref="I4:I14" si="2">IF(B4="false",H4,E4-F4+G4)</f>
        <v>105800</v>
      </c>
      <c r="J4" s="16" t="s">
        <v>5</v>
      </c>
      <c r="K4" s="3">
        <v>0.19</v>
      </c>
      <c r="L4" s="27">
        <f>K4*SUM(E4:G4)</f>
        <v>20102</v>
      </c>
      <c r="M4" s="2">
        <v>1</v>
      </c>
      <c r="N4" s="35" t="s">
        <v>50</v>
      </c>
      <c r="O4" s="27">
        <v>998.82</v>
      </c>
      <c r="P4" s="27">
        <f t="shared" ref="P4:P14" si="3">M4*O4*C4</f>
        <v>9988.2000000000007</v>
      </c>
      <c r="Q4" s="2">
        <f t="shared" ref="Q4:Q14" si="4">+M4</f>
        <v>1</v>
      </c>
      <c r="R4" s="35" t="s">
        <v>51</v>
      </c>
      <c r="S4" s="27">
        <v>148</v>
      </c>
      <c r="T4" s="27">
        <f t="shared" ref="T4:T14" si="5">Q4*S4*C4</f>
        <v>1480</v>
      </c>
    </row>
    <row r="5" spans="1:20" x14ac:dyDescent="0.25">
      <c r="A5" s="2" t="s">
        <v>43</v>
      </c>
      <c r="B5" s="2" t="s">
        <v>7</v>
      </c>
      <c r="C5" s="2">
        <v>10</v>
      </c>
      <c r="D5" s="16">
        <v>7800</v>
      </c>
      <c r="E5" s="16">
        <f t="shared" si="0"/>
        <v>78000</v>
      </c>
      <c r="F5" s="16"/>
      <c r="G5" s="16">
        <v>0</v>
      </c>
      <c r="H5" s="16">
        <f t="shared" si="1"/>
        <v>78000</v>
      </c>
      <c r="I5" s="16">
        <f t="shared" si="2"/>
        <v>78000</v>
      </c>
      <c r="J5" s="16" t="s">
        <v>5</v>
      </c>
      <c r="K5" s="3">
        <v>0.19</v>
      </c>
      <c r="L5" s="27">
        <f>K5*SUM(E5:G5)</f>
        <v>14820</v>
      </c>
      <c r="M5" s="2">
        <v>1</v>
      </c>
      <c r="N5" s="35" t="s">
        <v>50</v>
      </c>
      <c r="O5" s="27">
        <v>503.71</v>
      </c>
      <c r="P5" s="27">
        <f t="shared" si="3"/>
        <v>5037.0999999999995</v>
      </c>
      <c r="Q5" s="2">
        <f t="shared" si="4"/>
        <v>1</v>
      </c>
      <c r="R5" s="35" t="s">
        <v>51</v>
      </c>
      <c r="S5" s="27">
        <v>168</v>
      </c>
      <c r="T5" s="27">
        <f t="shared" si="5"/>
        <v>1680</v>
      </c>
    </row>
    <row r="6" spans="1:20" x14ac:dyDescent="0.25">
      <c r="A6" s="2" t="s">
        <v>44</v>
      </c>
      <c r="B6" s="2" t="s">
        <v>7</v>
      </c>
      <c r="C6" s="2">
        <v>10</v>
      </c>
      <c r="D6" s="16">
        <v>9000</v>
      </c>
      <c r="E6" s="16">
        <f t="shared" si="0"/>
        <v>90000</v>
      </c>
      <c r="F6" s="16">
        <v>0</v>
      </c>
      <c r="G6" s="16">
        <v>0</v>
      </c>
      <c r="H6" s="16">
        <f t="shared" si="1"/>
        <v>90000</v>
      </c>
      <c r="I6" s="16">
        <f t="shared" si="2"/>
        <v>90000</v>
      </c>
      <c r="J6" s="16" t="s">
        <v>5</v>
      </c>
      <c r="K6" s="3">
        <v>0.19</v>
      </c>
      <c r="L6" s="27">
        <f>K6*SUM(E6:G6)</f>
        <v>17100</v>
      </c>
      <c r="M6" s="2">
        <v>1</v>
      </c>
      <c r="N6" s="35" t="s">
        <v>50</v>
      </c>
      <c r="O6" s="27">
        <v>526.26</v>
      </c>
      <c r="P6" s="27">
        <f t="shared" si="3"/>
        <v>5262.6</v>
      </c>
      <c r="Q6" s="2">
        <f t="shared" si="4"/>
        <v>1</v>
      </c>
      <c r="R6" s="35" t="s">
        <v>51</v>
      </c>
      <c r="S6" s="27">
        <v>148</v>
      </c>
      <c r="T6" s="27">
        <f t="shared" si="5"/>
        <v>1480</v>
      </c>
    </row>
    <row r="7" spans="1:20" x14ac:dyDescent="0.25">
      <c r="A7" s="2" t="s">
        <v>45</v>
      </c>
      <c r="B7" s="2" t="s">
        <v>7</v>
      </c>
      <c r="C7" s="2">
        <v>10</v>
      </c>
      <c r="D7" s="16">
        <v>8200</v>
      </c>
      <c r="E7" s="16">
        <f t="shared" si="0"/>
        <v>82000</v>
      </c>
      <c r="F7" s="16"/>
      <c r="G7" s="16"/>
      <c r="H7" s="16">
        <f t="shared" si="1"/>
        <v>82000</v>
      </c>
      <c r="I7" s="16">
        <f t="shared" si="2"/>
        <v>82000</v>
      </c>
      <c r="J7" s="16" t="s">
        <v>5</v>
      </c>
      <c r="K7" s="3">
        <v>0.19</v>
      </c>
      <c r="L7" s="27">
        <f>K7*SUM(E7:G7)</f>
        <v>15580</v>
      </c>
      <c r="M7" s="2">
        <v>1</v>
      </c>
      <c r="N7" s="35" t="s">
        <v>50</v>
      </c>
      <c r="O7" s="27">
        <v>526.26</v>
      </c>
      <c r="P7" s="27">
        <f t="shared" si="3"/>
        <v>5262.6</v>
      </c>
      <c r="Q7" s="2">
        <f t="shared" si="4"/>
        <v>1</v>
      </c>
      <c r="R7" s="35" t="s">
        <v>51</v>
      </c>
      <c r="S7" s="27">
        <v>168</v>
      </c>
      <c r="T7" s="27">
        <f t="shared" si="5"/>
        <v>1680</v>
      </c>
    </row>
    <row r="8" spans="1:20" x14ac:dyDescent="0.25">
      <c r="A8" s="2" t="s">
        <v>46</v>
      </c>
      <c r="B8" s="2" t="s">
        <v>7</v>
      </c>
      <c r="C8" s="2">
        <v>10</v>
      </c>
      <c r="D8" s="16">
        <v>8000</v>
      </c>
      <c r="E8" s="16">
        <f t="shared" si="0"/>
        <v>80000</v>
      </c>
      <c r="F8" s="16"/>
      <c r="G8" s="16"/>
      <c r="H8" s="16">
        <f t="shared" si="1"/>
        <v>80000</v>
      </c>
      <c r="I8" s="16">
        <f t="shared" si="2"/>
        <v>80000</v>
      </c>
      <c r="J8" s="16" t="s">
        <v>5</v>
      </c>
      <c r="K8" s="3">
        <v>0.19</v>
      </c>
      <c r="L8" s="27">
        <f t="shared" ref="L8:L14" si="6">K8*SUM(E8:G8)</f>
        <v>15200</v>
      </c>
      <c r="M8" s="2">
        <v>1</v>
      </c>
      <c r="N8" s="35" t="s">
        <v>50</v>
      </c>
      <c r="O8" s="27">
        <v>493.63</v>
      </c>
      <c r="P8" s="27">
        <f t="shared" si="3"/>
        <v>4936.3</v>
      </c>
      <c r="Q8" s="2">
        <f t="shared" si="4"/>
        <v>1</v>
      </c>
      <c r="R8" s="35" t="s">
        <v>51</v>
      </c>
      <c r="S8" s="27">
        <v>168</v>
      </c>
      <c r="T8" s="27">
        <f t="shared" si="5"/>
        <v>1680</v>
      </c>
    </row>
    <row r="9" spans="1:20" x14ac:dyDescent="0.25">
      <c r="A9" s="2" t="s">
        <v>47</v>
      </c>
      <c r="B9" s="2" t="s">
        <v>7</v>
      </c>
      <c r="C9" s="2">
        <v>10</v>
      </c>
      <c r="D9" s="16">
        <v>8000</v>
      </c>
      <c r="E9" s="16">
        <f t="shared" si="0"/>
        <v>80000</v>
      </c>
      <c r="F9" s="16"/>
      <c r="G9" s="16"/>
      <c r="H9" s="16">
        <f t="shared" si="1"/>
        <v>80000</v>
      </c>
      <c r="I9" s="16">
        <f t="shared" si="2"/>
        <v>80000</v>
      </c>
      <c r="J9" s="16" t="s">
        <v>5</v>
      </c>
      <c r="K9" s="3">
        <v>0.19</v>
      </c>
      <c r="L9" s="27">
        <f t="shared" si="6"/>
        <v>15200</v>
      </c>
      <c r="M9" s="2">
        <v>1</v>
      </c>
      <c r="N9" s="35" t="s">
        <v>50</v>
      </c>
      <c r="O9" s="27">
        <v>483.56</v>
      </c>
      <c r="P9" s="27">
        <f t="shared" si="3"/>
        <v>4835.6000000000004</v>
      </c>
      <c r="Q9" s="2">
        <f t="shared" si="4"/>
        <v>1</v>
      </c>
      <c r="R9" s="35" t="s">
        <v>51</v>
      </c>
      <c r="S9" s="27">
        <v>168</v>
      </c>
      <c r="T9" s="27">
        <f t="shared" si="5"/>
        <v>1680</v>
      </c>
    </row>
    <row r="10" spans="1:20" x14ac:dyDescent="0.25">
      <c r="A10" s="2" t="s">
        <v>48</v>
      </c>
      <c r="B10" s="2" t="s">
        <v>7</v>
      </c>
      <c r="C10" s="2">
        <v>10</v>
      </c>
      <c r="D10" s="16">
        <v>8000</v>
      </c>
      <c r="E10" s="16">
        <f t="shared" si="0"/>
        <v>80000</v>
      </c>
      <c r="F10" s="16"/>
      <c r="G10" s="16"/>
      <c r="H10" s="16">
        <f t="shared" si="1"/>
        <v>80000</v>
      </c>
      <c r="I10" s="16">
        <f t="shared" si="2"/>
        <v>80000</v>
      </c>
      <c r="J10" s="16" t="s">
        <v>5</v>
      </c>
      <c r="K10" s="3">
        <v>0.19</v>
      </c>
      <c r="L10" s="27">
        <f t="shared" si="6"/>
        <v>15200</v>
      </c>
      <c r="M10" s="2">
        <v>1</v>
      </c>
      <c r="N10" s="35" t="s">
        <v>50</v>
      </c>
      <c r="O10" s="27">
        <v>463.41</v>
      </c>
      <c r="P10" s="27">
        <f t="shared" si="3"/>
        <v>4634.1000000000004</v>
      </c>
      <c r="Q10" s="2">
        <f t="shared" si="4"/>
        <v>1</v>
      </c>
      <c r="R10" s="35" t="s">
        <v>51</v>
      </c>
      <c r="S10" s="27">
        <v>168</v>
      </c>
      <c r="T10" s="27">
        <f t="shared" si="5"/>
        <v>1680</v>
      </c>
    </row>
    <row r="11" spans="1:20" x14ac:dyDescent="0.25">
      <c r="A11" s="2" t="s">
        <v>49</v>
      </c>
      <c r="B11" s="2" t="s">
        <v>7</v>
      </c>
      <c r="C11" s="2">
        <v>10</v>
      </c>
      <c r="D11" s="16">
        <v>8000</v>
      </c>
      <c r="E11" s="16">
        <f t="shared" si="0"/>
        <v>80000</v>
      </c>
      <c r="F11" s="16"/>
      <c r="G11" s="16"/>
      <c r="H11" s="16">
        <f t="shared" si="1"/>
        <v>80000</v>
      </c>
      <c r="I11" s="16">
        <f t="shared" si="2"/>
        <v>80000</v>
      </c>
      <c r="J11" s="16" t="s">
        <v>5</v>
      </c>
      <c r="K11" s="3">
        <v>0.19</v>
      </c>
      <c r="L11" s="27">
        <f t="shared" si="6"/>
        <v>15200</v>
      </c>
      <c r="M11" s="2">
        <v>1</v>
      </c>
      <c r="N11" s="35" t="s">
        <v>50</v>
      </c>
      <c r="O11" s="27">
        <v>453.34</v>
      </c>
      <c r="P11" s="27">
        <f t="shared" si="3"/>
        <v>4533.3999999999996</v>
      </c>
      <c r="Q11" s="2">
        <f t="shared" si="4"/>
        <v>1</v>
      </c>
      <c r="R11" s="35" t="s">
        <v>51</v>
      </c>
      <c r="S11" s="27">
        <v>168</v>
      </c>
      <c r="T11" s="27">
        <f t="shared" si="5"/>
        <v>1680</v>
      </c>
    </row>
    <row r="12" spans="1:20" ht="31.5" x14ac:dyDescent="0.25">
      <c r="A12" s="37" t="s">
        <v>52</v>
      </c>
      <c r="B12" s="2" t="s">
        <v>7</v>
      </c>
      <c r="C12" s="2">
        <v>10</v>
      </c>
      <c r="D12" s="16">
        <v>8000</v>
      </c>
      <c r="E12" s="16">
        <f t="shared" si="0"/>
        <v>80000</v>
      </c>
      <c r="F12" s="16"/>
      <c r="G12" s="16"/>
      <c r="H12" s="16">
        <f t="shared" si="1"/>
        <v>80000</v>
      </c>
      <c r="I12" s="16">
        <f t="shared" si="2"/>
        <v>80000</v>
      </c>
      <c r="J12" s="16" t="s">
        <v>5</v>
      </c>
      <c r="K12" s="3">
        <v>0.19</v>
      </c>
      <c r="L12" s="27">
        <f t="shared" si="6"/>
        <v>15200</v>
      </c>
      <c r="M12" s="38">
        <v>1</v>
      </c>
      <c r="N12" s="35" t="s">
        <v>50</v>
      </c>
      <c r="O12" s="27">
        <v>1039.8900000000001</v>
      </c>
      <c r="P12" s="27">
        <f t="shared" si="3"/>
        <v>10398.900000000001</v>
      </c>
      <c r="Q12" s="2">
        <f t="shared" si="4"/>
        <v>1</v>
      </c>
      <c r="R12" s="35" t="s">
        <v>51</v>
      </c>
      <c r="S12" s="27">
        <v>148</v>
      </c>
      <c r="T12" s="27">
        <f t="shared" si="5"/>
        <v>1480</v>
      </c>
    </row>
    <row r="13" spans="1:20" ht="31.5" x14ac:dyDescent="0.25">
      <c r="A13" s="37" t="s">
        <v>53</v>
      </c>
      <c r="B13" s="2" t="s">
        <v>7</v>
      </c>
      <c r="C13" s="2">
        <v>10</v>
      </c>
      <c r="D13" s="16">
        <v>10580</v>
      </c>
      <c r="E13" s="16">
        <f t="shared" si="0"/>
        <v>105800</v>
      </c>
      <c r="F13" s="16"/>
      <c r="G13" s="16"/>
      <c r="H13" s="16">
        <f t="shared" si="1"/>
        <v>105800</v>
      </c>
      <c r="I13" s="16">
        <f t="shared" si="2"/>
        <v>105800</v>
      </c>
      <c r="J13" s="16" t="s">
        <v>5</v>
      </c>
      <c r="K13" s="3">
        <v>0.19</v>
      </c>
      <c r="L13" s="27">
        <f t="shared" si="6"/>
        <v>20102</v>
      </c>
      <c r="M13" s="38">
        <v>1</v>
      </c>
      <c r="N13" s="35" t="s">
        <v>50</v>
      </c>
      <c r="O13" s="27">
        <v>1096.8900000000001</v>
      </c>
      <c r="P13" s="27">
        <f t="shared" si="3"/>
        <v>10968.900000000001</v>
      </c>
      <c r="Q13" s="2">
        <f t="shared" si="4"/>
        <v>1</v>
      </c>
      <c r="R13" s="35" t="s">
        <v>51</v>
      </c>
      <c r="S13" s="27">
        <v>148</v>
      </c>
      <c r="T13" s="27">
        <f t="shared" si="5"/>
        <v>1480</v>
      </c>
    </row>
    <row r="14" spans="1:20" ht="31.5" x14ac:dyDescent="0.25">
      <c r="A14" s="37" t="s">
        <v>54</v>
      </c>
      <c r="B14" s="2" t="s">
        <v>7</v>
      </c>
      <c r="C14" s="2">
        <v>10</v>
      </c>
      <c r="D14" s="16">
        <v>7500</v>
      </c>
      <c r="E14" s="16">
        <f t="shared" si="0"/>
        <v>75000</v>
      </c>
      <c r="F14" s="16"/>
      <c r="G14" s="16"/>
      <c r="H14" s="16">
        <f t="shared" si="1"/>
        <v>75000</v>
      </c>
      <c r="I14" s="16">
        <f t="shared" si="2"/>
        <v>75000</v>
      </c>
      <c r="J14" s="16" t="s">
        <v>5</v>
      </c>
      <c r="K14" s="3">
        <v>0.19</v>
      </c>
      <c r="L14" s="27">
        <f t="shared" si="6"/>
        <v>14250</v>
      </c>
      <c r="M14" s="38">
        <v>1</v>
      </c>
      <c r="N14" s="35" t="s">
        <v>50</v>
      </c>
      <c r="O14" s="27">
        <v>461.99</v>
      </c>
      <c r="P14" s="27">
        <f t="shared" si="3"/>
        <v>4619.8999999999996</v>
      </c>
      <c r="Q14" s="2">
        <f t="shared" si="4"/>
        <v>1</v>
      </c>
      <c r="R14" s="35" t="s">
        <v>51</v>
      </c>
      <c r="S14" s="27">
        <v>168</v>
      </c>
      <c r="T14" s="27">
        <f t="shared" si="5"/>
        <v>1680</v>
      </c>
    </row>
    <row r="15" spans="1:20" x14ac:dyDescent="0.25">
      <c r="A15" s="2"/>
      <c r="B15" s="2"/>
      <c r="C15" s="2"/>
      <c r="D15" s="16"/>
      <c r="E15" s="16"/>
      <c r="F15" s="16"/>
      <c r="G15" s="16"/>
      <c r="H15" s="16"/>
      <c r="I15" s="16"/>
      <c r="J15" s="16"/>
      <c r="K15" s="3"/>
      <c r="L15" s="27"/>
      <c r="M15" s="35"/>
      <c r="N15" s="2"/>
      <c r="O15" s="3"/>
      <c r="P15" s="36"/>
      <c r="Q15" s="2"/>
      <c r="R15" s="2"/>
      <c r="S15" s="2"/>
      <c r="T15" s="2"/>
    </row>
    <row r="16" spans="1:20" x14ac:dyDescent="0.25">
      <c r="A16" s="2" t="s">
        <v>0</v>
      </c>
      <c r="B16" s="2"/>
      <c r="C16" s="2"/>
      <c r="D16" s="16"/>
      <c r="E16" s="16">
        <f>SUM(E3:E15)</f>
        <v>21365336</v>
      </c>
      <c r="F16" s="16">
        <f t="shared" ref="F16:H16" si="7">SUM(F3:F7)</f>
        <v>0</v>
      </c>
      <c r="G16" s="16">
        <f t="shared" si="7"/>
        <v>0</v>
      </c>
      <c r="H16" s="16">
        <f t="shared" si="7"/>
        <v>20784536</v>
      </c>
      <c r="I16" s="2"/>
      <c r="J16" s="2"/>
      <c r="K16" s="2"/>
      <c r="L16" s="27">
        <f>SUM(L3:L15)</f>
        <v>4059413.84</v>
      </c>
      <c r="M16" s="2"/>
      <c r="N16" s="2"/>
      <c r="O16" s="2"/>
      <c r="P16" s="27">
        <f>SUM(P3:P15)</f>
        <v>1754509.6</v>
      </c>
      <c r="Q16" s="2"/>
      <c r="R16" s="2"/>
      <c r="S16" s="2"/>
      <c r="T16" s="27">
        <f>SUM(T3:T15)</f>
        <v>491280</v>
      </c>
    </row>
    <row r="17" spans="1:16" x14ac:dyDescent="0.25">
      <c r="A17" s="30"/>
      <c r="B17" s="30"/>
      <c r="C17" s="30"/>
      <c r="D17" s="31"/>
      <c r="E17" s="31"/>
      <c r="F17" s="31"/>
      <c r="G17" s="31"/>
      <c r="H17" s="31"/>
      <c r="I17" s="30"/>
      <c r="J17" s="30"/>
      <c r="K17" s="30"/>
      <c r="L17" s="29"/>
      <c r="M17" s="30"/>
      <c r="P17" s="29"/>
    </row>
    <row r="18" spans="1:16" x14ac:dyDescent="0.25">
      <c r="A18" s="30"/>
      <c r="B18" s="30"/>
      <c r="C18" s="30"/>
      <c r="D18" s="31"/>
      <c r="E18" s="31"/>
      <c r="F18" s="31"/>
      <c r="G18" s="31"/>
      <c r="H18" s="31"/>
      <c r="I18" s="30"/>
      <c r="J18" s="30"/>
      <c r="K18" s="30"/>
      <c r="L18" s="29"/>
      <c r="M18" s="30"/>
      <c r="P18" s="29"/>
    </row>
    <row r="19" spans="1:16" x14ac:dyDescent="0.25">
      <c r="F19" s="33"/>
      <c r="G19" s="32"/>
    </row>
    <row r="20" spans="1:16" x14ac:dyDescent="0.25">
      <c r="F20" s="24"/>
      <c r="G20" s="24"/>
      <c r="H20" s="24"/>
      <c r="I20" s="24"/>
      <c r="J20" s="24"/>
      <c r="K20" s="24"/>
      <c r="L20" s="24"/>
      <c r="M20" s="24"/>
      <c r="N20" s="24"/>
    </row>
    <row r="21" spans="1:16" x14ac:dyDescent="0.25">
      <c r="F21" s="24"/>
      <c r="G21" s="24"/>
      <c r="H21" s="24"/>
      <c r="I21" s="24"/>
      <c r="J21" s="24"/>
      <c r="K21" s="24"/>
      <c r="L21" s="24"/>
      <c r="M21" s="24"/>
      <c r="N21" s="24"/>
    </row>
    <row r="22" spans="1:16" x14ac:dyDescent="0.25">
      <c r="F22" s="24"/>
      <c r="G22" s="24"/>
      <c r="H22" s="24"/>
      <c r="I22" s="24"/>
      <c r="J22" s="24"/>
      <c r="K22" s="24"/>
      <c r="L22" s="24"/>
      <c r="M22" s="24"/>
      <c r="N22" s="24"/>
    </row>
    <row r="23" spans="1:16" x14ac:dyDescent="0.25">
      <c r="F23" s="25"/>
      <c r="G23" s="25"/>
      <c r="H23" s="24"/>
      <c r="I23" s="24"/>
      <c r="J23" s="24"/>
      <c r="K23" s="24"/>
      <c r="L23" s="24"/>
      <c r="M23" s="24"/>
    </row>
    <row r="24" spans="1:16" x14ac:dyDescent="0.25">
      <c r="F24" s="29"/>
      <c r="G24" s="29"/>
      <c r="H24" s="24"/>
      <c r="I24" s="24"/>
      <c r="J24" s="24"/>
      <c r="K24" s="24"/>
      <c r="L24" s="24"/>
      <c r="M24" s="24"/>
      <c r="N24" s="24" t="s">
        <v>9</v>
      </c>
    </row>
    <row r="25" spans="1:16" x14ac:dyDescent="0.25">
      <c r="F25" s="29"/>
      <c r="G25" s="29"/>
      <c r="H25" s="24" t="s">
        <v>36</v>
      </c>
      <c r="I25" s="24" t="s">
        <v>37</v>
      </c>
      <c r="J25" s="24" t="s">
        <v>39</v>
      </c>
      <c r="K25" s="24"/>
      <c r="L25" s="24" t="s">
        <v>56</v>
      </c>
      <c r="M25" s="24"/>
      <c r="N25" t="s">
        <v>40</v>
      </c>
    </row>
    <row r="26" spans="1:16" x14ac:dyDescent="0.25">
      <c r="A26" t="s">
        <v>6</v>
      </c>
      <c r="F26" s="24"/>
      <c r="G26" s="24"/>
      <c r="H26" s="39">
        <f>SUM(H3:H15)</f>
        <v>21365336</v>
      </c>
      <c r="I26" s="39">
        <f>SUM(H3:H15)</f>
        <v>21365336</v>
      </c>
      <c r="J26" s="39">
        <f>H26+L16+P16+T16</f>
        <v>27670539.440000001</v>
      </c>
      <c r="K26" s="24"/>
      <c r="L26" s="24">
        <f>+L16+P16+T16</f>
        <v>6305203.4399999995</v>
      </c>
      <c r="M26" s="26"/>
      <c r="N26" s="24">
        <f>J26-F26+G26</f>
        <v>27670539.440000001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82332F0B55D44E8BE2F5946A23347F" ma:contentTypeVersion="13" ma:contentTypeDescription="Crear nuevo documento." ma:contentTypeScope="" ma:versionID="f36e691e2edb6ab78db318dd2600f7d1">
  <xsd:schema xmlns:xsd="http://www.w3.org/2001/XMLSchema" xmlns:xs="http://www.w3.org/2001/XMLSchema" xmlns:p="http://schemas.microsoft.com/office/2006/metadata/properties" xmlns:ns2="d3541052-d1c0-499a-858f-9d17c464cd79" xmlns:ns3="c32f87b9-3e91-4ce4-bf12-7a996838c763" targetNamespace="http://schemas.microsoft.com/office/2006/metadata/properties" ma:root="true" ma:fieldsID="55cde181d4a5f26257ec6908b7a065f0" ns2:_="" ns3:_="">
    <xsd:import namespace="d3541052-d1c0-499a-858f-9d17c464cd79"/>
    <xsd:import namespace="c32f87b9-3e91-4ce4-bf12-7a996838c7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41052-d1c0-499a-858f-9d17c464c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b2a11dd-44d7-4e65-9a21-858468f2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f87b9-3e91-4ce4-bf12-7a996838c76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f413478-b00c-48c2-bd1d-ac4a4409ab1d}" ma:internalName="TaxCatchAll" ma:showField="CatchAllData" ma:web="c32f87b9-3e91-4ce4-bf12-7a996838c7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541052-d1c0-499a-858f-9d17c464cd79">
      <Terms xmlns="http://schemas.microsoft.com/office/infopath/2007/PartnerControls"/>
    </lcf76f155ced4ddcb4097134ff3c332f>
    <TaxCatchAll xmlns="c32f87b9-3e91-4ce4-bf12-7a996838c763" xsi:nil="true"/>
  </documentManagement>
</p:properties>
</file>

<file path=customXml/itemProps1.xml><?xml version="1.0" encoding="utf-8"?>
<ds:datastoreItem xmlns:ds="http://schemas.openxmlformats.org/officeDocument/2006/customXml" ds:itemID="{5F4514AF-CB13-4A76-A91D-BF72557AA4D7}"/>
</file>

<file path=customXml/itemProps2.xml><?xml version="1.0" encoding="utf-8"?>
<ds:datastoreItem xmlns:ds="http://schemas.openxmlformats.org/officeDocument/2006/customXml" ds:itemID="{7B11AD22-4B34-45CE-AF38-4EB5F0A36F93}"/>
</file>

<file path=customXml/itemProps3.xml><?xml version="1.0" encoding="utf-8"?>
<ds:datastoreItem xmlns:ds="http://schemas.openxmlformats.org/officeDocument/2006/customXml" ds:itemID="{1A662924-3F27-4132-AEAF-DCCFE1AD50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Excluido y Exentos</vt:lpstr>
      <vt:lpstr>Mandatos</vt:lpstr>
      <vt:lpstr>Servicios AIU</vt:lpstr>
      <vt:lpstr>Genérica</vt:lpstr>
      <vt:lpstr>Emisor-Es-Autoretendor</vt:lpstr>
      <vt:lpstr>Combustibles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Pimentel de Freitas</dc:creator>
  <cp:lastModifiedBy>Jaime Humberto Nino Pena</cp:lastModifiedBy>
  <dcterms:created xsi:type="dcterms:W3CDTF">2018-11-30T15:51:38Z</dcterms:created>
  <dcterms:modified xsi:type="dcterms:W3CDTF">2019-02-19T19:27:58Z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0x0101000E82332F0B55D44E8BE2F5946A23347F</vt:lpwstr>
  </property>
</Properties>
</file>